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jessh\Box\MPA_meta-analysis\WhiteLab_analysis\MS\Code4Pub\"/>
    </mc:Choice>
  </mc:AlternateContent>
  <xr:revisionPtr revIDLastSave="0" documentId="13_ncr:1_{42A4F087-C078-4F7B-9638-6F11E126AE29}" xr6:coauthVersionLast="47" xr6:coauthVersionMax="47" xr10:uidLastSave="{00000000-0000-0000-0000-000000000000}"/>
  <bookViews>
    <workbookView xWindow="19090" yWindow="-14650" windowWidth="38620" windowHeight="21820" tabRatio="601" xr2:uid="{00000000-000D-0000-FFFF-FFFF00000000}"/>
  </bookViews>
  <sheets>
    <sheet name="Raw Data" sheetId="1" r:id="rId1"/>
    <sheet name="Irrelevant Refs" sheetId="2" r:id="rId2"/>
  </sheets>
  <definedNames>
    <definedName name="_xlnm._FilterDatabase" localSheetId="0" hidden="1">'Raw Data'!$A$1:$AW$2319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W1938" i="1" l="1"/>
  <c r="AW1937" i="1"/>
  <c r="AW1936" i="1"/>
  <c r="AW1935" i="1"/>
  <c r="AW1934" i="1"/>
  <c r="AW1933" i="1"/>
  <c r="AW1932" i="1"/>
  <c r="AW1931" i="1"/>
  <c r="AW1930" i="1"/>
  <c r="AW1929" i="1"/>
  <c r="AW1928" i="1"/>
  <c r="AW1927" i="1"/>
  <c r="AW1926" i="1"/>
  <c r="AW1925" i="1"/>
  <c r="AW1924" i="1"/>
  <c r="AW1923" i="1"/>
  <c r="AW1922" i="1"/>
  <c r="AW1921" i="1"/>
  <c r="AW1920" i="1"/>
  <c r="AW1919" i="1"/>
  <c r="AW1909" i="1"/>
  <c r="AW1908" i="1"/>
  <c r="AW1907" i="1"/>
  <c r="AW1906" i="1"/>
  <c r="AW1905" i="1"/>
  <c r="AW1904" i="1"/>
  <c r="AW1903" i="1"/>
  <c r="AW1768" i="1"/>
  <c r="AW1767" i="1"/>
  <c r="AW1766" i="1"/>
  <c r="AW1765" i="1"/>
  <c r="AW1764" i="1"/>
  <c r="AW1763" i="1"/>
  <c r="AW1762" i="1"/>
  <c r="AW1761" i="1"/>
  <c r="AW1760" i="1"/>
  <c r="AW1759" i="1"/>
  <c r="AW1758" i="1"/>
  <c r="AW1757" i="1"/>
  <c r="AW1756" i="1"/>
  <c r="AW1755" i="1"/>
  <c r="AW1754" i="1"/>
  <c r="AW1753" i="1"/>
  <c r="AW1752" i="1"/>
  <c r="AW1751" i="1"/>
  <c r="AW1750" i="1"/>
  <c r="AW1749" i="1"/>
  <c r="AW1748" i="1"/>
  <c r="AW1747" i="1"/>
  <c r="AW1746" i="1"/>
  <c r="AW1745" i="1"/>
  <c r="AW1744" i="1"/>
  <c r="AW1743" i="1"/>
  <c r="AW1742" i="1"/>
  <c r="AW1741" i="1"/>
  <c r="AW1740" i="1"/>
  <c r="AW1739" i="1"/>
  <c r="AW1738" i="1"/>
  <c r="AW1737" i="1"/>
  <c r="AW1736" i="1"/>
  <c r="AW1086" i="1"/>
  <c r="AW1085" i="1"/>
  <c r="AW1084" i="1"/>
  <c r="AW1083" i="1"/>
  <c r="AW690" i="1"/>
  <c r="AW689" i="1"/>
  <c r="AW671" i="1"/>
  <c r="AW670" i="1"/>
  <c r="AW669" i="1"/>
  <c r="AW668" i="1"/>
  <c r="AW667" i="1"/>
  <c r="AW666" i="1"/>
  <c r="AW665" i="1"/>
  <c r="AW664" i="1"/>
  <c r="AW663" i="1"/>
  <c r="AW662" i="1"/>
  <c r="AW661" i="1"/>
  <c r="AW246" i="1"/>
  <c r="AW237" i="1"/>
  <c r="AW234" i="1"/>
  <c r="AW105" i="1"/>
  <c r="AW104" i="1"/>
  <c r="AW103" i="1"/>
  <c r="AW102" i="1"/>
  <c r="AW101" i="1"/>
  <c r="AW100" i="1"/>
  <c r="AW3" i="1"/>
  <c r="AW2" i="1"/>
  <c r="R1837" i="1"/>
  <c r="Q1837" i="1"/>
  <c r="T1837" i="1"/>
  <c r="S1837" i="1"/>
  <c r="Q161" i="1"/>
  <c r="R162" i="1"/>
  <c r="Q162" i="1"/>
  <c r="R161" i="1"/>
  <c r="R160" i="1"/>
  <c r="Q160" i="1"/>
  <c r="T608" i="1"/>
  <c r="S608" i="1"/>
  <c r="R608" i="1"/>
  <c r="Q608" i="1"/>
  <c r="T607" i="1"/>
  <c r="S607" i="1"/>
  <c r="R607" i="1"/>
  <c r="Q607" i="1"/>
  <c r="U607" i="1" s="1"/>
  <c r="AW607" i="1" s="1"/>
  <c r="U275" i="1"/>
  <c r="AW275" i="1" s="1"/>
  <c r="U249" i="1"/>
  <c r="AW249" i="1" s="1"/>
  <c r="U248" i="1"/>
  <c r="AW248" i="1" s="1"/>
  <c r="U247" i="1"/>
  <c r="AW247" i="1" s="1"/>
  <c r="U246" i="1"/>
  <c r="U245" i="1"/>
  <c r="AW245" i="1" s="1"/>
  <c r="U244" i="1"/>
  <c r="AW244" i="1" s="1"/>
  <c r="U243" i="1"/>
  <c r="AW243" i="1" s="1"/>
  <c r="U242" i="1"/>
  <c r="AW242" i="1" s="1"/>
  <c r="U241" i="1"/>
  <c r="AW241" i="1" s="1"/>
  <c r="U240" i="1"/>
  <c r="AW240" i="1" s="1"/>
  <c r="U239" i="1"/>
  <c r="AW239" i="1" s="1"/>
  <c r="U238" i="1"/>
  <c r="AW238" i="1" s="1"/>
  <c r="U237" i="1"/>
  <c r="U236" i="1"/>
  <c r="AW236" i="1" s="1"/>
  <c r="U235" i="1"/>
  <c r="AW235" i="1" s="1"/>
  <c r="U234" i="1"/>
  <c r="U233" i="1"/>
  <c r="AW233" i="1" s="1"/>
  <c r="U232" i="1"/>
  <c r="AW232" i="1" s="1"/>
  <c r="U231" i="1"/>
  <c r="AW231" i="1" s="1"/>
  <c r="U230" i="1"/>
  <c r="AW230" i="1" s="1"/>
  <c r="U304" i="1"/>
  <c r="AW304" i="1" s="1"/>
  <c r="AH304" i="1"/>
  <c r="AI304" i="1" s="1"/>
  <c r="AH2313" i="1"/>
  <c r="AI2313" i="1" s="1"/>
  <c r="AH2314" i="1"/>
  <c r="AI2314" i="1" s="1"/>
  <c r="AH2315" i="1"/>
  <c r="AI2315" i="1" s="1"/>
  <c r="AH2316" i="1"/>
  <c r="AI2316" i="1" s="1"/>
  <c r="AH2317" i="1"/>
  <c r="AI2317" i="1" s="1"/>
  <c r="AH2318" i="1"/>
  <c r="AI2318" i="1" s="1"/>
  <c r="AH2319" i="1"/>
  <c r="AI2319" i="1" s="1"/>
  <c r="AH2312" i="1"/>
  <c r="AI2312" i="1" s="1"/>
  <c r="U2313" i="1"/>
  <c r="U2314" i="1"/>
  <c r="U2315" i="1"/>
  <c r="AW2315" i="1" s="1"/>
  <c r="U2316" i="1"/>
  <c r="U2317" i="1"/>
  <c r="U2318" i="1"/>
  <c r="U2319" i="1"/>
  <c r="U2312" i="1"/>
  <c r="AH1817" i="1"/>
  <c r="AI1817" i="1" s="1"/>
  <c r="T1817" i="1"/>
  <c r="S1817" i="1"/>
  <c r="U1817" i="1" s="1"/>
  <c r="AW1817" i="1" s="1"/>
  <c r="AH1816" i="1"/>
  <c r="AI1816" i="1" s="1"/>
  <c r="T1816" i="1"/>
  <c r="S1816" i="1"/>
  <c r="AH1815" i="1"/>
  <c r="AI1815" i="1" s="1"/>
  <c r="T1815" i="1"/>
  <c r="S1815" i="1"/>
  <c r="AH1814" i="1"/>
  <c r="AI1814" i="1" s="1"/>
  <c r="T1814" i="1"/>
  <c r="S1814" i="1"/>
  <c r="AH1813" i="1"/>
  <c r="AI1813" i="1" s="1"/>
  <c r="T1813" i="1"/>
  <c r="S1813" i="1"/>
  <c r="AH1812" i="1"/>
  <c r="AI1812" i="1" s="1"/>
  <c r="T1812" i="1"/>
  <c r="S1812" i="1"/>
  <c r="U608" i="1" l="1"/>
  <c r="AW608" i="1" s="1"/>
  <c r="V2318" i="1"/>
  <c r="AW2318" i="1"/>
  <c r="V2314" i="1"/>
  <c r="AW2314" i="1"/>
  <c r="V2317" i="1"/>
  <c r="AW2317" i="1"/>
  <c r="V2313" i="1"/>
  <c r="AW2313" i="1"/>
  <c r="V2316" i="1"/>
  <c r="AW2316" i="1"/>
  <c r="V2312" i="1"/>
  <c r="AW2312" i="1"/>
  <c r="V2319" i="1"/>
  <c r="AW2319" i="1"/>
  <c r="U1815" i="1"/>
  <c r="AW1815" i="1" s="1"/>
  <c r="U1812" i="1"/>
  <c r="V2315" i="1"/>
  <c r="U1816" i="1"/>
  <c r="V304" i="1"/>
  <c r="U1813" i="1"/>
  <c r="U1814" i="1"/>
  <c r="V1817" i="1"/>
  <c r="T4" i="1"/>
  <c r="S4" i="1"/>
  <c r="U755" i="1"/>
  <c r="V1813" i="1" l="1"/>
  <c r="AW1813" i="1"/>
  <c r="V1814" i="1"/>
  <c r="AW1814" i="1"/>
  <c r="V1816" i="1"/>
  <c r="AW1816" i="1"/>
  <c r="V1812" i="1"/>
  <c r="AW1812" i="1"/>
  <c r="V755" i="1"/>
  <c r="AW755" i="1"/>
  <c r="V1815" i="1"/>
  <c r="U961" i="1"/>
  <c r="AW961" i="1" s="1"/>
  <c r="T326" i="1"/>
  <c r="S326" i="1"/>
  <c r="T220" i="1"/>
  <c r="S220" i="1"/>
  <c r="T224" i="1"/>
  <c r="S224" i="1"/>
  <c r="T223" i="1"/>
  <c r="S223" i="1"/>
  <c r="T222" i="1"/>
  <c r="S222" i="1"/>
  <c r="T221" i="1"/>
  <c r="S221" i="1"/>
  <c r="T868" i="1"/>
  <c r="S868" i="1"/>
  <c r="T867" i="1"/>
  <c r="S867" i="1"/>
  <c r="AH1916" i="1"/>
  <c r="AI1916" i="1" s="1"/>
  <c r="AH1917" i="1"/>
  <c r="AI1917" i="1" s="1"/>
  <c r="AH1918" i="1"/>
  <c r="AI1918" i="1" s="1"/>
  <c r="AH1919" i="1"/>
  <c r="AI1919" i="1" s="1"/>
  <c r="AH1920" i="1"/>
  <c r="AI1920" i="1" s="1"/>
  <c r="AH1921" i="1"/>
  <c r="AI1921" i="1" s="1"/>
  <c r="AH1922" i="1"/>
  <c r="AI1922" i="1" s="1"/>
  <c r="AH1923" i="1"/>
  <c r="AI1923" i="1" s="1"/>
  <c r="AH1924" i="1"/>
  <c r="AI1924" i="1" s="1"/>
  <c r="AH1925" i="1"/>
  <c r="AI1925" i="1" s="1"/>
  <c r="AH1926" i="1"/>
  <c r="AI1926" i="1" s="1"/>
  <c r="AH1930" i="1"/>
  <c r="AI1930" i="1" s="1"/>
  <c r="AH1932" i="1"/>
  <c r="AI1932" i="1" s="1"/>
  <c r="AH1933" i="1"/>
  <c r="AI1933" i="1" s="1"/>
  <c r="AH1939" i="1"/>
  <c r="AI1939" i="1" s="1"/>
  <c r="AH1940" i="1"/>
  <c r="AI1940" i="1" s="1"/>
  <c r="AH1941" i="1"/>
  <c r="AI1941" i="1" s="1"/>
  <c r="AH1942" i="1"/>
  <c r="AI1942" i="1" s="1"/>
  <c r="AH1943" i="1"/>
  <c r="AI1943" i="1" s="1"/>
  <c r="AH1944" i="1"/>
  <c r="AI1944" i="1" s="1"/>
  <c r="AH1945" i="1"/>
  <c r="AI1945" i="1" s="1"/>
  <c r="AH1946" i="1"/>
  <c r="AI1946" i="1" s="1"/>
  <c r="AH1947" i="1"/>
  <c r="AI1947" i="1" s="1"/>
  <c r="AH1948" i="1"/>
  <c r="AI1948" i="1" s="1"/>
  <c r="AH1949" i="1"/>
  <c r="AI1949" i="1" s="1"/>
  <c r="AH1950" i="1"/>
  <c r="AI1950" i="1" s="1"/>
  <c r="AH1951" i="1"/>
  <c r="AI1951" i="1" s="1"/>
  <c r="AH1952" i="1"/>
  <c r="AI1952" i="1" s="1"/>
  <c r="AH1953" i="1"/>
  <c r="AI1953" i="1" s="1"/>
  <c r="AH1954" i="1"/>
  <c r="AI1954" i="1" s="1"/>
  <c r="AH1955" i="1"/>
  <c r="AI1955" i="1" s="1"/>
  <c r="AH1956" i="1"/>
  <c r="AI1956" i="1" s="1"/>
  <c r="AH1957" i="1"/>
  <c r="AI1957" i="1" s="1"/>
  <c r="AH1958" i="1"/>
  <c r="AI1958" i="1" s="1"/>
  <c r="AH1959" i="1"/>
  <c r="AI1959" i="1" s="1"/>
  <c r="AH1960" i="1"/>
  <c r="AI1960" i="1" s="1"/>
  <c r="AH1961" i="1"/>
  <c r="AI1961" i="1" s="1"/>
  <c r="AH1962" i="1"/>
  <c r="AI1962" i="1" s="1"/>
  <c r="AH1963" i="1"/>
  <c r="AI1963" i="1" s="1"/>
  <c r="AH1964" i="1"/>
  <c r="AI1964" i="1" s="1"/>
  <c r="AH1965" i="1"/>
  <c r="AI1965" i="1" s="1"/>
  <c r="AH1966" i="1"/>
  <c r="AI1966" i="1" s="1"/>
  <c r="AH1967" i="1"/>
  <c r="AI1967" i="1" s="1"/>
  <c r="AH1968" i="1"/>
  <c r="AI1968" i="1" s="1"/>
  <c r="AH1969" i="1"/>
  <c r="AI1969" i="1" s="1"/>
  <c r="AH1970" i="1"/>
  <c r="AI1970" i="1" s="1"/>
  <c r="AH1971" i="1"/>
  <c r="AI1971" i="1" s="1"/>
  <c r="AH1972" i="1"/>
  <c r="AI1972" i="1" s="1"/>
  <c r="AH1973" i="1"/>
  <c r="AI1973" i="1" s="1"/>
  <c r="AH1974" i="1"/>
  <c r="AI1974" i="1" s="1"/>
  <c r="AH1975" i="1"/>
  <c r="AI1975" i="1" s="1"/>
  <c r="AH1976" i="1"/>
  <c r="AI1976" i="1" s="1"/>
  <c r="AH1977" i="1"/>
  <c r="AI1977" i="1" s="1"/>
  <c r="AH1978" i="1"/>
  <c r="AI1978" i="1" s="1"/>
  <c r="AH1979" i="1"/>
  <c r="AI1979" i="1" s="1"/>
  <c r="AH1980" i="1"/>
  <c r="AI1980" i="1" s="1"/>
  <c r="AH1903" i="1"/>
  <c r="AI1903" i="1" s="1"/>
  <c r="AH1904" i="1"/>
  <c r="AI1904" i="1" s="1"/>
  <c r="AH1905" i="1"/>
  <c r="AI1905" i="1" s="1"/>
  <c r="AH1906" i="1"/>
  <c r="AI1906" i="1" s="1"/>
  <c r="AH1907" i="1"/>
  <c r="AI1907" i="1" s="1"/>
  <c r="AH1908" i="1"/>
  <c r="AI1908" i="1" s="1"/>
  <c r="AH1909" i="1"/>
  <c r="AI1909" i="1" s="1"/>
  <c r="AH1910" i="1"/>
  <c r="AI1910" i="1" s="1"/>
  <c r="AH1911" i="1"/>
  <c r="AI1911" i="1" s="1"/>
  <c r="AH1912" i="1"/>
  <c r="AI1912" i="1" s="1"/>
  <c r="AH1913" i="1"/>
  <c r="AI1913" i="1" s="1"/>
  <c r="AH1914" i="1"/>
  <c r="AI1914" i="1" s="1"/>
  <c r="AH1915" i="1"/>
  <c r="AI1915" i="1" s="1"/>
  <c r="AH1822" i="1"/>
  <c r="AI1822" i="1" s="1"/>
  <c r="AH1823" i="1"/>
  <c r="AI1823" i="1" s="1"/>
  <c r="AH1824" i="1"/>
  <c r="AI1824" i="1" s="1"/>
  <c r="AH1825" i="1"/>
  <c r="AI1825" i="1" s="1"/>
  <c r="AH1826" i="1"/>
  <c r="AI1826" i="1" s="1"/>
  <c r="AH1827" i="1"/>
  <c r="AI1827" i="1" s="1"/>
  <c r="AH1828" i="1"/>
  <c r="AI1828" i="1" s="1"/>
  <c r="AH1829" i="1"/>
  <c r="AI1829" i="1" s="1"/>
  <c r="AH1830" i="1"/>
  <c r="AI1830" i="1" s="1"/>
  <c r="AH1831" i="1"/>
  <c r="AI1831" i="1" s="1"/>
  <c r="AH1832" i="1"/>
  <c r="AI1832" i="1" s="1"/>
  <c r="AH1833" i="1"/>
  <c r="AI1833" i="1" s="1"/>
  <c r="AH1834" i="1"/>
  <c r="AI1834" i="1" s="1"/>
  <c r="AH1835" i="1"/>
  <c r="AI1835" i="1" s="1"/>
  <c r="AH1836" i="1"/>
  <c r="AI1836" i="1" s="1"/>
  <c r="AH1837" i="1"/>
  <c r="AI1837" i="1" s="1"/>
  <c r="AH1838" i="1"/>
  <c r="AI1838" i="1" s="1"/>
  <c r="AH1839" i="1"/>
  <c r="AI1839" i="1" s="1"/>
  <c r="AH1840" i="1"/>
  <c r="AI1840" i="1" s="1"/>
  <c r="AH1841" i="1"/>
  <c r="AI1841" i="1" s="1"/>
  <c r="AH1842" i="1"/>
  <c r="AI1842" i="1" s="1"/>
  <c r="AH1843" i="1"/>
  <c r="AI1843" i="1" s="1"/>
  <c r="AH1844" i="1"/>
  <c r="AI1844" i="1" s="1"/>
  <c r="AH1845" i="1"/>
  <c r="AI1845" i="1" s="1"/>
  <c r="AH1846" i="1"/>
  <c r="AI1846" i="1" s="1"/>
  <c r="AH1847" i="1"/>
  <c r="AI1847" i="1" s="1"/>
  <c r="AH1848" i="1"/>
  <c r="AI1848" i="1" s="1"/>
  <c r="AH1849" i="1"/>
  <c r="AI1849" i="1" s="1"/>
  <c r="AH1850" i="1"/>
  <c r="AI1850" i="1" s="1"/>
  <c r="AH1851" i="1"/>
  <c r="AI1851" i="1" s="1"/>
  <c r="AH1852" i="1"/>
  <c r="AI1852" i="1" s="1"/>
  <c r="AH1853" i="1"/>
  <c r="AI1853" i="1" s="1"/>
  <c r="AH1854" i="1"/>
  <c r="AI1854" i="1" s="1"/>
  <c r="AH1855" i="1"/>
  <c r="AI1855" i="1" s="1"/>
  <c r="AH1856" i="1"/>
  <c r="AI1856" i="1" s="1"/>
  <c r="AH1857" i="1"/>
  <c r="AI1857" i="1" s="1"/>
  <c r="AH1858" i="1"/>
  <c r="AI1858" i="1" s="1"/>
  <c r="AH1859" i="1"/>
  <c r="AI1859" i="1" s="1"/>
  <c r="AH1860" i="1"/>
  <c r="AI1860" i="1" s="1"/>
  <c r="AH1861" i="1"/>
  <c r="AI1861" i="1" s="1"/>
  <c r="AH1862" i="1"/>
  <c r="AI1862" i="1" s="1"/>
  <c r="AH1863" i="1"/>
  <c r="AI1863" i="1" s="1"/>
  <c r="AH1864" i="1"/>
  <c r="AI1864" i="1" s="1"/>
  <c r="AH1865" i="1"/>
  <c r="AI1865" i="1" s="1"/>
  <c r="AH1866" i="1"/>
  <c r="AI1866" i="1" s="1"/>
  <c r="AH1867" i="1"/>
  <c r="AI1867" i="1" s="1"/>
  <c r="AH1868" i="1"/>
  <c r="AI1868" i="1" s="1"/>
  <c r="AH1869" i="1"/>
  <c r="AI1869" i="1" s="1"/>
  <c r="AH1870" i="1"/>
  <c r="AI1870" i="1" s="1"/>
  <c r="AH1871" i="1"/>
  <c r="AI1871" i="1" s="1"/>
  <c r="AH1872" i="1"/>
  <c r="AI1872" i="1" s="1"/>
  <c r="AH1873" i="1"/>
  <c r="AI1873" i="1" s="1"/>
  <c r="AH1874" i="1"/>
  <c r="AI1874" i="1" s="1"/>
  <c r="AH1875" i="1"/>
  <c r="AI1875" i="1" s="1"/>
  <c r="AH1876" i="1"/>
  <c r="AI1876" i="1" s="1"/>
  <c r="AH1877" i="1"/>
  <c r="AI1877" i="1" s="1"/>
  <c r="AH1878" i="1"/>
  <c r="AI1878" i="1" s="1"/>
  <c r="AH1879" i="1"/>
  <c r="AI1879" i="1" s="1"/>
  <c r="AH1880" i="1"/>
  <c r="AI1880" i="1" s="1"/>
  <c r="AH1881" i="1"/>
  <c r="AI1881" i="1" s="1"/>
  <c r="AH1882" i="1"/>
  <c r="AI1882" i="1" s="1"/>
  <c r="AH1883" i="1"/>
  <c r="AI1883" i="1" s="1"/>
  <c r="AH1884" i="1"/>
  <c r="AI1884" i="1" s="1"/>
  <c r="AH1885" i="1"/>
  <c r="AI1885" i="1" s="1"/>
  <c r="AH1886" i="1"/>
  <c r="AI1886" i="1" s="1"/>
  <c r="AH1887" i="1"/>
  <c r="AI1887" i="1" s="1"/>
  <c r="AH1888" i="1"/>
  <c r="AI1888" i="1" s="1"/>
  <c r="AH1889" i="1"/>
  <c r="AI1889" i="1" s="1"/>
  <c r="AH1890" i="1"/>
  <c r="AI1890" i="1" s="1"/>
  <c r="AH1891" i="1"/>
  <c r="AI1891" i="1" s="1"/>
  <c r="AH1892" i="1"/>
  <c r="AI1892" i="1" s="1"/>
  <c r="AH1893" i="1"/>
  <c r="AI1893" i="1" s="1"/>
  <c r="AH1894" i="1"/>
  <c r="AI1894" i="1" s="1"/>
  <c r="AH1895" i="1"/>
  <c r="AI1895" i="1" s="1"/>
  <c r="AH1896" i="1"/>
  <c r="AI1896" i="1" s="1"/>
  <c r="AH1897" i="1"/>
  <c r="AI1897" i="1" s="1"/>
  <c r="AH1898" i="1"/>
  <c r="AI1898" i="1" s="1"/>
  <c r="AH1899" i="1"/>
  <c r="AI1899" i="1" s="1"/>
  <c r="AH1900" i="1"/>
  <c r="AI1900" i="1" s="1"/>
  <c r="AH1901" i="1"/>
  <c r="AI1901" i="1" s="1"/>
  <c r="AH1902" i="1"/>
  <c r="AI1902" i="1" s="1"/>
  <c r="AH1527" i="1"/>
  <c r="AI1527" i="1" s="1"/>
  <c r="AH1528" i="1"/>
  <c r="AI1528" i="1" s="1"/>
  <c r="AH1529" i="1"/>
  <c r="AI1529" i="1" s="1"/>
  <c r="AH1530" i="1"/>
  <c r="AI1530" i="1" s="1"/>
  <c r="AH1531" i="1"/>
  <c r="AI1531" i="1" s="1"/>
  <c r="AH1532" i="1"/>
  <c r="AI1532" i="1" s="1"/>
  <c r="AH1533" i="1"/>
  <c r="AI1533" i="1" s="1"/>
  <c r="AH1534" i="1"/>
  <c r="AI1534" i="1" s="1"/>
  <c r="AH1535" i="1"/>
  <c r="AI1535" i="1" s="1"/>
  <c r="AH1536" i="1"/>
  <c r="AI1536" i="1" s="1"/>
  <c r="AH1537" i="1"/>
  <c r="AI1537" i="1" s="1"/>
  <c r="AH1538" i="1"/>
  <c r="AI1538" i="1" s="1"/>
  <c r="AH1539" i="1"/>
  <c r="AI1539" i="1" s="1"/>
  <c r="AH1540" i="1"/>
  <c r="AI1540" i="1" s="1"/>
  <c r="AH1541" i="1"/>
  <c r="AI1541" i="1" s="1"/>
  <c r="AH1542" i="1"/>
  <c r="AI1542" i="1" s="1"/>
  <c r="AH1543" i="1"/>
  <c r="AI1543" i="1" s="1"/>
  <c r="AH1544" i="1"/>
  <c r="AI1544" i="1" s="1"/>
  <c r="AH1545" i="1"/>
  <c r="AI1545" i="1" s="1"/>
  <c r="AH1546" i="1"/>
  <c r="AI1546" i="1" s="1"/>
  <c r="AH1547" i="1"/>
  <c r="AI1547" i="1" s="1"/>
  <c r="AH1548" i="1"/>
  <c r="AI1548" i="1" s="1"/>
  <c r="AH1549" i="1"/>
  <c r="AI1549" i="1" s="1"/>
  <c r="AH1550" i="1"/>
  <c r="AI1550" i="1" s="1"/>
  <c r="AH1551" i="1"/>
  <c r="AI1551" i="1" s="1"/>
  <c r="AH1552" i="1"/>
  <c r="AI1552" i="1" s="1"/>
  <c r="AH1553" i="1"/>
  <c r="AI1553" i="1" s="1"/>
  <c r="AH1554" i="1"/>
  <c r="AI1554" i="1" s="1"/>
  <c r="AH1555" i="1"/>
  <c r="AI1555" i="1" s="1"/>
  <c r="AH1556" i="1"/>
  <c r="AI1556" i="1" s="1"/>
  <c r="AH1557" i="1"/>
  <c r="AI1557" i="1" s="1"/>
  <c r="AH1558" i="1"/>
  <c r="AI1558" i="1" s="1"/>
  <c r="AH1559" i="1"/>
  <c r="AI1559" i="1" s="1"/>
  <c r="AH1560" i="1"/>
  <c r="AI1560" i="1" s="1"/>
  <c r="AH1561" i="1"/>
  <c r="AI1561" i="1" s="1"/>
  <c r="AH1562" i="1"/>
  <c r="AI1562" i="1" s="1"/>
  <c r="AH1563" i="1"/>
  <c r="AI1563" i="1" s="1"/>
  <c r="AH1564" i="1"/>
  <c r="AI1564" i="1" s="1"/>
  <c r="AH1565" i="1"/>
  <c r="AI1565" i="1" s="1"/>
  <c r="AH1566" i="1"/>
  <c r="AI1566" i="1" s="1"/>
  <c r="AH1567" i="1"/>
  <c r="AI1567" i="1" s="1"/>
  <c r="AH1568" i="1"/>
  <c r="AI1568" i="1" s="1"/>
  <c r="AH1569" i="1"/>
  <c r="AI1569" i="1" s="1"/>
  <c r="AH1570" i="1"/>
  <c r="AI1570" i="1" s="1"/>
  <c r="AH1571" i="1"/>
  <c r="AI1571" i="1" s="1"/>
  <c r="AH1572" i="1"/>
  <c r="AI1572" i="1" s="1"/>
  <c r="AH1573" i="1"/>
  <c r="AI1573" i="1" s="1"/>
  <c r="AH1574" i="1"/>
  <c r="AI1574" i="1" s="1"/>
  <c r="AH1575" i="1"/>
  <c r="AI1575" i="1" s="1"/>
  <c r="AH1576" i="1"/>
  <c r="AI1576" i="1" s="1"/>
  <c r="AH1577" i="1"/>
  <c r="AI1577" i="1" s="1"/>
  <c r="AH1578" i="1"/>
  <c r="AI1578" i="1" s="1"/>
  <c r="AH1579" i="1"/>
  <c r="AI1579" i="1" s="1"/>
  <c r="AH1580" i="1"/>
  <c r="AI1580" i="1" s="1"/>
  <c r="AH1581" i="1"/>
  <c r="AI1581" i="1" s="1"/>
  <c r="AH1582" i="1"/>
  <c r="AI1582" i="1" s="1"/>
  <c r="AH1583" i="1"/>
  <c r="AI1583" i="1" s="1"/>
  <c r="AH1584" i="1"/>
  <c r="AI1584" i="1" s="1"/>
  <c r="AH1585" i="1"/>
  <c r="AI1585" i="1" s="1"/>
  <c r="AH1586" i="1"/>
  <c r="AI1586" i="1" s="1"/>
  <c r="AH1587" i="1"/>
  <c r="AI1587" i="1" s="1"/>
  <c r="AH1588" i="1"/>
  <c r="AI1588" i="1" s="1"/>
  <c r="AH1589" i="1"/>
  <c r="AI1589" i="1" s="1"/>
  <c r="AH1590" i="1"/>
  <c r="AI1590" i="1" s="1"/>
  <c r="AH1591" i="1"/>
  <c r="AI1591" i="1" s="1"/>
  <c r="AH1592" i="1"/>
  <c r="AI1592" i="1" s="1"/>
  <c r="AH1593" i="1"/>
  <c r="AI1593" i="1" s="1"/>
  <c r="AH1594" i="1"/>
  <c r="AI1594" i="1" s="1"/>
  <c r="AH1595" i="1"/>
  <c r="AI1595" i="1" s="1"/>
  <c r="AH1596" i="1"/>
  <c r="AI1596" i="1" s="1"/>
  <c r="AH1597" i="1"/>
  <c r="AI1597" i="1" s="1"/>
  <c r="AH1598" i="1"/>
  <c r="AI1598" i="1" s="1"/>
  <c r="AH1599" i="1"/>
  <c r="AI1599" i="1" s="1"/>
  <c r="AH1600" i="1"/>
  <c r="AI1600" i="1" s="1"/>
  <c r="AH1601" i="1"/>
  <c r="AI1601" i="1" s="1"/>
  <c r="AH1602" i="1"/>
  <c r="AI1602" i="1" s="1"/>
  <c r="AH1603" i="1"/>
  <c r="AI1603" i="1" s="1"/>
  <c r="AH1604" i="1"/>
  <c r="AI1604" i="1" s="1"/>
  <c r="AH1605" i="1"/>
  <c r="AI1605" i="1" s="1"/>
  <c r="AH1606" i="1"/>
  <c r="AI1606" i="1" s="1"/>
  <c r="AH1607" i="1"/>
  <c r="AI1607" i="1" s="1"/>
  <c r="AH1608" i="1"/>
  <c r="AI1608" i="1" s="1"/>
  <c r="AH1609" i="1"/>
  <c r="AI1609" i="1" s="1"/>
  <c r="AH1610" i="1"/>
  <c r="AI1610" i="1" s="1"/>
  <c r="AH1611" i="1"/>
  <c r="AI1611" i="1" s="1"/>
  <c r="AH1612" i="1"/>
  <c r="AI1612" i="1" s="1"/>
  <c r="AH1613" i="1"/>
  <c r="AI1613" i="1" s="1"/>
  <c r="AH1614" i="1"/>
  <c r="AI1614" i="1" s="1"/>
  <c r="AH1615" i="1"/>
  <c r="AI1615" i="1" s="1"/>
  <c r="AH1616" i="1"/>
  <c r="AI1616" i="1" s="1"/>
  <c r="AH1617" i="1"/>
  <c r="AI1617" i="1" s="1"/>
  <c r="AH1618" i="1"/>
  <c r="AI1618" i="1" s="1"/>
  <c r="AH1619" i="1"/>
  <c r="AI1619" i="1" s="1"/>
  <c r="AH1620" i="1"/>
  <c r="AI1620" i="1" s="1"/>
  <c r="AH1621" i="1"/>
  <c r="AI1621" i="1" s="1"/>
  <c r="AH1622" i="1"/>
  <c r="AI1622" i="1" s="1"/>
  <c r="AH1623" i="1"/>
  <c r="AI1623" i="1" s="1"/>
  <c r="AH1624" i="1"/>
  <c r="AI1624" i="1" s="1"/>
  <c r="AH1625" i="1"/>
  <c r="AI1625" i="1" s="1"/>
  <c r="AH1626" i="1"/>
  <c r="AI1626" i="1" s="1"/>
  <c r="AH1627" i="1"/>
  <c r="AI1627" i="1" s="1"/>
  <c r="AH1628" i="1"/>
  <c r="AI1628" i="1" s="1"/>
  <c r="AH1629" i="1"/>
  <c r="AI1629" i="1" s="1"/>
  <c r="AH1630" i="1"/>
  <c r="AI1630" i="1" s="1"/>
  <c r="AH1631" i="1"/>
  <c r="AI1631" i="1" s="1"/>
  <c r="AH1632" i="1"/>
  <c r="AI1632" i="1" s="1"/>
  <c r="AH1633" i="1"/>
  <c r="AI1633" i="1" s="1"/>
  <c r="AH1634" i="1"/>
  <c r="AI1634" i="1" s="1"/>
  <c r="AH1635" i="1"/>
  <c r="AI1635" i="1" s="1"/>
  <c r="AH1636" i="1"/>
  <c r="AI1636" i="1" s="1"/>
  <c r="AH1637" i="1"/>
  <c r="AI1637" i="1" s="1"/>
  <c r="AH1638" i="1"/>
  <c r="AI1638" i="1" s="1"/>
  <c r="AH1639" i="1"/>
  <c r="AI1639" i="1" s="1"/>
  <c r="AH1640" i="1"/>
  <c r="AI1640" i="1" s="1"/>
  <c r="AH1641" i="1"/>
  <c r="AI1641" i="1" s="1"/>
  <c r="AH1642" i="1"/>
  <c r="AI1642" i="1" s="1"/>
  <c r="AH1643" i="1"/>
  <c r="AI1643" i="1" s="1"/>
  <c r="AH1644" i="1"/>
  <c r="AI1644" i="1" s="1"/>
  <c r="AH1645" i="1"/>
  <c r="AI1645" i="1" s="1"/>
  <c r="AH1646" i="1"/>
  <c r="AI1646" i="1" s="1"/>
  <c r="AH1647" i="1"/>
  <c r="AI1647" i="1" s="1"/>
  <c r="AH1648" i="1"/>
  <c r="AI1648" i="1" s="1"/>
  <c r="AH1649" i="1"/>
  <c r="AI1649" i="1" s="1"/>
  <c r="AH1650" i="1"/>
  <c r="AI1650" i="1" s="1"/>
  <c r="AH1651" i="1"/>
  <c r="AI1651" i="1" s="1"/>
  <c r="AH1652" i="1"/>
  <c r="AI1652" i="1" s="1"/>
  <c r="AH1653" i="1"/>
  <c r="AI1653" i="1" s="1"/>
  <c r="AH1654" i="1"/>
  <c r="AI1654" i="1" s="1"/>
  <c r="AH1655" i="1"/>
  <c r="AI1655" i="1" s="1"/>
  <c r="AH1656" i="1"/>
  <c r="AI1656" i="1" s="1"/>
  <c r="AH1657" i="1"/>
  <c r="AI1657" i="1" s="1"/>
  <c r="AH1658" i="1"/>
  <c r="AI1658" i="1" s="1"/>
  <c r="AH1659" i="1"/>
  <c r="AI1659" i="1" s="1"/>
  <c r="AH1660" i="1"/>
  <c r="AI1660" i="1" s="1"/>
  <c r="AH1661" i="1"/>
  <c r="AI1661" i="1" s="1"/>
  <c r="AH1662" i="1"/>
  <c r="AI1662" i="1" s="1"/>
  <c r="AH1663" i="1"/>
  <c r="AI1663" i="1" s="1"/>
  <c r="AH1664" i="1"/>
  <c r="AI1664" i="1" s="1"/>
  <c r="AH1665" i="1"/>
  <c r="AI1665" i="1" s="1"/>
  <c r="AH1666" i="1"/>
  <c r="AI1666" i="1" s="1"/>
  <c r="AH1667" i="1"/>
  <c r="AI1667" i="1" s="1"/>
  <c r="AH1668" i="1"/>
  <c r="AI1668" i="1" s="1"/>
  <c r="AH1669" i="1"/>
  <c r="AI1669" i="1" s="1"/>
  <c r="AH1670" i="1"/>
  <c r="AI1670" i="1" s="1"/>
  <c r="AH1671" i="1"/>
  <c r="AI1671" i="1" s="1"/>
  <c r="AH1672" i="1"/>
  <c r="AI1672" i="1" s="1"/>
  <c r="AH1673" i="1"/>
  <c r="AI1673" i="1" s="1"/>
  <c r="AH1674" i="1"/>
  <c r="AI1674" i="1" s="1"/>
  <c r="AH1675" i="1"/>
  <c r="AI1675" i="1" s="1"/>
  <c r="AH1676" i="1"/>
  <c r="AI1676" i="1" s="1"/>
  <c r="AH1677" i="1"/>
  <c r="AI1677" i="1" s="1"/>
  <c r="AH1678" i="1"/>
  <c r="AI1678" i="1" s="1"/>
  <c r="AH1679" i="1"/>
  <c r="AI1679" i="1" s="1"/>
  <c r="AH1680" i="1"/>
  <c r="AI1680" i="1" s="1"/>
  <c r="AH1681" i="1"/>
  <c r="AI1681" i="1" s="1"/>
  <c r="AH1682" i="1"/>
  <c r="AI1682" i="1" s="1"/>
  <c r="AH1683" i="1"/>
  <c r="AI1683" i="1" s="1"/>
  <c r="AH1684" i="1"/>
  <c r="AI1684" i="1" s="1"/>
  <c r="AH1685" i="1"/>
  <c r="AI1685" i="1" s="1"/>
  <c r="AH1686" i="1"/>
  <c r="AI1686" i="1" s="1"/>
  <c r="AH1687" i="1"/>
  <c r="AI1687" i="1" s="1"/>
  <c r="AH1688" i="1"/>
  <c r="AI1688" i="1" s="1"/>
  <c r="AH1689" i="1"/>
  <c r="AI1689" i="1" s="1"/>
  <c r="AH1690" i="1"/>
  <c r="AI1690" i="1" s="1"/>
  <c r="AH1691" i="1"/>
  <c r="AI1691" i="1" s="1"/>
  <c r="AH1692" i="1"/>
  <c r="AI1692" i="1" s="1"/>
  <c r="AH1693" i="1"/>
  <c r="AI1693" i="1" s="1"/>
  <c r="AH1694" i="1"/>
  <c r="AI1694" i="1" s="1"/>
  <c r="AH1695" i="1"/>
  <c r="AI1695" i="1" s="1"/>
  <c r="AH1696" i="1"/>
  <c r="AI1696" i="1" s="1"/>
  <c r="AH1697" i="1"/>
  <c r="AI1697" i="1" s="1"/>
  <c r="AH1698" i="1"/>
  <c r="AI1698" i="1" s="1"/>
  <c r="AH1699" i="1"/>
  <c r="AI1699" i="1" s="1"/>
  <c r="AH1700" i="1"/>
  <c r="AI1700" i="1" s="1"/>
  <c r="AH1701" i="1"/>
  <c r="AI1701" i="1" s="1"/>
  <c r="AH1702" i="1"/>
  <c r="AI1702" i="1" s="1"/>
  <c r="AH1703" i="1"/>
  <c r="AI1703" i="1" s="1"/>
  <c r="AH1704" i="1"/>
  <c r="AI1704" i="1" s="1"/>
  <c r="AH1705" i="1"/>
  <c r="AI1705" i="1" s="1"/>
  <c r="AH1706" i="1"/>
  <c r="AI1706" i="1" s="1"/>
  <c r="AH1707" i="1"/>
  <c r="AI1707" i="1" s="1"/>
  <c r="AH1708" i="1"/>
  <c r="AI1708" i="1" s="1"/>
  <c r="AH1709" i="1"/>
  <c r="AI1709" i="1" s="1"/>
  <c r="AH1710" i="1"/>
  <c r="AI1710" i="1" s="1"/>
  <c r="AH1711" i="1"/>
  <c r="AI1711" i="1" s="1"/>
  <c r="AH1712" i="1"/>
  <c r="AI1712" i="1" s="1"/>
  <c r="AH1713" i="1"/>
  <c r="AI1713" i="1" s="1"/>
  <c r="AH1714" i="1"/>
  <c r="AI1714" i="1" s="1"/>
  <c r="AH1715" i="1"/>
  <c r="AI1715" i="1" s="1"/>
  <c r="AH1716" i="1"/>
  <c r="AI1716" i="1" s="1"/>
  <c r="AH1717" i="1"/>
  <c r="AI1717" i="1" s="1"/>
  <c r="AH1718" i="1"/>
  <c r="AI1718" i="1" s="1"/>
  <c r="AH1719" i="1"/>
  <c r="AI1719" i="1" s="1"/>
  <c r="AH1720" i="1"/>
  <c r="AI1720" i="1" s="1"/>
  <c r="AH1721" i="1"/>
  <c r="AI1721" i="1" s="1"/>
  <c r="AH1722" i="1"/>
  <c r="AI1722" i="1" s="1"/>
  <c r="AH1723" i="1"/>
  <c r="AI1723" i="1" s="1"/>
  <c r="AH1724" i="1"/>
  <c r="AI1724" i="1" s="1"/>
  <c r="AH1725" i="1"/>
  <c r="AI1725" i="1" s="1"/>
  <c r="AH1726" i="1"/>
  <c r="AI1726" i="1" s="1"/>
  <c r="AH1727" i="1"/>
  <c r="AI1727" i="1" s="1"/>
  <c r="AH1728" i="1"/>
  <c r="AI1728" i="1" s="1"/>
  <c r="AH1729" i="1"/>
  <c r="AI1729" i="1" s="1"/>
  <c r="AH1730" i="1"/>
  <c r="AI1730" i="1" s="1"/>
  <c r="AH1731" i="1"/>
  <c r="AI1731" i="1" s="1"/>
  <c r="AH1732" i="1"/>
  <c r="AI1732" i="1" s="1"/>
  <c r="AH1733" i="1"/>
  <c r="AI1733" i="1" s="1"/>
  <c r="AH1734" i="1"/>
  <c r="AI1734" i="1" s="1"/>
  <c r="AH1735" i="1"/>
  <c r="AI1735" i="1" s="1"/>
  <c r="AH1736" i="1"/>
  <c r="AI1736" i="1" s="1"/>
  <c r="AH1737" i="1"/>
  <c r="AI1737" i="1" s="1"/>
  <c r="AH1738" i="1"/>
  <c r="AI1738" i="1" s="1"/>
  <c r="AH1739" i="1"/>
  <c r="AI1739" i="1" s="1"/>
  <c r="AH1740" i="1"/>
  <c r="AI1740" i="1" s="1"/>
  <c r="AH1741" i="1"/>
  <c r="AI1741" i="1" s="1"/>
  <c r="AH1742" i="1"/>
  <c r="AI1742" i="1" s="1"/>
  <c r="AH1743" i="1"/>
  <c r="AI1743" i="1" s="1"/>
  <c r="AH1744" i="1"/>
  <c r="AI1744" i="1" s="1"/>
  <c r="AH1745" i="1"/>
  <c r="AI1745" i="1" s="1"/>
  <c r="AH1746" i="1"/>
  <c r="AI1746" i="1" s="1"/>
  <c r="AH1747" i="1"/>
  <c r="AI1747" i="1" s="1"/>
  <c r="AH1748" i="1"/>
  <c r="AI1748" i="1" s="1"/>
  <c r="AH1749" i="1"/>
  <c r="AI1749" i="1" s="1"/>
  <c r="AH1750" i="1"/>
  <c r="AI1750" i="1" s="1"/>
  <c r="AH1751" i="1"/>
  <c r="AI1751" i="1" s="1"/>
  <c r="AH1752" i="1"/>
  <c r="AI1752" i="1" s="1"/>
  <c r="AH1753" i="1"/>
  <c r="AI1753" i="1" s="1"/>
  <c r="AH1754" i="1"/>
  <c r="AI1754" i="1" s="1"/>
  <c r="AH1755" i="1"/>
  <c r="AI1755" i="1" s="1"/>
  <c r="AH1756" i="1"/>
  <c r="AI1756" i="1" s="1"/>
  <c r="AH1757" i="1"/>
  <c r="AI1757" i="1" s="1"/>
  <c r="AH1758" i="1"/>
  <c r="AI1758" i="1" s="1"/>
  <c r="AH1759" i="1"/>
  <c r="AI1759" i="1" s="1"/>
  <c r="AH1760" i="1"/>
  <c r="AI1760" i="1" s="1"/>
  <c r="AH1761" i="1"/>
  <c r="AI1761" i="1" s="1"/>
  <c r="AH1762" i="1"/>
  <c r="AI1762" i="1" s="1"/>
  <c r="AH1763" i="1"/>
  <c r="AI1763" i="1" s="1"/>
  <c r="AH1764" i="1"/>
  <c r="AI1764" i="1" s="1"/>
  <c r="AH1765" i="1"/>
  <c r="AI1765" i="1" s="1"/>
  <c r="AH1766" i="1"/>
  <c r="AI1766" i="1" s="1"/>
  <c r="AH1767" i="1"/>
  <c r="AI1767" i="1" s="1"/>
  <c r="AH1768" i="1"/>
  <c r="AI1768" i="1" s="1"/>
  <c r="AH1769" i="1"/>
  <c r="AI1769" i="1" s="1"/>
  <c r="AH1770" i="1"/>
  <c r="AI1770" i="1" s="1"/>
  <c r="AH1771" i="1"/>
  <c r="AI1771" i="1" s="1"/>
  <c r="AH1772" i="1"/>
  <c r="AI1772" i="1" s="1"/>
  <c r="AH1773" i="1"/>
  <c r="AI1773" i="1" s="1"/>
  <c r="AH1774" i="1"/>
  <c r="AI1774" i="1" s="1"/>
  <c r="AH1775" i="1"/>
  <c r="AI1775" i="1" s="1"/>
  <c r="AH1776" i="1"/>
  <c r="AI1776" i="1" s="1"/>
  <c r="AH1777" i="1"/>
  <c r="AI1777" i="1" s="1"/>
  <c r="AH1778" i="1"/>
  <c r="AI1778" i="1" s="1"/>
  <c r="AH1779" i="1"/>
  <c r="AI1779" i="1" s="1"/>
  <c r="AH1780" i="1"/>
  <c r="AI1780" i="1" s="1"/>
  <c r="AH1781" i="1"/>
  <c r="AI1781" i="1" s="1"/>
  <c r="AH1782" i="1"/>
  <c r="AI1782" i="1" s="1"/>
  <c r="AH1783" i="1"/>
  <c r="AI1783" i="1" s="1"/>
  <c r="AH1784" i="1"/>
  <c r="AI1784" i="1" s="1"/>
  <c r="AH1785" i="1"/>
  <c r="AI1785" i="1" s="1"/>
  <c r="AH1786" i="1"/>
  <c r="AI1786" i="1" s="1"/>
  <c r="AH1787" i="1"/>
  <c r="AI1787" i="1" s="1"/>
  <c r="AH1788" i="1"/>
  <c r="AI1788" i="1" s="1"/>
  <c r="AH1789" i="1"/>
  <c r="AI1789" i="1" s="1"/>
  <c r="AH1790" i="1"/>
  <c r="AI1790" i="1" s="1"/>
  <c r="AH1791" i="1"/>
  <c r="AI1791" i="1" s="1"/>
  <c r="AH1792" i="1"/>
  <c r="AI1792" i="1" s="1"/>
  <c r="AH1793" i="1"/>
  <c r="AI1793" i="1" s="1"/>
  <c r="AH1794" i="1"/>
  <c r="AI1794" i="1" s="1"/>
  <c r="AH1795" i="1"/>
  <c r="AI1795" i="1" s="1"/>
  <c r="AH1796" i="1"/>
  <c r="AI1796" i="1" s="1"/>
  <c r="AH1797" i="1"/>
  <c r="AI1797" i="1" s="1"/>
  <c r="AH1798" i="1"/>
  <c r="AI1798" i="1" s="1"/>
  <c r="AH1799" i="1"/>
  <c r="AI1799" i="1" s="1"/>
  <c r="AH1800" i="1"/>
  <c r="AI1800" i="1" s="1"/>
  <c r="AH1801" i="1"/>
  <c r="AI1801" i="1" s="1"/>
  <c r="AH1802" i="1"/>
  <c r="AI1802" i="1" s="1"/>
  <c r="AH1803" i="1"/>
  <c r="AI1803" i="1" s="1"/>
  <c r="AH1804" i="1"/>
  <c r="AI1804" i="1" s="1"/>
  <c r="AH1805" i="1"/>
  <c r="AI1805" i="1" s="1"/>
  <c r="AH1806" i="1"/>
  <c r="AI1806" i="1" s="1"/>
  <c r="AH1807" i="1"/>
  <c r="AI1807" i="1" s="1"/>
  <c r="AH1808" i="1"/>
  <c r="AI1808" i="1" s="1"/>
  <c r="AH1809" i="1"/>
  <c r="AI1809" i="1" s="1"/>
  <c r="AH1810" i="1"/>
  <c r="AI1810" i="1" s="1"/>
  <c r="AH1811" i="1"/>
  <c r="AI1811" i="1" s="1"/>
  <c r="AH1818" i="1"/>
  <c r="AI1818" i="1" s="1"/>
  <c r="AH1819" i="1"/>
  <c r="AI1819" i="1" s="1"/>
  <c r="AH1820" i="1"/>
  <c r="AI1820" i="1" s="1"/>
  <c r="AH1821" i="1"/>
  <c r="AI1821" i="1" s="1"/>
  <c r="AH1500" i="1"/>
  <c r="AI1500" i="1" s="1"/>
  <c r="AH1501" i="1"/>
  <c r="AI1501" i="1" s="1"/>
  <c r="AH1502" i="1"/>
  <c r="AI1502" i="1" s="1"/>
  <c r="AH1503" i="1"/>
  <c r="AI1503" i="1" s="1"/>
  <c r="AH1504" i="1"/>
  <c r="AI1504" i="1" s="1"/>
  <c r="AH1505" i="1"/>
  <c r="AI1505" i="1" s="1"/>
  <c r="AH1506" i="1"/>
  <c r="AI1506" i="1" s="1"/>
  <c r="AH1507" i="1"/>
  <c r="AI1507" i="1" s="1"/>
  <c r="AH1508" i="1"/>
  <c r="AI1508" i="1" s="1"/>
  <c r="AH1509" i="1"/>
  <c r="AI1509" i="1" s="1"/>
  <c r="AH1510" i="1"/>
  <c r="AI1510" i="1" s="1"/>
  <c r="AH1511" i="1"/>
  <c r="AI1511" i="1" s="1"/>
  <c r="AH1512" i="1"/>
  <c r="AI1512" i="1" s="1"/>
  <c r="AH1513" i="1"/>
  <c r="AI1513" i="1" s="1"/>
  <c r="AH1514" i="1"/>
  <c r="AI1514" i="1" s="1"/>
  <c r="AH1515" i="1"/>
  <c r="AI1515" i="1" s="1"/>
  <c r="AH1516" i="1"/>
  <c r="AI1516" i="1" s="1"/>
  <c r="AH1517" i="1"/>
  <c r="AI1517" i="1" s="1"/>
  <c r="AH1518" i="1"/>
  <c r="AI1518" i="1" s="1"/>
  <c r="AH1519" i="1"/>
  <c r="AI1519" i="1" s="1"/>
  <c r="AH1520" i="1"/>
  <c r="AI1520" i="1" s="1"/>
  <c r="AH1521" i="1"/>
  <c r="AI1521" i="1" s="1"/>
  <c r="AH1522" i="1"/>
  <c r="AI1522" i="1" s="1"/>
  <c r="AH1523" i="1"/>
  <c r="AI1523" i="1" s="1"/>
  <c r="AH1524" i="1"/>
  <c r="AI1524" i="1" s="1"/>
  <c r="AH1525" i="1"/>
  <c r="AI1525" i="1" s="1"/>
  <c r="AH1526" i="1"/>
  <c r="AI1526" i="1" s="1"/>
  <c r="AH925" i="1"/>
  <c r="AI925" i="1" s="1"/>
  <c r="AH926" i="1"/>
  <c r="AI926" i="1" s="1"/>
  <c r="AH927" i="1"/>
  <c r="AI927" i="1" s="1"/>
  <c r="AH928" i="1"/>
  <c r="AI928" i="1" s="1"/>
  <c r="AH929" i="1"/>
  <c r="AI929" i="1" s="1"/>
  <c r="AH930" i="1"/>
  <c r="AI930" i="1" s="1"/>
  <c r="AH931" i="1"/>
  <c r="AI931" i="1" s="1"/>
  <c r="AH932" i="1"/>
  <c r="AI932" i="1" s="1"/>
  <c r="AH933" i="1"/>
  <c r="AI933" i="1" s="1"/>
  <c r="AH934" i="1"/>
  <c r="AI934" i="1" s="1"/>
  <c r="AH935" i="1"/>
  <c r="AI935" i="1" s="1"/>
  <c r="AH936" i="1"/>
  <c r="AH937" i="1"/>
  <c r="AH938" i="1"/>
  <c r="AH939" i="1"/>
  <c r="AH940" i="1"/>
  <c r="AH941" i="1"/>
  <c r="AH942" i="1"/>
  <c r="AH943" i="1"/>
  <c r="AH944" i="1"/>
  <c r="AH945" i="1"/>
  <c r="AH946" i="1"/>
  <c r="AH947" i="1"/>
  <c r="AI947" i="1" s="1"/>
  <c r="AH948" i="1"/>
  <c r="AI948" i="1" s="1"/>
  <c r="AH949" i="1"/>
  <c r="AI949" i="1" s="1"/>
  <c r="AH950" i="1"/>
  <c r="AI950" i="1" s="1"/>
  <c r="AH951" i="1"/>
  <c r="AI951" i="1" s="1"/>
  <c r="AH952" i="1"/>
  <c r="AI952" i="1" s="1"/>
  <c r="AH953" i="1"/>
  <c r="AI953" i="1" s="1"/>
  <c r="AH954" i="1"/>
  <c r="AI954" i="1" s="1"/>
  <c r="AH955" i="1"/>
  <c r="AI955" i="1" s="1"/>
  <c r="AH956" i="1"/>
  <c r="AI956" i="1" s="1"/>
  <c r="AH957" i="1"/>
  <c r="AI957" i="1" s="1"/>
  <c r="AH958" i="1"/>
  <c r="AI958" i="1" s="1"/>
  <c r="AH959" i="1"/>
  <c r="AI959" i="1" s="1"/>
  <c r="AH960" i="1"/>
  <c r="AI960" i="1" s="1"/>
  <c r="AH961" i="1"/>
  <c r="AI961" i="1" s="1"/>
  <c r="AH962" i="1"/>
  <c r="AI962" i="1" s="1"/>
  <c r="AH963" i="1"/>
  <c r="AI963" i="1" s="1"/>
  <c r="AH964" i="1"/>
  <c r="AI964" i="1" s="1"/>
  <c r="AH965" i="1"/>
  <c r="AI965" i="1" s="1"/>
  <c r="AH966" i="1"/>
  <c r="AI966" i="1" s="1"/>
  <c r="AH967" i="1"/>
  <c r="AI967" i="1" s="1"/>
  <c r="AH968" i="1"/>
  <c r="AI968" i="1" s="1"/>
  <c r="AH969" i="1"/>
  <c r="AI969" i="1" s="1"/>
  <c r="AH970" i="1"/>
  <c r="AI970" i="1" s="1"/>
  <c r="AH971" i="1"/>
  <c r="AI971" i="1" s="1"/>
  <c r="AH972" i="1"/>
  <c r="AI972" i="1" s="1"/>
  <c r="AH973" i="1"/>
  <c r="AI973" i="1" s="1"/>
  <c r="AH974" i="1"/>
  <c r="AI974" i="1" s="1"/>
  <c r="AH975" i="1"/>
  <c r="AI975" i="1" s="1"/>
  <c r="AH976" i="1"/>
  <c r="AI976" i="1" s="1"/>
  <c r="AH977" i="1"/>
  <c r="AI977" i="1" s="1"/>
  <c r="AH978" i="1"/>
  <c r="AI978" i="1" s="1"/>
  <c r="AH979" i="1"/>
  <c r="AI979" i="1" s="1"/>
  <c r="AH980" i="1"/>
  <c r="AI980" i="1" s="1"/>
  <c r="AH981" i="1"/>
  <c r="AI981" i="1" s="1"/>
  <c r="AH982" i="1"/>
  <c r="AI982" i="1" s="1"/>
  <c r="AH983" i="1"/>
  <c r="AI983" i="1" s="1"/>
  <c r="AH984" i="1"/>
  <c r="AI984" i="1" s="1"/>
  <c r="AH985" i="1"/>
  <c r="AI985" i="1" s="1"/>
  <c r="AH986" i="1"/>
  <c r="AI986" i="1" s="1"/>
  <c r="AH987" i="1"/>
  <c r="AI987" i="1" s="1"/>
  <c r="AH988" i="1"/>
  <c r="AI988" i="1" s="1"/>
  <c r="AH989" i="1"/>
  <c r="AI989" i="1" s="1"/>
  <c r="AH990" i="1"/>
  <c r="AI990" i="1" s="1"/>
  <c r="AH991" i="1"/>
  <c r="AI991" i="1" s="1"/>
  <c r="AH992" i="1"/>
  <c r="AI992" i="1" s="1"/>
  <c r="AH993" i="1"/>
  <c r="AI993" i="1" s="1"/>
  <c r="AH994" i="1"/>
  <c r="AI994" i="1" s="1"/>
  <c r="AH995" i="1"/>
  <c r="AI995" i="1" s="1"/>
  <c r="AH996" i="1"/>
  <c r="AI996" i="1" s="1"/>
  <c r="AH997" i="1"/>
  <c r="AI997" i="1" s="1"/>
  <c r="AH998" i="1"/>
  <c r="AI998" i="1" s="1"/>
  <c r="AH999" i="1"/>
  <c r="AI999" i="1" s="1"/>
  <c r="AH1000" i="1"/>
  <c r="AI1000" i="1" s="1"/>
  <c r="AH1001" i="1"/>
  <c r="AI1001" i="1" s="1"/>
  <c r="AH1002" i="1"/>
  <c r="AI1002" i="1" s="1"/>
  <c r="AH1003" i="1"/>
  <c r="AI1003" i="1" s="1"/>
  <c r="AH1004" i="1"/>
  <c r="AI1004" i="1" s="1"/>
  <c r="AH1005" i="1"/>
  <c r="AI1005" i="1" s="1"/>
  <c r="AH1006" i="1"/>
  <c r="AI1006" i="1" s="1"/>
  <c r="AH1007" i="1"/>
  <c r="AI1007" i="1" s="1"/>
  <c r="AH1008" i="1"/>
  <c r="AI1008" i="1" s="1"/>
  <c r="AH1009" i="1"/>
  <c r="AI1009" i="1" s="1"/>
  <c r="AH1010" i="1"/>
  <c r="AI1010" i="1" s="1"/>
  <c r="AH1011" i="1"/>
  <c r="AI1011" i="1" s="1"/>
  <c r="AH1012" i="1"/>
  <c r="AI1012" i="1" s="1"/>
  <c r="AH1013" i="1"/>
  <c r="AI1013" i="1" s="1"/>
  <c r="AH1014" i="1"/>
  <c r="AI1014" i="1" s="1"/>
  <c r="AH1015" i="1"/>
  <c r="AI1015" i="1" s="1"/>
  <c r="AH1016" i="1"/>
  <c r="AI1016" i="1" s="1"/>
  <c r="AH1017" i="1"/>
  <c r="AI1017" i="1" s="1"/>
  <c r="AH1018" i="1"/>
  <c r="AI1018" i="1" s="1"/>
  <c r="AH1019" i="1"/>
  <c r="AI1019" i="1" s="1"/>
  <c r="AH1020" i="1"/>
  <c r="AI1020" i="1" s="1"/>
  <c r="AH1021" i="1"/>
  <c r="AI1021" i="1" s="1"/>
  <c r="AH1022" i="1"/>
  <c r="AI1022" i="1" s="1"/>
  <c r="AH1023" i="1"/>
  <c r="AI1023" i="1" s="1"/>
  <c r="AH1024" i="1"/>
  <c r="AI1024" i="1" s="1"/>
  <c r="AH1025" i="1"/>
  <c r="AI1025" i="1" s="1"/>
  <c r="AH1026" i="1"/>
  <c r="AI1026" i="1" s="1"/>
  <c r="AH1027" i="1"/>
  <c r="AI1027" i="1" s="1"/>
  <c r="AH1028" i="1"/>
  <c r="AI1028" i="1" s="1"/>
  <c r="AH1029" i="1"/>
  <c r="AI1029" i="1" s="1"/>
  <c r="AH1030" i="1"/>
  <c r="AI1030" i="1" s="1"/>
  <c r="AH1031" i="1"/>
  <c r="AI1031" i="1" s="1"/>
  <c r="AH1032" i="1"/>
  <c r="AI1032" i="1" s="1"/>
  <c r="AH1033" i="1"/>
  <c r="AI1033" i="1" s="1"/>
  <c r="AH1034" i="1"/>
  <c r="AI1034" i="1" s="1"/>
  <c r="AH1035" i="1"/>
  <c r="AI1035" i="1" s="1"/>
  <c r="AH1036" i="1"/>
  <c r="AI1036" i="1" s="1"/>
  <c r="AH1037" i="1"/>
  <c r="AI1037" i="1" s="1"/>
  <c r="AH1038" i="1"/>
  <c r="AI1038" i="1" s="1"/>
  <c r="AH1039" i="1"/>
  <c r="AI1039" i="1" s="1"/>
  <c r="AH1040" i="1"/>
  <c r="AI1040" i="1" s="1"/>
  <c r="AH1041" i="1"/>
  <c r="AI1041" i="1" s="1"/>
  <c r="AH1042" i="1"/>
  <c r="AI1042" i="1" s="1"/>
  <c r="AH1043" i="1"/>
  <c r="AI1043" i="1" s="1"/>
  <c r="AH1044" i="1"/>
  <c r="AI1044" i="1" s="1"/>
  <c r="AH1045" i="1"/>
  <c r="AI1045" i="1" s="1"/>
  <c r="AH1046" i="1"/>
  <c r="AI1046" i="1" s="1"/>
  <c r="AH1047" i="1"/>
  <c r="AI1047" i="1" s="1"/>
  <c r="AH1048" i="1"/>
  <c r="AI1048" i="1" s="1"/>
  <c r="AH1049" i="1"/>
  <c r="AI1049" i="1" s="1"/>
  <c r="AH1050" i="1"/>
  <c r="AI1050" i="1" s="1"/>
  <c r="AH1051" i="1"/>
  <c r="AI1051" i="1" s="1"/>
  <c r="AH1052" i="1"/>
  <c r="AI1052" i="1" s="1"/>
  <c r="AH1053" i="1"/>
  <c r="AI1053" i="1" s="1"/>
  <c r="AH1054" i="1"/>
  <c r="AI1054" i="1" s="1"/>
  <c r="AH1055" i="1"/>
  <c r="AI1055" i="1" s="1"/>
  <c r="AH1056" i="1"/>
  <c r="AI1056" i="1" s="1"/>
  <c r="AH1057" i="1"/>
  <c r="AI1057" i="1" s="1"/>
  <c r="AH1058" i="1"/>
  <c r="AI1058" i="1" s="1"/>
  <c r="AH1059" i="1"/>
  <c r="AI1059" i="1" s="1"/>
  <c r="AH1060" i="1"/>
  <c r="AI1060" i="1" s="1"/>
  <c r="AH1061" i="1"/>
  <c r="AI1061" i="1" s="1"/>
  <c r="AH1062" i="1"/>
  <c r="AI1062" i="1" s="1"/>
  <c r="AH1063" i="1"/>
  <c r="AI1063" i="1" s="1"/>
  <c r="AH1064" i="1"/>
  <c r="AI1064" i="1" s="1"/>
  <c r="AH1065" i="1"/>
  <c r="AI1065" i="1" s="1"/>
  <c r="AH1066" i="1"/>
  <c r="AI1066" i="1" s="1"/>
  <c r="AH1067" i="1"/>
  <c r="AI1067" i="1" s="1"/>
  <c r="AH1068" i="1"/>
  <c r="AI1068" i="1" s="1"/>
  <c r="AH1069" i="1"/>
  <c r="AI1069" i="1" s="1"/>
  <c r="AH1070" i="1"/>
  <c r="AI1070" i="1" s="1"/>
  <c r="AH1071" i="1"/>
  <c r="AI1071" i="1" s="1"/>
  <c r="AH1072" i="1"/>
  <c r="AI1072" i="1" s="1"/>
  <c r="AH1073" i="1"/>
  <c r="AI1073" i="1" s="1"/>
  <c r="AH1074" i="1"/>
  <c r="AI1074" i="1" s="1"/>
  <c r="AH1075" i="1"/>
  <c r="AI1075" i="1" s="1"/>
  <c r="AH1076" i="1"/>
  <c r="AI1076" i="1" s="1"/>
  <c r="AH1077" i="1"/>
  <c r="AI1077" i="1" s="1"/>
  <c r="AH1078" i="1"/>
  <c r="AI1078" i="1" s="1"/>
  <c r="AH1079" i="1"/>
  <c r="AI1079" i="1" s="1"/>
  <c r="AH1080" i="1"/>
  <c r="AI1080" i="1" s="1"/>
  <c r="AH1081" i="1"/>
  <c r="AI1081" i="1" s="1"/>
  <c r="AH1082" i="1"/>
  <c r="AI1082" i="1" s="1"/>
  <c r="AH1083" i="1"/>
  <c r="AI1083" i="1" s="1"/>
  <c r="AH1084" i="1"/>
  <c r="AI1084" i="1" s="1"/>
  <c r="AH1085" i="1"/>
  <c r="AI1085" i="1" s="1"/>
  <c r="AH1086" i="1"/>
  <c r="AI1086" i="1" s="1"/>
  <c r="AH1087" i="1"/>
  <c r="AI1087" i="1" s="1"/>
  <c r="AH1088" i="1"/>
  <c r="AI1088" i="1" s="1"/>
  <c r="AH1089" i="1"/>
  <c r="AI1089" i="1" s="1"/>
  <c r="AH1090" i="1"/>
  <c r="AI1090" i="1" s="1"/>
  <c r="AH1091" i="1"/>
  <c r="AI1091" i="1" s="1"/>
  <c r="AH1092" i="1"/>
  <c r="AI1092" i="1" s="1"/>
  <c r="AH1093" i="1"/>
  <c r="AI1093" i="1" s="1"/>
  <c r="AH1094" i="1"/>
  <c r="AI1094" i="1" s="1"/>
  <c r="AH1095" i="1"/>
  <c r="AI1095" i="1" s="1"/>
  <c r="AH1096" i="1"/>
  <c r="AI1096" i="1" s="1"/>
  <c r="AH1097" i="1"/>
  <c r="AI1097" i="1" s="1"/>
  <c r="AH1098" i="1"/>
  <c r="AI1098" i="1" s="1"/>
  <c r="AH1099" i="1"/>
  <c r="AI1099" i="1" s="1"/>
  <c r="AH1100" i="1"/>
  <c r="AI1100" i="1" s="1"/>
  <c r="AH1101" i="1"/>
  <c r="AI1101" i="1" s="1"/>
  <c r="AH1102" i="1"/>
  <c r="AI1102" i="1" s="1"/>
  <c r="AH1103" i="1"/>
  <c r="AI1103" i="1" s="1"/>
  <c r="AH1104" i="1"/>
  <c r="AI1104" i="1" s="1"/>
  <c r="AH1105" i="1"/>
  <c r="AI1105" i="1" s="1"/>
  <c r="AH1106" i="1"/>
  <c r="AI1106" i="1" s="1"/>
  <c r="AH1107" i="1"/>
  <c r="AI1107" i="1" s="1"/>
  <c r="AH1108" i="1"/>
  <c r="AI1108" i="1" s="1"/>
  <c r="AH1109" i="1"/>
  <c r="AI1109" i="1" s="1"/>
  <c r="AH1110" i="1"/>
  <c r="AI1110" i="1" s="1"/>
  <c r="AH1111" i="1"/>
  <c r="AI1111" i="1" s="1"/>
  <c r="AH1112" i="1"/>
  <c r="AI1112" i="1" s="1"/>
  <c r="AH1113" i="1"/>
  <c r="AI1113" i="1" s="1"/>
  <c r="AH1114" i="1"/>
  <c r="AI1114" i="1" s="1"/>
  <c r="AH1115" i="1"/>
  <c r="AI1115" i="1" s="1"/>
  <c r="AH1116" i="1"/>
  <c r="AI1116" i="1" s="1"/>
  <c r="AH1117" i="1"/>
  <c r="AI1117" i="1" s="1"/>
  <c r="AH1118" i="1"/>
  <c r="AI1118" i="1" s="1"/>
  <c r="AH1119" i="1"/>
  <c r="AI1119" i="1" s="1"/>
  <c r="AH1120" i="1"/>
  <c r="AI1120" i="1" s="1"/>
  <c r="AH1121" i="1"/>
  <c r="AI1121" i="1" s="1"/>
  <c r="AH1122" i="1"/>
  <c r="AI1122" i="1" s="1"/>
  <c r="AH1123" i="1"/>
  <c r="AI1123" i="1" s="1"/>
  <c r="AH1124" i="1"/>
  <c r="AI1124" i="1" s="1"/>
  <c r="AH1125" i="1"/>
  <c r="AI1125" i="1" s="1"/>
  <c r="AH1126" i="1"/>
  <c r="AI1126" i="1" s="1"/>
  <c r="AH1127" i="1"/>
  <c r="AI1127" i="1" s="1"/>
  <c r="AH1128" i="1"/>
  <c r="AI1128" i="1" s="1"/>
  <c r="AH1129" i="1"/>
  <c r="AI1129" i="1" s="1"/>
  <c r="AH1130" i="1"/>
  <c r="AI1130" i="1" s="1"/>
  <c r="AH1131" i="1"/>
  <c r="AI1131" i="1" s="1"/>
  <c r="AH1132" i="1"/>
  <c r="AI1132" i="1" s="1"/>
  <c r="AH1133" i="1"/>
  <c r="AI1133" i="1" s="1"/>
  <c r="AH1134" i="1"/>
  <c r="AI1134" i="1" s="1"/>
  <c r="AH1135" i="1"/>
  <c r="AI1135" i="1" s="1"/>
  <c r="AH1136" i="1"/>
  <c r="AI1136" i="1" s="1"/>
  <c r="AH1137" i="1"/>
  <c r="AI1137" i="1" s="1"/>
  <c r="AH1138" i="1"/>
  <c r="AI1138" i="1" s="1"/>
  <c r="AH1139" i="1"/>
  <c r="AI1139" i="1" s="1"/>
  <c r="AH1140" i="1"/>
  <c r="AI1140" i="1" s="1"/>
  <c r="AH1141" i="1"/>
  <c r="AI1141" i="1" s="1"/>
  <c r="AH1142" i="1"/>
  <c r="AI1142" i="1" s="1"/>
  <c r="AH1143" i="1"/>
  <c r="AI1143" i="1" s="1"/>
  <c r="AH1144" i="1"/>
  <c r="AI1144" i="1" s="1"/>
  <c r="AH1145" i="1"/>
  <c r="AI1145" i="1" s="1"/>
  <c r="AH1146" i="1"/>
  <c r="AI1146" i="1" s="1"/>
  <c r="AH1147" i="1"/>
  <c r="AI1147" i="1" s="1"/>
  <c r="AH1148" i="1"/>
  <c r="AI1148" i="1" s="1"/>
  <c r="AH1149" i="1"/>
  <c r="AI1149" i="1" s="1"/>
  <c r="AH1150" i="1"/>
  <c r="AI1150" i="1" s="1"/>
  <c r="AH1151" i="1"/>
  <c r="AI1151" i="1" s="1"/>
  <c r="AH1152" i="1"/>
  <c r="AI1152" i="1" s="1"/>
  <c r="AH1153" i="1"/>
  <c r="AI1153" i="1" s="1"/>
  <c r="AH1154" i="1"/>
  <c r="AI1154" i="1" s="1"/>
  <c r="AH1155" i="1"/>
  <c r="AI1155" i="1" s="1"/>
  <c r="AH1156" i="1"/>
  <c r="AI1156" i="1" s="1"/>
  <c r="AH1157" i="1"/>
  <c r="AI1157" i="1" s="1"/>
  <c r="AH1158" i="1"/>
  <c r="AI1158" i="1" s="1"/>
  <c r="AH1159" i="1"/>
  <c r="AI1159" i="1" s="1"/>
  <c r="AH1160" i="1"/>
  <c r="AI1160" i="1" s="1"/>
  <c r="AH1161" i="1"/>
  <c r="AI1161" i="1" s="1"/>
  <c r="AH1162" i="1"/>
  <c r="AI1162" i="1" s="1"/>
  <c r="AH1163" i="1"/>
  <c r="AI1163" i="1" s="1"/>
  <c r="AH1164" i="1"/>
  <c r="AI1164" i="1" s="1"/>
  <c r="AH1165" i="1"/>
  <c r="AI1165" i="1" s="1"/>
  <c r="AH1166" i="1"/>
  <c r="AI1166" i="1" s="1"/>
  <c r="AH1167" i="1"/>
  <c r="AI1167" i="1" s="1"/>
  <c r="AH1168" i="1"/>
  <c r="AI1168" i="1" s="1"/>
  <c r="AH1169" i="1"/>
  <c r="AI1169" i="1" s="1"/>
  <c r="AH1170" i="1"/>
  <c r="AI1170" i="1" s="1"/>
  <c r="AH1171" i="1"/>
  <c r="AI1171" i="1" s="1"/>
  <c r="AH1172" i="1"/>
  <c r="AI1172" i="1" s="1"/>
  <c r="AH1173" i="1"/>
  <c r="AI1173" i="1" s="1"/>
  <c r="AH1174" i="1"/>
  <c r="AI1174" i="1" s="1"/>
  <c r="AH1175" i="1"/>
  <c r="AI1175" i="1" s="1"/>
  <c r="AH1176" i="1"/>
  <c r="AI1176" i="1" s="1"/>
  <c r="AH1177" i="1"/>
  <c r="AI1177" i="1" s="1"/>
  <c r="AH1178" i="1"/>
  <c r="AI1178" i="1" s="1"/>
  <c r="AH1179" i="1"/>
  <c r="AI1179" i="1" s="1"/>
  <c r="AH1180" i="1"/>
  <c r="AI1180" i="1" s="1"/>
  <c r="AH1181" i="1"/>
  <c r="AI1181" i="1" s="1"/>
  <c r="AH1182" i="1"/>
  <c r="AI1182" i="1" s="1"/>
  <c r="AH1183" i="1"/>
  <c r="AI1183" i="1" s="1"/>
  <c r="AH1184" i="1"/>
  <c r="AI1184" i="1" s="1"/>
  <c r="AH1185" i="1"/>
  <c r="AI1185" i="1" s="1"/>
  <c r="AH1186" i="1"/>
  <c r="AI1186" i="1" s="1"/>
  <c r="AH1187" i="1"/>
  <c r="AI1187" i="1" s="1"/>
  <c r="AH1188" i="1"/>
  <c r="AI1188" i="1" s="1"/>
  <c r="AH1189" i="1"/>
  <c r="AI1189" i="1" s="1"/>
  <c r="AH1190" i="1"/>
  <c r="AI1190" i="1" s="1"/>
  <c r="AH1191" i="1"/>
  <c r="AI1191" i="1" s="1"/>
  <c r="AH1192" i="1"/>
  <c r="AI1192" i="1" s="1"/>
  <c r="AH1193" i="1"/>
  <c r="AI1193" i="1" s="1"/>
  <c r="AH1194" i="1"/>
  <c r="AI1194" i="1" s="1"/>
  <c r="AH1195" i="1"/>
  <c r="AI1195" i="1" s="1"/>
  <c r="AH1196" i="1"/>
  <c r="AI1196" i="1" s="1"/>
  <c r="AH1197" i="1"/>
  <c r="AI1197" i="1" s="1"/>
  <c r="AH1198" i="1"/>
  <c r="AI1198" i="1" s="1"/>
  <c r="AH1199" i="1"/>
  <c r="AI1199" i="1" s="1"/>
  <c r="AH1200" i="1"/>
  <c r="AI1200" i="1" s="1"/>
  <c r="AH1201" i="1"/>
  <c r="AI1201" i="1" s="1"/>
  <c r="AH1202" i="1"/>
  <c r="AI1202" i="1" s="1"/>
  <c r="AH1203" i="1"/>
  <c r="AI1203" i="1" s="1"/>
  <c r="AH1204" i="1"/>
  <c r="AI1204" i="1" s="1"/>
  <c r="AH1205" i="1"/>
  <c r="AI1205" i="1" s="1"/>
  <c r="AH1206" i="1"/>
  <c r="AI1206" i="1" s="1"/>
  <c r="AH1207" i="1"/>
  <c r="AI1207" i="1" s="1"/>
  <c r="AH1208" i="1"/>
  <c r="AI1208" i="1" s="1"/>
  <c r="AH1209" i="1"/>
  <c r="AI1209" i="1" s="1"/>
  <c r="AH1210" i="1"/>
  <c r="AI1210" i="1" s="1"/>
  <c r="AH1211" i="1"/>
  <c r="AI1211" i="1" s="1"/>
  <c r="AH1212" i="1"/>
  <c r="AI1212" i="1" s="1"/>
  <c r="AH1213" i="1"/>
  <c r="AI1213" i="1" s="1"/>
  <c r="AH1214" i="1"/>
  <c r="AI1214" i="1" s="1"/>
  <c r="AH1215" i="1"/>
  <c r="AI1215" i="1" s="1"/>
  <c r="AH1216" i="1"/>
  <c r="AI1216" i="1" s="1"/>
  <c r="AH1217" i="1"/>
  <c r="AI1217" i="1" s="1"/>
  <c r="AH1218" i="1"/>
  <c r="AI1218" i="1" s="1"/>
  <c r="AH1219" i="1"/>
  <c r="AI1219" i="1" s="1"/>
  <c r="AH1220" i="1"/>
  <c r="AI1220" i="1" s="1"/>
  <c r="AH1221" i="1"/>
  <c r="AI1221" i="1" s="1"/>
  <c r="AH1222" i="1"/>
  <c r="AI1222" i="1" s="1"/>
  <c r="AH1223" i="1"/>
  <c r="AI1223" i="1" s="1"/>
  <c r="AH1224" i="1"/>
  <c r="AI1224" i="1" s="1"/>
  <c r="AH1225" i="1"/>
  <c r="AI1225" i="1" s="1"/>
  <c r="AH1226" i="1"/>
  <c r="AI1226" i="1" s="1"/>
  <c r="AH1227" i="1"/>
  <c r="AI1227" i="1" s="1"/>
  <c r="AH1228" i="1"/>
  <c r="AI1228" i="1" s="1"/>
  <c r="AH1229" i="1"/>
  <c r="AI1229" i="1" s="1"/>
  <c r="AH1230" i="1"/>
  <c r="AI1230" i="1" s="1"/>
  <c r="AH1231" i="1"/>
  <c r="AI1231" i="1" s="1"/>
  <c r="AH1232" i="1"/>
  <c r="AI1232" i="1" s="1"/>
  <c r="AH1233" i="1"/>
  <c r="AI1233" i="1" s="1"/>
  <c r="AH1234" i="1"/>
  <c r="AI1234" i="1" s="1"/>
  <c r="AH1235" i="1"/>
  <c r="AI1235" i="1" s="1"/>
  <c r="AH1236" i="1"/>
  <c r="AI1236" i="1" s="1"/>
  <c r="AH1237" i="1"/>
  <c r="AI1237" i="1" s="1"/>
  <c r="AH1238" i="1"/>
  <c r="AI1238" i="1" s="1"/>
  <c r="AH1239" i="1"/>
  <c r="AI1239" i="1" s="1"/>
  <c r="AH1240" i="1"/>
  <c r="AI1240" i="1" s="1"/>
  <c r="AH1241" i="1"/>
  <c r="AI1241" i="1" s="1"/>
  <c r="AH1242" i="1"/>
  <c r="AI1242" i="1" s="1"/>
  <c r="AH1243" i="1"/>
  <c r="AI1243" i="1" s="1"/>
  <c r="AH1244" i="1"/>
  <c r="AI1244" i="1" s="1"/>
  <c r="AH1245" i="1"/>
  <c r="AI1245" i="1" s="1"/>
  <c r="AH1246" i="1"/>
  <c r="AI1246" i="1" s="1"/>
  <c r="AH1247" i="1"/>
  <c r="AI1247" i="1" s="1"/>
  <c r="AH1248" i="1"/>
  <c r="AI1248" i="1" s="1"/>
  <c r="AH1249" i="1"/>
  <c r="AI1249" i="1" s="1"/>
  <c r="AH1250" i="1"/>
  <c r="AI1250" i="1" s="1"/>
  <c r="AH1251" i="1"/>
  <c r="AI1251" i="1" s="1"/>
  <c r="AH1252" i="1"/>
  <c r="AI1252" i="1" s="1"/>
  <c r="AH1253" i="1"/>
  <c r="AI1253" i="1" s="1"/>
  <c r="AH1254" i="1"/>
  <c r="AI1254" i="1" s="1"/>
  <c r="AH1255" i="1"/>
  <c r="AI1255" i="1" s="1"/>
  <c r="AH1256" i="1"/>
  <c r="AI1256" i="1" s="1"/>
  <c r="AH1257" i="1"/>
  <c r="AI1257" i="1" s="1"/>
  <c r="AH1258" i="1"/>
  <c r="AI1258" i="1" s="1"/>
  <c r="AH1259" i="1"/>
  <c r="AI1259" i="1" s="1"/>
  <c r="AH1260" i="1"/>
  <c r="AI1260" i="1" s="1"/>
  <c r="AH1261" i="1"/>
  <c r="AI1261" i="1" s="1"/>
  <c r="AH1262" i="1"/>
  <c r="AI1262" i="1" s="1"/>
  <c r="AH1263" i="1"/>
  <c r="AI1263" i="1" s="1"/>
  <c r="AH1264" i="1"/>
  <c r="AI1264" i="1" s="1"/>
  <c r="AH1265" i="1"/>
  <c r="AI1265" i="1" s="1"/>
  <c r="AH1266" i="1"/>
  <c r="AI1266" i="1" s="1"/>
  <c r="AH1267" i="1"/>
  <c r="AI1267" i="1" s="1"/>
  <c r="AH1268" i="1"/>
  <c r="AI1268" i="1" s="1"/>
  <c r="AH1269" i="1"/>
  <c r="AI1269" i="1" s="1"/>
  <c r="AH1270" i="1"/>
  <c r="AI1270" i="1" s="1"/>
  <c r="AH1271" i="1"/>
  <c r="AI1271" i="1" s="1"/>
  <c r="AH1272" i="1"/>
  <c r="AI1272" i="1" s="1"/>
  <c r="AH1273" i="1"/>
  <c r="AI1273" i="1" s="1"/>
  <c r="AH1274" i="1"/>
  <c r="AI1274" i="1" s="1"/>
  <c r="AH1275" i="1"/>
  <c r="AI1275" i="1" s="1"/>
  <c r="AH1276" i="1"/>
  <c r="AI1276" i="1" s="1"/>
  <c r="AH1277" i="1"/>
  <c r="AI1277" i="1" s="1"/>
  <c r="AH1278" i="1"/>
  <c r="AI1278" i="1" s="1"/>
  <c r="AH1279" i="1"/>
  <c r="AI1279" i="1" s="1"/>
  <c r="AH1280" i="1"/>
  <c r="AI1280" i="1" s="1"/>
  <c r="AH1281" i="1"/>
  <c r="AI1281" i="1" s="1"/>
  <c r="AH1282" i="1"/>
  <c r="AI1282" i="1" s="1"/>
  <c r="AH1283" i="1"/>
  <c r="AI1283" i="1" s="1"/>
  <c r="AH1284" i="1"/>
  <c r="AI1284" i="1" s="1"/>
  <c r="AH1285" i="1"/>
  <c r="AI1285" i="1" s="1"/>
  <c r="AH1286" i="1"/>
  <c r="AI1286" i="1" s="1"/>
  <c r="AH1287" i="1"/>
  <c r="AI1287" i="1" s="1"/>
  <c r="AH1288" i="1"/>
  <c r="AI1288" i="1" s="1"/>
  <c r="AH1289" i="1"/>
  <c r="AI1289" i="1" s="1"/>
  <c r="AH1290" i="1"/>
  <c r="AI1290" i="1" s="1"/>
  <c r="AH1291" i="1"/>
  <c r="AI1291" i="1" s="1"/>
  <c r="AH1292" i="1"/>
  <c r="AI1292" i="1" s="1"/>
  <c r="AH1293" i="1"/>
  <c r="AI1293" i="1" s="1"/>
  <c r="AH1294" i="1"/>
  <c r="AI1294" i="1" s="1"/>
  <c r="AH1295" i="1"/>
  <c r="AI1295" i="1" s="1"/>
  <c r="AH1296" i="1"/>
  <c r="AI1296" i="1" s="1"/>
  <c r="AH1297" i="1"/>
  <c r="AI1297" i="1" s="1"/>
  <c r="AH1298" i="1"/>
  <c r="AI1298" i="1" s="1"/>
  <c r="AH1299" i="1"/>
  <c r="AI1299" i="1" s="1"/>
  <c r="AH1300" i="1"/>
  <c r="AI1300" i="1" s="1"/>
  <c r="AH1301" i="1"/>
  <c r="AI1301" i="1" s="1"/>
  <c r="AH1302" i="1"/>
  <c r="AI1302" i="1" s="1"/>
  <c r="AH1303" i="1"/>
  <c r="AI1303" i="1" s="1"/>
  <c r="AH1304" i="1"/>
  <c r="AI1304" i="1" s="1"/>
  <c r="AH1305" i="1"/>
  <c r="AI1305" i="1" s="1"/>
  <c r="AH1306" i="1"/>
  <c r="AI1306" i="1" s="1"/>
  <c r="AH1307" i="1"/>
  <c r="AI1307" i="1" s="1"/>
  <c r="AH1308" i="1"/>
  <c r="AI1308" i="1" s="1"/>
  <c r="AH1309" i="1"/>
  <c r="AI1309" i="1" s="1"/>
  <c r="AH1310" i="1"/>
  <c r="AI1310" i="1" s="1"/>
  <c r="AH1311" i="1"/>
  <c r="AI1311" i="1" s="1"/>
  <c r="AH1312" i="1"/>
  <c r="AI1312" i="1" s="1"/>
  <c r="AH1313" i="1"/>
  <c r="AI1313" i="1" s="1"/>
  <c r="AH1314" i="1"/>
  <c r="AI1314" i="1" s="1"/>
  <c r="AH1315" i="1"/>
  <c r="AI1315" i="1" s="1"/>
  <c r="AH1316" i="1"/>
  <c r="AI1316" i="1" s="1"/>
  <c r="AH1317" i="1"/>
  <c r="AI1317" i="1" s="1"/>
  <c r="AH1318" i="1"/>
  <c r="AI1318" i="1" s="1"/>
  <c r="AH1319" i="1"/>
  <c r="AI1319" i="1" s="1"/>
  <c r="AH1320" i="1"/>
  <c r="AI1320" i="1" s="1"/>
  <c r="AH1321" i="1"/>
  <c r="AI1321" i="1" s="1"/>
  <c r="AH1322" i="1"/>
  <c r="AI1322" i="1" s="1"/>
  <c r="AH1323" i="1"/>
  <c r="AI1323" i="1" s="1"/>
  <c r="AH1324" i="1"/>
  <c r="AI1324" i="1" s="1"/>
  <c r="AH1325" i="1"/>
  <c r="AI1325" i="1" s="1"/>
  <c r="AH1326" i="1"/>
  <c r="AI1326" i="1" s="1"/>
  <c r="AH1327" i="1"/>
  <c r="AI1327" i="1" s="1"/>
  <c r="AH1328" i="1"/>
  <c r="AI1328" i="1" s="1"/>
  <c r="AH1329" i="1"/>
  <c r="AI1329" i="1" s="1"/>
  <c r="AH1330" i="1"/>
  <c r="AI1330" i="1" s="1"/>
  <c r="AH1331" i="1"/>
  <c r="AI1331" i="1" s="1"/>
  <c r="AH1332" i="1"/>
  <c r="AI1332" i="1" s="1"/>
  <c r="AH1333" i="1"/>
  <c r="AI1333" i="1" s="1"/>
  <c r="AH1334" i="1"/>
  <c r="AI1334" i="1" s="1"/>
  <c r="AH1335" i="1"/>
  <c r="AI1335" i="1" s="1"/>
  <c r="AH1336" i="1"/>
  <c r="AI1336" i="1" s="1"/>
  <c r="AH1337" i="1"/>
  <c r="AI1337" i="1" s="1"/>
  <c r="AH1338" i="1"/>
  <c r="AI1338" i="1" s="1"/>
  <c r="AH1339" i="1"/>
  <c r="AI1339" i="1" s="1"/>
  <c r="AH1340" i="1"/>
  <c r="AI1340" i="1" s="1"/>
  <c r="AH1341" i="1"/>
  <c r="AI1341" i="1" s="1"/>
  <c r="AH1342" i="1"/>
  <c r="AI1342" i="1" s="1"/>
  <c r="AH1343" i="1"/>
  <c r="AI1343" i="1" s="1"/>
  <c r="AH1344" i="1"/>
  <c r="AI1344" i="1" s="1"/>
  <c r="AH1345" i="1"/>
  <c r="AI1345" i="1" s="1"/>
  <c r="AH1346" i="1"/>
  <c r="AI1346" i="1" s="1"/>
  <c r="AH1347" i="1"/>
  <c r="AI1347" i="1" s="1"/>
  <c r="AH1348" i="1"/>
  <c r="AI1348" i="1" s="1"/>
  <c r="AH1349" i="1"/>
  <c r="AI1349" i="1" s="1"/>
  <c r="AH1350" i="1"/>
  <c r="AI1350" i="1" s="1"/>
  <c r="AH1351" i="1"/>
  <c r="AI1351" i="1" s="1"/>
  <c r="AH1352" i="1"/>
  <c r="AI1352" i="1" s="1"/>
  <c r="AH1353" i="1"/>
  <c r="AI1353" i="1" s="1"/>
  <c r="AH1354" i="1"/>
  <c r="AI1354" i="1" s="1"/>
  <c r="AH1355" i="1"/>
  <c r="AI1355" i="1" s="1"/>
  <c r="AH1356" i="1"/>
  <c r="AI1356" i="1" s="1"/>
  <c r="AH201" i="1"/>
  <c r="AI201" i="1" s="1"/>
  <c r="AH1357" i="1"/>
  <c r="AI1357" i="1" s="1"/>
  <c r="AH1358" i="1"/>
  <c r="AI1358" i="1" s="1"/>
  <c r="AH1359" i="1"/>
  <c r="AI1359" i="1" s="1"/>
  <c r="AH1360" i="1"/>
  <c r="AI1360" i="1" s="1"/>
  <c r="AH1361" i="1"/>
  <c r="AI1361" i="1" s="1"/>
  <c r="AH1362" i="1"/>
  <c r="AI1362" i="1" s="1"/>
  <c r="AH1363" i="1"/>
  <c r="AI1363" i="1" s="1"/>
  <c r="AH1364" i="1"/>
  <c r="AI1364" i="1" s="1"/>
  <c r="AH1365" i="1"/>
  <c r="AI1365" i="1" s="1"/>
  <c r="AH1366" i="1"/>
  <c r="AI1366" i="1" s="1"/>
  <c r="AH1367" i="1"/>
  <c r="AI1367" i="1" s="1"/>
  <c r="AH1368" i="1"/>
  <c r="AI1368" i="1" s="1"/>
  <c r="AH1369" i="1"/>
  <c r="AI1369" i="1" s="1"/>
  <c r="AH1370" i="1"/>
  <c r="AI1370" i="1" s="1"/>
  <c r="AH1371" i="1"/>
  <c r="AI1371" i="1" s="1"/>
  <c r="AH1372" i="1"/>
  <c r="AI1372" i="1" s="1"/>
  <c r="AH1373" i="1"/>
  <c r="AI1373" i="1" s="1"/>
  <c r="AH1374" i="1"/>
  <c r="AI1374" i="1" s="1"/>
  <c r="AH1375" i="1"/>
  <c r="AI1375" i="1" s="1"/>
  <c r="AH1376" i="1"/>
  <c r="AI1376" i="1" s="1"/>
  <c r="AH1377" i="1"/>
  <c r="AI1377" i="1" s="1"/>
  <c r="AH1378" i="1"/>
  <c r="AI1378" i="1" s="1"/>
  <c r="AH1379" i="1"/>
  <c r="AI1379" i="1" s="1"/>
  <c r="AH1380" i="1"/>
  <c r="AI1380" i="1" s="1"/>
  <c r="AH1381" i="1"/>
  <c r="AI1381" i="1" s="1"/>
  <c r="AH1382" i="1"/>
  <c r="AI1382" i="1" s="1"/>
  <c r="AH1383" i="1"/>
  <c r="AI1383" i="1" s="1"/>
  <c r="AH1384" i="1"/>
  <c r="AI1384" i="1" s="1"/>
  <c r="AH1385" i="1"/>
  <c r="AI1385" i="1" s="1"/>
  <c r="AH1386" i="1"/>
  <c r="AI1386" i="1" s="1"/>
  <c r="AH1387" i="1"/>
  <c r="AI1387" i="1" s="1"/>
  <c r="AH1388" i="1"/>
  <c r="AI1388" i="1" s="1"/>
  <c r="AH1389" i="1"/>
  <c r="AI1389" i="1" s="1"/>
  <c r="AH1390" i="1"/>
  <c r="AI1390" i="1" s="1"/>
  <c r="AH1391" i="1"/>
  <c r="AI1391" i="1" s="1"/>
  <c r="AH1392" i="1"/>
  <c r="AI1392" i="1" s="1"/>
  <c r="AH1393" i="1"/>
  <c r="AI1393" i="1" s="1"/>
  <c r="AH1394" i="1"/>
  <c r="AI1394" i="1" s="1"/>
  <c r="AH1395" i="1"/>
  <c r="AI1395" i="1" s="1"/>
  <c r="AH1396" i="1"/>
  <c r="AI1396" i="1" s="1"/>
  <c r="AH1397" i="1"/>
  <c r="AI1397" i="1" s="1"/>
  <c r="AH1398" i="1"/>
  <c r="AI1398" i="1" s="1"/>
  <c r="AH1399" i="1"/>
  <c r="AI1399" i="1" s="1"/>
  <c r="AH1400" i="1"/>
  <c r="AI1400" i="1" s="1"/>
  <c r="AH1401" i="1"/>
  <c r="AI1401" i="1" s="1"/>
  <c r="AH1402" i="1"/>
  <c r="AI1402" i="1" s="1"/>
  <c r="AH1403" i="1"/>
  <c r="AI1403" i="1" s="1"/>
  <c r="AH1404" i="1"/>
  <c r="AI1404" i="1" s="1"/>
  <c r="AH1405" i="1"/>
  <c r="AI1405" i="1" s="1"/>
  <c r="AH1406" i="1"/>
  <c r="AI1406" i="1" s="1"/>
  <c r="AH1407" i="1"/>
  <c r="AI1407" i="1" s="1"/>
  <c r="AH1408" i="1"/>
  <c r="AI1408" i="1" s="1"/>
  <c r="AH1409" i="1"/>
  <c r="AI1409" i="1" s="1"/>
  <c r="AH1410" i="1"/>
  <c r="AI1410" i="1" s="1"/>
  <c r="AH1411" i="1"/>
  <c r="AI1411" i="1" s="1"/>
  <c r="AH1412" i="1"/>
  <c r="AI1412" i="1" s="1"/>
  <c r="AH1413" i="1"/>
  <c r="AI1413" i="1" s="1"/>
  <c r="AH1414" i="1"/>
  <c r="AI1414" i="1" s="1"/>
  <c r="AH1415" i="1"/>
  <c r="AI1415" i="1" s="1"/>
  <c r="AH1416" i="1"/>
  <c r="AI1416" i="1" s="1"/>
  <c r="AH1417" i="1"/>
  <c r="AI1417" i="1" s="1"/>
  <c r="AH1418" i="1"/>
  <c r="AI1418" i="1" s="1"/>
  <c r="AH1419" i="1"/>
  <c r="AI1419" i="1" s="1"/>
  <c r="AH1420" i="1"/>
  <c r="AI1420" i="1" s="1"/>
  <c r="AH1421" i="1"/>
  <c r="AI1421" i="1" s="1"/>
  <c r="AH1422" i="1"/>
  <c r="AI1422" i="1" s="1"/>
  <c r="AH1423" i="1"/>
  <c r="AI1423" i="1" s="1"/>
  <c r="AH1424" i="1"/>
  <c r="AI1424" i="1" s="1"/>
  <c r="AH1425" i="1"/>
  <c r="AI1425" i="1" s="1"/>
  <c r="AH1426" i="1"/>
  <c r="AI1426" i="1" s="1"/>
  <c r="AH1427" i="1"/>
  <c r="AI1427" i="1" s="1"/>
  <c r="AH1428" i="1"/>
  <c r="AI1428" i="1" s="1"/>
  <c r="AH1429" i="1"/>
  <c r="AI1429" i="1" s="1"/>
  <c r="AH1430" i="1"/>
  <c r="AI1430" i="1" s="1"/>
  <c r="AH1431" i="1"/>
  <c r="AI1431" i="1" s="1"/>
  <c r="AH1432" i="1"/>
  <c r="AI1432" i="1" s="1"/>
  <c r="AH1433" i="1"/>
  <c r="AI1433" i="1" s="1"/>
  <c r="AH1434" i="1"/>
  <c r="AI1434" i="1" s="1"/>
  <c r="AH1435" i="1"/>
  <c r="AI1435" i="1" s="1"/>
  <c r="AH1436" i="1"/>
  <c r="AI1436" i="1" s="1"/>
  <c r="AH1437" i="1"/>
  <c r="AI1437" i="1" s="1"/>
  <c r="AH1438" i="1"/>
  <c r="AI1438" i="1" s="1"/>
  <c r="AH1439" i="1"/>
  <c r="AI1439" i="1" s="1"/>
  <c r="AH1440" i="1"/>
  <c r="AI1440" i="1" s="1"/>
  <c r="AH1441" i="1"/>
  <c r="AI1441" i="1" s="1"/>
  <c r="AH1442" i="1"/>
  <c r="AI1442" i="1" s="1"/>
  <c r="AH1443" i="1"/>
  <c r="AI1443" i="1" s="1"/>
  <c r="AH1444" i="1"/>
  <c r="AI1444" i="1" s="1"/>
  <c r="AH1445" i="1"/>
  <c r="AI1445" i="1" s="1"/>
  <c r="AH1446" i="1"/>
  <c r="AI1446" i="1" s="1"/>
  <c r="AH1447" i="1"/>
  <c r="AI1447" i="1" s="1"/>
  <c r="AH1448" i="1"/>
  <c r="AI1448" i="1" s="1"/>
  <c r="AH1449" i="1"/>
  <c r="AI1449" i="1" s="1"/>
  <c r="AH1450" i="1"/>
  <c r="AI1450" i="1" s="1"/>
  <c r="AH1451" i="1"/>
  <c r="AI1451" i="1" s="1"/>
  <c r="AH1452" i="1"/>
  <c r="AI1452" i="1" s="1"/>
  <c r="AH1453" i="1"/>
  <c r="AI1453" i="1" s="1"/>
  <c r="AH1454" i="1"/>
  <c r="AI1454" i="1" s="1"/>
  <c r="AH1455" i="1"/>
  <c r="AI1455" i="1" s="1"/>
  <c r="AH1456" i="1"/>
  <c r="AI1456" i="1" s="1"/>
  <c r="AH1457" i="1"/>
  <c r="AI1457" i="1" s="1"/>
  <c r="AH1458" i="1"/>
  <c r="AI1458" i="1" s="1"/>
  <c r="AH1459" i="1"/>
  <c r="AI1459" i="1" s="1"/>
  <c r="AH1460" i="1"/>
  <c r="AI1460" i="1" s="1"/>
  <c r="AH1461" i="1"/>
  <c r="AI1461" i="1" s="1"/>
  <c r="AH1462" i="1"/>
  <c r="AI1462" i="1" s="1"/>
  <c r="AH1463" i="1"/>
  <c r="AI1463" i="1" s="1"/>
  <c r="AH1464" i="1"/>
  <c r="AI1464" i="1" s="1"/>
  <c r="AH1465" i="1"/>
  <c r="AI1465" i="1" s="1"/>
  <c r="AH1466" i="1"/>
  <c r="AI1466" i="1" s="1"/>
  <c r="AH1467" i="1"/>
  <c r="AI1467" i="1" s="1"/>
  <c r="AH1468" i="1"/>
  <c r="AI1468" i="1" s="1"/>
  <c r="AH1469" i="1"/>
  <c r="AI1469" i="1" s="1"/>
  <c r="AH1470" i="1"/>
  <c r="AI1470" i="1" s="1"/>
  <c r="AH1471" i="1"/>
  <c r="AI1471" i="1" s="1"/>
  <c r="AH1472" i="1"/>
  <c r="AI1472" i="1" s="1"/>
  <c r="AH1473" i="1"/>
  <c r="AI1473" i="1" s="1"/>
  <c r="AH1474" i="1"/>
  <c r="AI1474" i="1" s="1"/>
  <c r="AH1475" i="1"/>
  <c r="AI1475" i="1" s="1"/>
  <c r="AH1476" i="1"/>
  <c r="AI1476" i="1" s="1"/>
  <c r="AH1477" i="1"/>
  <c r="AI1477" i="1" s="1"/>
  <c r="AH1478" i="1"/>
  <c r="AI1478" i="1" s="1"/>
  <c r="AH1479" i="1"/>
  <c r="AI1479" i="1" s="1"/>
  <c r="AH1480" i="1"/>
  <c r="AI1480" i="1" s="1"/>
  <c r="AH1481" i="1"/>
  <c r="AI1481" i="1" s="1"/>
  <c r="AH1482" i="1"/>
  <c r="AI1482" i="1" s="1"/>
  <c r="AH1483" i="1"/>
  <c r="AI1483" i="1" s="1"/>
  <c r="AH1484" i="1"/>
  <c r="AI1484" i="1" s="1"/>
  <c r="AH1485" i="1"/>
  <c r="AI1485" i="1" s="1"/>
  <c r="AH1486" i="1"/>
  <c r="AI1486" i="1" s="1"/>
  <c r="AH1487" i="1"/>
  <c r="AI1487" i="1" s="1"/>
  <c r="AH1488" i="1"/>
  <c r="AI1488" i="1" s="1"/>
  <c r="AH1489" i="1"/>
  <c r="AI1489" i="1" s="1"/>
  <c r="AH1490" i="1"/>
  <c r="AI1490" i="1" s="1"/>
  <c r="AH1491" i="1"/>
  <c r="AI1491" i="1" s="1"/>
  <c r="AH1492" i="1"/>
  <c r="AI1492" i="1" s="1"/>
  <c r="AH1493" i="1"/>
  <c r="AI1493" i="1" s="1"/>
  <c r="AH1494" i="1"/>
  <c r="AI1494" i="1" s="1"/>
  <c r="AH1495" i="1"/>
  <c r="AI1495" i="1" s="1"/>
  <c r="AH1496" i="1"/>
  <c r="AI1496" i="1" s="1"/>
  <c r="AH1497" i="1"/>
  <c r="AI1497" i="1" s="1"/>
  <c r="AH1498" i="1"/>
  <c r="AI1498" i="1" s="1"/>
  <c r="AH1499" i="1"/>
  <c r="AI1499" i="1" s="1"/>
  <c r="AH769" i="1"/>
  <c r="AI769" i="1" s="1"/>
  <c r="AH770" i="1"/>
  <c r="AI770" i="1" s="1"/>
  <c r="AH771" i="1"/>
  <c r="AI771" i="1" s="1"/>
  <c r="AH772" i="1"/>
  <c r="AI772" i="1" s="1"/>
  <c r="AH773" i="1"/>
  <c r="AI773" i="1" s="1"/>
  <c r="AH774" i="1"/>
  <c r="AI774" i="1" s="1"/>
  <c r="AH775" i="1"/>
  <c r="AI775" i="1" s="1"/>
  <c r="AH776" i="1"/>
  <c r="AI776" i="1" s="1"/>
  <c r="AH777" i="1"/>
  <c r="AI777" i="1" s="1"/>
  <c r="AH778" i="1"/>
  <c r="AI778" i="1" s="1"/>
  <c r="AH779" i="1"/>
  <c r="AI779" i="1" s="1"/>
  <c r="AH780" i="1"/>
  <c r="AI780" i="1" s="1"/>
  <c r="AH781" i="1"/>
  <c r="AI781" i="1" s="1"/>
  <c r="AH782" i="1"/>
  <c r="AI782" i="1" s="1"/>
  <c r="AH783" i="1"/>
  <c r="AI783" i="1" s="1"/>
  <c r="AH784" i="1"/>
  <c r="AI784" i="1" s="1"/>
  <c r="AH785" i="1"/>
  <c r="AI785" i="1" s="1"/>
  <c r="AH786" i="1"/>
  <c r="AI786" i="1" s="1"/>
  <c r="AH787" i="1"/>
  <c r="AI787" i="1" s="1"/>
  <c r="AH788" i="1"/>
  <c r="AI788" i="1" s="1"/>
  <c r="AH789" i="1"/>
  <c r="AI789" i="1" s="1"/>
  <c r="AH790" i="1"/>
  <c r="AI790" i="1" s="1"/>
  <c r="AH791" i="1"/>
  <c r="AI791" i="1" s="1"/>
  <c r="AH792" i="1"/>
  <c r="AI792" i="1" s="1"/>
  <c r="AH793" i="1"/>
  <c r="AI793" i="1" s="1"/>
  <c r="AH794" i="1"/>
  <c r="AI794" i="1" s="1"/>
  <c r="AH795" i="1"/>
  <c r="AI795" i="1" s="1"/>
  <c r="AH796" i="1"/>
  <c r="AI796" i="1" s="1"/>
  <c r="AH797" i="1"/>
  <c r="AI797" i="1" s="1"/>
  <c r="AH798" i="1"/>
  <c r="AI798" i="1" s="1"/>
  <c r="AH799" i="1"/>
  <c r="AI799" i="1" s="1"/>
  <c r="AH800" i="1"/>
  <c r="AI800" i="1" s="1"/>
  <c r="AH801" i="1"/>
  <c r="AI801" i="1" s="1"/>
  <c r="AH802" i="1"/>
  <c r="AI802" i="1" s="1"/>
  <c r="AH803" i="1"/>
  <c r="AI803" i="1" s="1"/>
  <c r="AH804" i="1"/>
  <c r="AI804" i="1" s="1"/>
  <c r="AH805" i="1"/>
  <c r="AI805" i="1" s="1"/>
  <c r="AH806" i="1"/>
  <c r="AI806" i="1" s="1"/>
  <c r="AH807" i="1"/>
  <c r="AI807" i="1" s="1"/>
  <c r="AH808" i="1"/>
  <c r="AI808" i="1" s="1"/>
  <c r="AH809" i="1"/>
  <c r="AI809" i="1" s="1"/>
  <c r="AH810" i="1"/>
  <c r="AI810" i="1" s="1"/>
  <c r="AH811" i="1"/>
  <c r="AI811" i="1" s="1"/>
  <c r="AH812" i="1"/>
  <c r="AI812" i="1" s="1"/>
  <c r="AH813" i="1"/>
  <c r="AI813" i="1" s="1"/>
  <c r="AH814" i="1"/>
  <c r="AI814" i="1" s="1"/>
  <c r="AH815" i="1"/>
  <c r="AI815" i="1" s="1"/>
  <c r="AH816" i="1"/>
  <c r="AI816" i="1" s="1"/>
  <c r="AH817" i="1"/>
  <c r="AI817" i="1" s="1"/>
  <c r="AH818" i="1"/>
  <c r="AI818" i="1" s="1"/>
  <c r="AH819" i="1"/>
  <c r="AI819" i="1" s="1"/>
  <c r="AH820" i="1"/>
  <c r="AI820" i="1" s="1"/>
  <c r="AH821" i="1"/>
  <c r="AI821" i="1" s="1"/>
  <c r="AH822" i="1"/>
  <c r="AI822" i="1" s="1"/>
  <c r="AH823" i="1"/>
  <c r="AI823" i="1" s="1"/>
  <c r="AH824" i="1"/>
  <c r="AI824" i="1" s="1"/>
  <c r="AH825" i="1"/>
  <c r="AI825" i="1" s="1"/>
  <c r="AH826" i="1"/>
  <c r="AI826" i="1" s="1"/>
  <c r="AH827" i="1"/>
  <c r="AI827" i="1" s="1"/>
  <c r="AH828" i="1"/>
  <c r="AI828" i="1" s="1"/>
  <c r="AH829" i="1"/>
  <c r="AI829" i="1" s="1"/>
  <c r="AH830" i="1"/>
  <c r="AI830" i="1" s="1"/>
  <c r="AH831" i="1"/>
  <c r="AI831" i="1" s="1"/>
  <c r="AH832" i="1"/>
  <c r="AI832" i="1" s="1"/>
  <c r="AH833" i="1"/>
  <c r="AI833" i="1" s="1"/>
  <c r="AH834" i="1"/>
  <c r="AI834" i="1" s="1"/>
  <c r="AH835" i="1"/>
  <c r="AI835" i="1" s="1"/>
  <c r="AH836" i="1"/>
  <c r="AI836" i="1" s="1"/>
  <c r="AH837" i="1"/>
  <c r="AI837" i="1" s="1"/>
  <c r="AH838" i="1"/>
  <c r="AI838" i="1" s="1"/>
  <c r="AH839" i="1"/>
  <c r="AI839" i="1" s="1"/>
  <c r="AH840" i="1"/>
  <c r="AI840" i="1" s="1"/>
  <c r="AH841" i="1"/>
  <c r="AI841" i="1" s="1"/>
  <c r="AH842" i="1"/>
  <c r="AI842" i="1" s="1"/>
  <c r="AH843" i="1"/>
  <c r="AI843" i="1" s="1"/>
  <c r="AH844" i="1"/>
  <c r="AI844" i="1" s="1"/>
  <c r="AH845" i="1"/>
  <c r="AI845" i="1" s="1"/>
  <c r="AH846" i="1"/>
  <c r="AI846" i="1" s="1"/>
  <c r="AH847" i="1"/>
  <c r="AI847" i="1" s="1"/>
  <c r="AH848" i="1"/>
  <c r="AI848" i="1" s="1"/>
  <c r="AH849" i="1"/>
  <c r="AI849" i="1" s="1"/>
  <c r="AH850" i="1"/>
  <c r="AI850" i="1" s="1"/>
  <c r="AH851" i="1"/>
  <c r="AI851" i="1" s="1"/>
  <c r="AH852" i="1"/>
  <c r="AI852" i="1" s="1"/>
  <c r="AH853" i="1"/>
  <c r="AI853" i="1" s="1"/>
  <c r="AH854" i="1"/>
  <c r="AI854" i="1" s="1"/>
  <c r="AH855" i="1"/>
  <c r="AI855" i="1" s="1"/>
  <c r="AH856" i="1"/>
  <c r="AI856" i="1" s="1"/>
  <c r="AH857" i="1"/>
  <c r="AI857" i="1" s="1"/>
  <c r="AH858" i="1"/>
  <c r="AI858" i="1" s="1"/>
  <c r="AH859" i="1"/>
  <c r="AI859" i="1" s="1"/>
  <c r="AH860" i="1"/>
  <c r="AI860" i="1" s="1"/>
  <c r="AH861" i="1"/>
  <c r="AI861" i="1" s="1"/>
  <c r="AH862" i="1"/>
  <c r="AI862" i="1" s="1"/>
  <c r="AH863" i="1"/>
  <c r="AI863" i="1" s="1"/>
  <c r="AH864" i="1"/>
  <c r="AI864" i="1" s="1"/>
  <c r="AH865" i="1"/>
  <c r="AI865" i="1" s="1"/>
  <c r="AH866" i="1"/>
  <c r="AI866" i="1" s="1"/>
  <c r="AH867" i="1"/>
  <c r="AI867" i="1" s="1"/>
  <c r="AH868" i="1"/>
  <c r="AI868" i="1" s="1"/>
  <c r="AH869" i="1"/>
  <c r="AI869" i="1" s="1"/>
  <c r="AH870" i="1"/>
  <c r="AI870" i="1" s="1"/>
  <c r="AH871" i="1"/>
  <c r="AI871" i="1" s="1"/>
  <c r="AH872" i="1"/>
  <c r="AI872" i="1" s="1"/>
  <c r="AH873" i="1"/>
  <c r="AI873" i="1" s="1"/>
  <c r="AH874" i="1"/>
  <c r="AI874" i="1" s="1"/>
  <c r="AH875" i="1"/>
  <c r="AI875" i="1" s="1"/>
  <c r="AH876" i="1"/>
  <c r="AI876" i="1" s="1"/>
  <c r="AH877" i="1"/>
  <c r="AI877" i="1" s="1"/>
  <c r="AH878" i="1"/>
  <c r="AI878" i="1" s="1"/>
  <c r="AH879" i="1"/>
  <c r="AI879" i="1" s="1"/>
  <c r="AH880" i="1"/>
  <c r="AI880" i="1" s="1"/>
  <c r="AH881" i="1"/>
  <c r="AI881" i="1" s="1"/>
  <c r="AH882" i="1"/>
  <c r="AI882" i="1" s="1"/>
  <c r="AH883" i="1"/>
  <c r="AI883" i="1" s="1"/>
  <c r="AH884" i="1"/>
  <c r="AI884" i="1" s="1"/>
  <c r="AH885" i="1"/>
  <c r="AI885" i="1" s="1"/>
  <c r="AH886" i="1"/>
  <c r="AI886" i="1" s="1"/>
  <c r="AH887" i="1"/>
  <c r="AI887" i="1" s="1"/>
  <c r="AH888" i="1"/>
  <c r="AI888" i="1" s="1"/>
  <c r="AH889" i="1"/>
  <c r="AI889" i="1" s="1"/>
  <c r="AH890" i="1"/>
  <c r="AI890" i="1" s="1"/>
  <c r="AH891" i="1"/>
  <c r="AI891" i="1" s="1"/>
  <c r="AH892" i="1"/>
  <c r="AI892" i="1" s="1"/>
  <c r="AH893" i="1"/>
  <c r="AI893" i="1" s="1"/>
  <c r="AH894" i="1"/>
  <c r="AI894" i="1" s="1"/>
  <c r="AH895" i="1"/>
  <c r="AI895" i="1" s="1"/>
  <c r="AH896" i="1"/>
  <c r="AI896" i="1" s="1"/>
  <c r="AH897" i="1"/>
  <c r="AI897" i="1" s="1"/>
  <c r="AH898" i="1"/>
  <c r="AI898" i="1" s="1"/>
  <c r="AH899" i="1"/>
  <c r="AI899" i="1" s="1"/>
  <c r="AH900" i="1"/>
  <c r="AI900" i="1" s="1"/>
  <c r="AH901" i="1"/>
  <c r="AI901" i="1" s="1"/>
  <c r="AH902" i="1"/>
  <c r="AI902" i="1" s="1"/>
  <c r="AH903" i="1"/>
  <c r="AI903" i="1" s="1"/>
  <c r="AH904" i="1"/>
  <c r="AI904" i="1" s="1"/>
  <c r="AH905" i="1"/>
  <c r="AI905" i="1" s="1"/>
  <c r="AH906" i="1"/>
  <c r="AI906" i="1" s="1"/>
  <c r="AH907" i="1"/>
  <c r="AI907" i="1" s="1"/>
  <c r="AH908" i="1"/>
  <c r="AI908" i="1" s="1"/>
  <c r="AH909" i="1"/>
  <c r="AI909" i="1" s="1"/>
  <c r="AH910" i="1"/>
  <c r="AI910" i="1" s="1"/>
  <c r="AH911" i="1"/>
  <c r="AI911" i="1" s="1"/>
  <c r="AH912" i="1"/>
  <c r="AI912" i="1" s="1"/>
  <c r="AH913" i="1"/>
  <c r="AI913" i="1" s="1"/>
  <c r="AH914" i="1"/>
  <c r="AI914" i="1" s="1"/>
  <c r="AH915" i="1"/>
  <c r="AI915" i="1" s="1"/>
  <c r="AH916" i="1"/>
  <c r="AI916" i="1" s="1"/>
  <c r="AH917" i="1"/>
  <c r="AI917" i="1" s="1"/>
  <c r="AH918" i="1"/>
  <c r="AI918" i="1" s="1"/>
  <c r="AH919" i="1"/>
  <c r="AI919" i="1" s="1"/>
  <c r="AH920" i="1"/>
  <c r="AI920" i="1" s="1"/>
  <c r="AH921" i="1"/>
  <c r="AI921" i="1" s="1"/>
  <c r="AH922" i="1"/>
  <c r="AI922" i="1" s="1"/>
  <c r="AH923" i="1"/>
  <c r="AI923" i="1" s="1"/>
  <c r="AH924" i="1"/>
  <c r="AI924" i="1" s="1"/>
  <c r="AH488" i="1"/>
  <c r="AI488" i="1" s="1"/>
  <c r="AH489" i="1"/>
  <c r="AI489" i="1" s="1"/>
  <c r="AH490" i="1"/>
  <c r="AI490" i="1" s="1"/>
  <c r="AH491" i="1"/>
  <c r="AI491" i="1" s="1"/>
  <c r="AH492" i="1"/>
  <c r="AI492" i="1" s="1"/>
  <c r="AH493" i="1"/>
  <c r="AI493" i="1" s="1"/>
  <c r="AH494" i="1"/>
  <c r="AI494" i="1" s="1"/>
  <c r="AH495" i="1"/>
  <c r="AI495" i="1" s="1"/>
  <c r="AH496" i="1"/>
  <c r="AI496" i="1" s="1"/>
  <c r="AH497" i="1"/>
  <c r="AI497" i="1" s="1"/>
  <c r="AH498" i="1"/>
  <c r="AI498" i="1" s="1"/>
  <c r="AH499" i="1"/>
  <c r="AI499" i="1" s="1"/>
  <c r="AH500" i="1"/>
  <c r="AI500" i="1" s="1"/>
  <c r="AH501" i="1"/>
  <c r="AI501" i="1" s="1"/>
  <c r="AH502" i="1"/>
  <c r="AI502" i="1" s="1"/>
  <c r="AH503" i="1"/>
  <c r="AI503" i="1" s="1"/>
  <c r="AH504" i="1"/>
  <c r="AI504" i="1" s="1"/>
  <c r="AH505" i="1"/>
  <c r="AI505" i="1" s="1"/>
  <c r="AH506" i="1"/>
  <c r="AI506" i="1" s="1"/>
  <c r="AH507" i="1"/>
  <c r="AI507" i="1" s="1"/>
  <c r="AH508" i="1"/>
  <c r="AI508" i="1" s="1"/>
  <c r="AH509" i="1"/>
  <c r="AI509" i="1" s="1"/>
  <c r="AH510" i="1"/>
  <c r="AI510" i="1" s="1"/>
  <c r="AH511" i="1"/>
  <c r="AI511" i="1" s="1"/>
  <c r="AH512" i="1"/>
  <c r="AI512" i="1" s="1"/>
  <c r="AH513" i="1"/>
  <c r="AI513" i="1" s="1"/>
  <c r="AH514" i="1"/>
  <c r="AI514" i="1" s="1"/>
  <c r="AH515" i="1"/>
  <c r="AI515" i="1" s="1"/>
  <c r="AH516" i="1"/>
  <c r="AI516" i="1" s="1"/>
  <c r="AH517" i="1"/>
  <c r="AI517" i="1" s="1"/>
  <c r="AH518" i="1"/>
  <c r="AI518" i="1" s="1"/>
  <c r="AH519" i="1"/>
  <c r="AI519" i="1" s="1"/>
  <c r="AH520" i="1"/>
  <c r="AI520" i="1" s="1"/>
  <c r="AH521" i="1"/>
  <c r="AI521" i="1" s="1"/>
  <c r="AH522" i="1"/>
  <c r="AI522" i="1" s="1"/>
  <c r="AH523" i="1"/>
  <c r="AI523" i="1" s="1"/>
  <c r="AH524" i="1"/>
  <c r="AI524" i="1" s="1"/>
  <c r="AH525" i="1"/>
  <c r="AI525" i="1" s="1"/>
  <c r="AH526" i="1"/>
  <c r="AI526" i="1" s="1"/>
  <c r="AH527" i="1"/>
  <c r="AI527" i="1" s="1"/>
  <c r="AH528" i="1"/>
  <c r="AI528" i="1" s="1"/>
  <c r="AH529" i="1"/>
  <c r="AI529" i="1" s="1"/>
  <c r="AH530" i="1"/>
  <c r="AI530" i="1" s="1"/>
  <c r="AH531" i="1"/>
  <c r="AI531" i="1" s="1"/>
  <c r="AH532" i="1"/>
  <c r="AI532" i="1" s="1"/>
  <c r="AH533" i="1"/>
  <c r="AI533" i="1" s="1"/>
  <c r="AH534" i="1"/>
  <c r="AI534" i="1" s="1"/>
  <c r="AH535" i="1"/>
  <c r="AI535" i="1" s="1"/>
  <c r="AH536" i="1"/>
  <c r="AI536" i="1" s="1"/>
  <c r="AH537" i="1"/>
  <c r="AI537" i="1" s="1"/>
  <c r="AH538" i="1"/>
  <c r="AI538" i="1" s="1"/>
  <c r="AH539" i="1"/>
  <c r="AI539" i="1" s="1"/>
  <c r="AH540" i="1"/>
  <c r="AI540" i="1" s="1"/>
  <c r="AH541" i="1"/>
  <c r="AI541" i="1" s="1"/>
  <c r="AH542" i="1"/>
  <c r="AI542" i="1" s="1"/>
  <c r="AH543" i="1"/>
  <c r="AI543" i="1" s="1"/>
  <c r="AH544" i="1"/>
  <c r="AI544" i="1" s="1"/>
  <c r="AH545" i="1"/>
  <c r="AI545" i="1" s="1"/>
  <c r="AH546" i="1"/>
  <c r="AI546" i="1" s="1"/>
  <c r="AH547" i="1"/>
  <c r="AI547" i="1" s="1"/>
  <c r="AH548" i="1"/>
  <c r="AI548" i="1" s="1"/>
  <c r="AH549" i="1"/>
  <c r="AI549" i="1" s="1"/>
  <c r="AH550" i="1"/>
  <c r="AI550" i="1" s="1"/>
  <c r="AH551" i="1"/>
  <c r="AI551" i="1" s="1"/>
  <c r="AH552" i="1"/>
  <c r="AI552" i="1" s="1"/>
  <c r="AH553" i="1"/>
  <c r="AI553" i="1" s="1"/>
  <c r="AH554" i="1"/>
  <c r="AI554" i="1" s="1"/>
  <c r="AH555" i="1"/>
  <c r="AI555" i="1" s="1"/>
  <c r="AH556" i="1"/>
  <c r="AI556" i="1" s="1"/>
  <c r="AH557" i="1"/>
  <c r="AI557" i="1" s="1"/>
  <c r="AH558" i="1"/>
  <c r="AI558" i="1" s="1"/>
  <c r="AH559" i="1"/>
  <c r="AI559" i="1" s="1"/>
  <c r="AH560" i="1"/>
  <c r="AI560" i="1" s="1"/>
  <c r="AH561" i="1"/>
  <c r="AI561" i="1" s="1"/>
  <c r="AH562" i="1"/>
  <c r="AI562" i="1" s="1"/>
  <c r="AH563" i="1"/>
  <c r="AI563" i="1" s="1"/>
  <c r="AH564" i="1"/>
  <c r="AI564" i="1" s="1"/>
  <c r="AH565" i="1"/>
  <c r="AI565" i="1" s="1"/>
  <c r="AH566" i="1"/>
  <c r="AI566" i="1" s="1"/>
  <c r="AH567" i="1"/>
  <c r="AI567" i="1" s="1"/>
  <c r="AH568" i="1"/>
  <c r="AI568" i="1" s="1"/>
  <c r="AH569" i="1"/>
  <c r="AI569" i="1" s="1"/>
  <c r="AH570" i="1"/>
  <c r="AI570" i="1" s="1"/>
  <c r="AH571" i="1"/>
  <c r="AI571" i="1" s="1"/>
  <c r="AH572" i="1"/>
  <c r="AI572" i="1" s="1"/>
  <c r="AH573" i="1"/>
  <c r="AI573" i="1" s="1"/>
  <c r="AH574" i="1"/>
  <c r="AI574" i="1" s="1"/>
  <c r="AH575" i="1"/>
  <c r="AI575" i="1" s="1"/>
  <c r="AH576" i="1"/>
  <c r="AI576" i="1" s="1"/>
  <c r="AH577" i="1"/>
  <c r="AI577" i="1" s="1"/>
  <c r="AH578" i="1"/>
  <c r="AI578" i="1" s="1"/>
  <c r="AH579" i="1"/>
  <c r="AI579" i="1" s="1"/>
  <c r="AH580" i="1"/>
  <c r="AI580" i="1" s="1"/>
  <c r="AH581" i="1"/>
  <c r="AI581" i="1" s="1"/>
  <c r="AH582" i="1"/>
  <c r="AI582" i="1" s="1"/>
  <c r="AH583" i="1"/>
  <c r="AI583" i="1" s="1"/>
  <c r="AH584" i="1"/>
  <c r="AI584" i="1" s="1"/>
  <c r="AH585" i="1"/>
  <c r="AI585" i="1" s="1"/>
  <c r="AH586" i="1"/>
  <c r="AI586" i="1" s="1"/>
  <c r="AH587" i="1"/>
  <c r="AI587" i="1" s="1"/>
  <c r="AH588" i="1"/>
  <c r="AI588" i="1" s="1"/>
  <c r="AH589" i="1"/>
  <c r="AI589" i="1" s="1"/>
  <c r="AH590" i="1"/>
  <c r="AI590" i="1" s="1"/>
  <c r="AH591" i="1"/>
  <c r="AI591" i="1" s="1"/>
  <c r="AH592" i="1"/>
  <c r="AI592" i="1" s="1"/>
  <c r="AH593" i="1"/>
  <c r="AI593" i="1" s="1"/>
  <c r="AH594" i="1"/>
  <c r="AI594" i="1" s="1"/>
  <c r="AH595" i="1"/>
  <c r="AI595" i="1" s="1"/>
  <c r="AH596" i="1"/>
  <c r="AI596" i="1" s="1"/>
  <c r="AH597" i="1"/>
  <c r="AI597" i="1" s="1"/>
  <c r="AH598" i="1"/>
  <c r="AI598" i="1" s="1"/>
  <c r="AH599" i="1"/>
  <c r="AI599" i="1" s="1"/>
  <c r="AH600" i="1"/>
  <c r="AI600" i="1" s="1"/>
  <c r="AH601" i="1"/>
  <c r="AI601" i="1" s="1"/>
  <c r="AH602" i="1"/>
  <c r="AI602" i="1" s="1"/>
  <c r="AH603" i="1"/>
  <c r="AI603" i="1" s="1"/>
  <c r="AH604" i="1"/>
  <c r="AI604" i="1" s="1"/>
  <c r="AH605" i="1"/>
  <c r="AI605" i="1" s="1"/>
  <c r="AH606" i="1"/>
  <c r="AI606" i="1" s="1"/>
  <c r="AH607" i="1"/>
  <c r="AI607" i="1" s="1"/>
  <c r="AH608" i="1"/>
  <c r="AI608" i="1" s="1"/>
  <c r="AH609" i="1"/>
  <c r="AI609" i="1" s="1"/>
  <c r="AH610" i="1"/>
  <c r="AI610" i="1" s="1"/>
  <c r="AH611" i="1"/>
  <c r="AI611" i="1" s="1"/>
  <c r="AH612" i="1"/>
  <c r="AI612" i="1" s="1"/>
  <c r="AH613" i="1"/>
  <c r="AI613" i="1" s="1"/>
  <c r="AH614" i="1"/>
  <c r="AI614" i="1" s="1"/>
  <c r="AH615" i="1"/>
  <c r="AI615" i="1" s="1"/>
  <c r="AH616" i="1"/>
  <c r="AI616" i="1" s="1"/>
  <c r="AH617" i="1"/>
  <c r="AI617" i="1" s="1"/>
  <c r="AH618" i="1"/>
  <c r="AI618" i="1" s="1"/>
  <c r="AH619" i="1"/>
  <c r="AI619" i="1" s="1"/>
  <c r="AH620" i="1"/>
  <c r="AI620" i="1" s="1"/>
  <c r="AH621" i="1"/>
  <c r="AI621" i="1" s="1"/>
  <c r="AH622" i="1"/>
  <c r="AI622" i="1" s="1"/>
  <c r="AH623" i="1"/>
  <c r="AI623" i="1" s="1"/>
  <c r="AH624" i="1"/>
  <c r="AI624" i="1" s="1"/>
  <c r="AH625" i="1"/>
  <c r="AI625" i="1" s="1"/>
  <c r="AH626" i="1"/>
  <c r="AI626" i="1" s="1"/>
  <c r="AH627" i="1"/>
  <c r="AI627" i="1" s="1"/>
  <c r="AH628" i="1"/>
  <c r="AI628" i="1" s="1"/>
  <c r="AH629" i="1"/>
  <c r="AI629" i="1" s="1"/>
  <c r="AH630" i="1"/>
  <c r="AI630" i="1" s="1"/>
  <c r="AH631" i="1"/>
  <c r="AI631" i="1" s="1"/>
  <c r="AH632" i="1"/>
  <c r="AI632" i="1" s="1"/>
  <c r="AH633" i="1"/>
  <c r="AI633" i="1" s="1"/>
  <c r="AH634" i="1"/>
  <c r="AI634" i="1" s="1"/>
  <c r="AH635" i="1"/>
  <c r="AI635" i="1" s="1"/>
  <c r="AH636" i="1"/>
  <c r="AI636" i="1" s="1"/>
  <c r="AH637" i="1"/>
  <c r="AI637" i="1" s="1"/>
  <c r="AH638" i="1"/>
  <c r="AI638" i="1" s="1"/>
  <c r="AH639" i="1"/>
  <c r="AI639" i="1" s="1"/>
  <c r="AH640" i="1"/>
  <c r="AI640" i="1" s="1"/>
  <c r="AH641" i="1"/>
  <c r="AI641" i="1" s="1"/>
  <c r="AH642" i="1"/>
  <c r="AI642" i="1" s="1"/>
  <c r="AH643" i="1"/>
  <c r="AI643" i="1" s="1"/>
  <c r="AH644" i="1"/>
  <c r="AI644" i="1" s="1"/>
  <c r="AH645" i="1"/>
  <c r="AI645" i="1" s="1"/>
  <c r="AH646" i="1"/>
  <c r="AI646" i="1" s="1"/>
  <c r="AH647" i="1"/>
  <c r="AI647" i="1" s="1"/>
  <c r="AH648" i="1"/>
  <c r="AI648" i="1" s="1"/>
  <c r="AH649" i="1"/>
  <c r="AI649" i="1" s="1"/>
  <c r="AH650" i="1"/>
  <c r="AI650" i="1" s="1"/>
  <c r="AH651" i="1"/>
  <c r="AI651" i="1" s="1"/>
  <c r="AH652" i="1"/>
  <c r="AI652" i="1" s="1"/>
  <c r="AH653" i="1"/>
  <c r="AI653" i="1" s="1"/>
  <c r="AH654" i="1"/>
  <c r="AI654" i="1" s="1"/>
  <c r="AH655" i="1"/>
  <c r="AI655" i="1" s="1"/>
  <c r="AH656" i="1"/>
  <c r="AI656" i="1" s="1"/>
  <c r="AH657" i="1"/>
  <c r="AI657" i="1" s="1"/>
  <c r="AH658" i="1"/>
  <c r="AI658" i="1" s="1"/>
  <c r="AH659" i="1"/>
  <c r="AI659" i="1" s="1"/>
  <c r="AH660" i="1"/>
  <c r="AI660" i="1" s="1"/>
  <c r="AH661" i="1"/>
  <c r="AI661" i="1" s="1"/>
  <c r="AH662" i="1"/>
  <c r="AI662" i="1" s="1"/>
  <c r="AH663" i="1"/>
  <c r="AI663" i="1" s="1"/>
  <c r="AH664" i="1"/>
  <c r="AI664" i="1" s="1"/>
  <c r="AH665" i="1"/>
  <c r="AI665" i="1" s="1"/>
  <c r="AH666" i="1"/>
  <c r="AI666" i="1" s="1"/>
  <c r="AH667" i="1"/>
  <c r="AI667" i="1" s="1"/>
  <c r="AH668" i="1"/>
  <c r="AI668" i="1" s="1"/>
  <c r="AH669" i="1"/>
  <c r="AI669" i="1" s="1"/>
  <c r="AH670" i="1"/>
  <c r="AI670" i="1" s="1"/>
  <c r="AH671" i="1"/>
  <c r="AI671" i="1" s="1"/>
  <c r="AH672" i="1"/>
  <c r="AI672" i="1" s="1"/>
  <c r="AH673" i="1"/>
  <c r="AI673" i="1" s="1"/>
  <c r="AH674" i="1"/>
  <c r="AI674" i="1" s="1"/>
  <c r="AH675" i="1"/>
  <c r="AI675" i="1" s="1"/>
  <c r="AH676" i="1"/>
  <c r="AI676" i="1" s="1"/>
  <c r="AH677" i="1"/>
  <c r="AI677" i="1" s="1"/>
  <c r="AH678" i="1"/>
  <c r="AI678" i="1" s="1"/>
  <c r="AH679" i="1"/>
  <c r="AI679" i="1" s="1"/>
  <c r="AH680" i="1"/>
  <c r="AI680" i="1" s="1"/>
  <c r="AH681" i="1"/>
  <c r="AI681" i="1" s="1"/>
  <c r="AH682" i="1"/>
  <c r="AI682" i="1" s="1"/>
  <c r="AH683" i="1"/>
  <c r="AI683" i="1" s="1"/>
  <c r="AH684" i="1"/>
  <c r="AI684" i="1" s="1"/>
  <c r="AH685" i="1"/>
  <c r="AI685" i="1" s="1"/>
  <c r="AH686" i="1"/>
  <c r="AI686" i="1" s="1"/>
  <c r="AH687" i="1"/>
  <c r="AI687" i="1" s="1"/>
  <c r="AH688" i="1"/>
  <c r="AI688" i="1" s="1"/>
  <c r="AH689" i="1"/>
  <c r="AI689" i="1" s="1"/>
  <c r="AH690" i="1"/>
  <c r="AI690" i="1" s="1"/>
  <c r="AH691" i="1"/>
  <c r="AI691" i="1" s="1"/>
  <c r="AH692" i="1"/>
  <c r="AI692" i="1" s="1"/>
  <c r="AH693" i="1"/>
  <c r="AI693" i="1" s="1"/>
  <c r="AH694" i="1"/>
  <c r="AI694" i="1" s="1"/>
  <c r="AH695" i="1"/>
  <c r="AI695" i="1" s="1"/>
  <c r="AH696" i="1"/>
  <c r="AI696" i="1" s="1"/>
  <c r="AH697" i="1"/>
  <c r="AI697" i="1" s="1"/>
  <c r="AH698" i="1"/>
  <c r="AI698" i="1" s="1"/>
  <c r="AH699" i="1"/>
  <c r="AI699" i="1" s="1"/>
  <c r="AH700" i="1"/>
  <c r="AI700" i="1" s="1"/>
  <c r="AH701" i="1"/>
  <c r="AI701" i="1" s="1"/>
  <c r="AH702" i="1"/>
  <c r="AI702" i="1" s="1"/>
  <c r="AH703" i="1"/>
  <c r="AI703" i="1" s="1"/>
  <c r="AH704" i="1"/>
  <c r="AI704" i="1" s="1"/>
  <c r="AH705" i="1"/>
  <c r="AI705" i="1" s="1"/>
  <c r="AH706" i="1"/>
  <c r="AI706" i="1" s="1"/>
  <c r="AH707" i="1"/>
  <c r="AI707" i="1" s="1"/>
  <c r="AH708" i="1"/>
  <c r="AI708" i="1" s="1"/>
  <c r="AH709" i="1"/>
  <c r="AI709" i="1" s="1"/>
  <c r="AH710" i="1"/>
  <c r="AI710" i="1" s="1"/>
  <c r="AH711" i="1"/>
  <c r="AI711" i="1" s="1"/>
  <c r="AH712" i="1"/>
  <c r="AI712" i="1" s="1"/>
  <c r="AH713" i="1"/>
  <c r="AI713" i="1" s="1"/>
  <c r="AH714" i="1"/>
  <c r="AI714" i="1" s="1"/>
  <c r="AH715" i="1"/>
  <c r="AI715" i="1" s="1"/>
  <c r="AH716" i="1"/>
  <c r="AI716" i="1" s="1"/>
  <c r="AH717" i="1"/>
  <c r="AI717" i="1" s="1"/>
  <c r="AH718" i="1"/>
  <c r="AI718" i="1" s="1"/>
  <c r="AH719" i="1"/>
  <c r="AI719" i="1" s="1"/>
  <c r="AH720" i="1"/>
  <c r="AI720" i="1" s="1"/>
  <c r="AH721" i="1"/>
  <c r="AI721" i="1" s="1"/>
  <c r="AH722" i="1"/>
  <c r="AI722" i="1" s="1"/>
  <c r="AH723" i="1"/>
  <c r="AI723" i="1" s="1"/>
  <c r="AH724" i="1"/>
  <c r="AI724" i="1" s="1"/>
  <c r="AH725" i="1"/>
  <c r="AI725" i="1" s="1"/>
  <c r="AH726" i="1"/>
  <c r="AI726" i="1" s="1"/>
  <c r="AH727" i="1"/>
  <c r="AI727" i="1" s="1"/>
  <c r="AH728" i="1"/>
  <c r="AI728" i="1" s="1"/>
  <c r="AH729" i="1"/>
  <c r="AI729" i="1" s="1"/>
  <c r="AH730" i="1"/>
  <c r="AI730" i="1" s="1"/>
  <c r="AH731" i="1"/>
  <c r="AI731" i="1" s="1"/>
  <c r="AH732" i="1"/>
  <c r="AI732" i="1" s="1"/>
  <c r="AH733" i="1"/>
  <c r="AI733" i="1" s="1"/>
  <c r="AH734" i="1"/>
  <c r="AI734" i="1" s="1"/>
  <c r="AH735" i="1"/>
  <c r="AI735" i="1" s="1"/>
  <c r="AH736" i="1"/>
  <c r="AI736" i="1" s="1"/>
  <c r="AH737" i="1"/>
  <c r="AI737" i="1" s="1"/>
  <c r="AH738" i="1"/>
  <c r="AI738" i="1" s="1"/>
  <c r="AH739" i="1"/>
  <c r="AI739" i="1" s="1"/>
  <c r="AH740" i="1"/>
  <c r="AI740" i="1" s="1"/>
  <c r="AH741" i="1"/>
  <c r="AI741" i="1" s="1"/>
  <c r="AH742" i="1"/>
  <c r="AI742" i="1" s="1"/>
  <c r="AH743" i="1"/>
  <c r="AI743" i="1" s="1"/>
  <c r="AH744" i="1"/>
  <c r="AI744" i="1" s="1"/>
  <c r="AH745" i="1"/>
  <c r="AI745" i="1" s="1"/>
  <c r="AH746" i="1"/>
  <c r="AI746" i="1" s="1"/>
  <c r="AH747" i="1"/>
  <c r="AI747" i="1" s="1"/>
  <c r="AH748" i="1"/>
  <c r="AI748" i="1" s="1"/>
  <c r="AH749" i="1"/>
  <c r="AI749" i="1" s="1"/>
  <c r="AH750" i="1"/>
  <c r="AI750" i="1" s="1"/>
  <c r="AH751" i="1"/>
  <c r="AI751" i="1" s="1"/>
  <c r="AH752" i="1"/>
  <c r="AI752" i="1" s="1"/>
  <c r="AH753" i="1"/>
  <c r="AI753" i="1" s="1"/>
  <c r="AH754" i="1"/>
  <c r="AI754" i="1" s="1"/>
  <c r="AH755" i="1"/>
  <c r="AI755" i="1" s="1"/>
  <c r="AH756" i="1"/>
  <c r="AI756" i="1" s="1"/>
  <c r="AH757" i="1"/>
  <c r="AI757" i="1" s="1"/>
  <c r="AH758" i="1"/>
  <c r="AI758" i="1" s="1"/>
  <c r="AH759" i="1"/>
  <c r="AI759" i="1" s="1"/>
  <c r="AH760" i="1"/>
  <c r="AI760" i="1" s="1"/>
  <c r="AH761" i="1"/>
  <c r="AI761" i="1" s="1"/>
  <c r="AH762" i="1"/>
  <c r="AI762" i="1" s="1"/>
  <c r="AH763" i="1"/>
  <c r="AI763" i="1" s="1"/>
  <c r="AH764" i="1"/>
  <c r="AI764" i="1" s="1"/>
  <c r="AH765" i="1"/>
  <c r="AI765" i="1" s="1"/>
  <c r="AH766" i="1"/>
  <c r="AI766" i="1" s="1"/>
  <c r="AH767" i="1"/>
  <c r="AI767" i="1" s="1"/>
  <c r="AH768" i="1"/>
  <c r="AI768" i="1" s="1"/>
  <c r="AH138" i="1"/>
  <c r="AI138" i="1" s="1"/>
  <c r="AH139" i="1"/>
  <c r="AI139" i="1" s="1"/>
  <c r="AH140" i="1"/>
  <c r="AI140" i="1" s="1"/>
  <c r="AH141" i="1"/>
  <c r="AI141" i="1" s="1"/>
  <c r="AH142" i="1"/>
  <c r="AI142" i="1" s="1"/>
  <c r="AH143" i="1"/>
  <c r="AI143" i="1" s="1"/>
  <c r="AH144" i="1"/>
  <c r="AI144" i="1" s="1"/>
  <c r="AH145" i="1"/>
  <c r="AI145" i="1" s="1"/>
  <c r="AH146" i="1"/>
  <c r="AI146" i="1" s="1"/>
  <c r="AH147" i="1"/>
  <c r="AI147" i="1" s="1"/>
  <c r="AH148" i="1"/>
  <c r="AI148" i="1" s="1"/>
  <c r="AH149" i="1"/>
  <c r="AI149" i="1" s="1"/>
  <c r="AH150" i="1"/>
  <c r="AI150" i="1" s="1"/>
  <c r="AH151" i="1"/>
  <c r="AI151" i="1" s="1"/>
  <c r="AH152" i="1"/>
  <c r="AI152" i="1" s="1"/>
  <c r="AH153" i="1"/>
  <c r="AI153" i="1" s="1"/>
  <c r="AH154" i="1"/>
  <c r="AI154" i="1" s="1"/>
  <c r="AH155" i="1"/>
  <c r="AI155" i="1" s="1"/>
  <c r="AH156" i="1"/>
  <c r="AI156" i="1" s="1"/>
  <c r="AH157" i="1"/>
  <c r="AI157" i="1" s="1"/>
  <c r="AH158" i="1"/>
  <c r="AI158" i="1" s="1"/>
  <c r="AH159" i="1"/>
  <c r="AI159" i="1" s="1"/>
  <c r="AH160" i="1"/>
  <c r="AI160" i="1" s="1"/>
  <c r="AH161" i="1"/>
  <c r="AI161" i="1" s="1"/>
  <c r="AH162" i="1"/>
  <c r="AI162" i="1" s="1"/>
  <c r="AH163" i="1"/>
  <c r="AI163" i="1" s="1"/>
  <c r="AH164" i="1"/>
  <c r="AI164" i="1" s="1"/>
  <c r="AH165" i="1"/>
  <c r="AI165" i="1" s="1"/>
  <c r="AH166" i="1"/>
  <c r="AI166" i="1" s="1"/>
  <c r="AH167" i="1"/>
  <c r="AI167" i="1" s="1"/>
  <c r="AH168" i="1"/>
  <c r="AI168" i="1" s="1"/>
  <c r="AH169" i="1"/>
  <c r="AI169" i="1" s="1"/>
  <c r="AH170" i="1"/>
  <c r="AI170" i="1" s="1"/>
  <c r="AH171" i="1"/>
  <c r="AI171" i="1" s="1"/>
  <c r="AH172" i="1"/>
  <c r="AI172" i="1" s="1"/>
  <c r="AH173" i="1"/>
  <c r="AI173" i="1" s="1"/>
  <c r="AH174" i="1"/>
  <c r="AI174" i="1" s="1"/>
  <c r="AH175" i="1"/>
  <c r="AI175" i="1" s="1"/>
  <c r="AH176" i="1"/>
  <c r="AI176" i="1" s="1"/>
  <c r="AH177" i="1"/>
  <c r="AI177" i="1" s="1"/>
  <c r="AH178" i="1"/>
  <c r="AI178" i="1" s="1"/>
  <c r="AH179" i="1"/>
  <c r="AI179" i="1" s="1"/>
  <c r="AH180" i="1"/>
  <c r="AI180" i="1" s="1"/>
  <c r="AH181" i="1"/>
  <c r="AI181" i="1" s="1"/>
  <c r="AH182" i="1"/>
  <c r="AI182" i="1" s="1"/>
  <c r="AH183" i="1"/>
  <c r="AI183" i="1" s="1"/>
  <c r="AH184" i="1"/>
  <c r="AI184" i="1" s="1"/>
  <c r="AH185" i="1"/>
  <c r="AI185" i="1" s="1"/>
  <c r="AH186" i="1"/>
  <c r="AI186" i="1" s="1"/>
  <c r="AH187" i="1"/>
  <c r="AI187" i="1" s="1"/>
  <c r="AH188" i="1"/>
  <c r="AI188" i="1" s="1"/>
  <c r="AH189" i="1"/>
  <c r="AI189" i="1" s="1"/>
  <c r="AH190" i="1"/>
  <c r="AI190" i="1" s="1"/>
  <c r="AH191" i="1"/>
  <c r="AI191" i="1" s="1"/>
  <c r="AH192" i="1"/>
  <c r="AI192" i="1" s="1"/>
  <c r="AH193" i="1"/>
  <c r="AI193" i="1" s="1"/>
  <c r="AH194" i="1"/>
  <c r="AI194" i="1" s="1"/>
  <c r="AH195" i="1"/>
  <c r="AI195" i="1" s="1"/>
  <c r="AH196" i="1"/>
  <c r="AI196" i="1" s="1"/>
  <c r="AH197" i="1"/>
  <c r="AI197" i="1" s="1"/>
  <c r="AH198" i="1"/>
  <c r="AI198" i="1" s="1"/>
  <c r="AH199" i="1"/>
  <c r="AI199" i="1" s="1"/>
  <c r="AH200" i="1"/>
  <c r="AI200" i="1" s="1"/>
  <c r="AH202" i="1"/>
  <c r="AI202" i="1" s="1"/>
  <c r="AH203" i="1"/>
  <c r="AI203" i="1" s="1"/>
  <c r="AH204" i="1"/>
  <c r="AI204" i="1" s="1"/>
  <c r="AH205" i="1"/>
  <c r="AI205" i="1" s="1"/>
  <c r="AH206" i="1"/>
  <c r="AI206" i="1" s="1"/>
  <c r="AH207" i="1"/>
  <c r="AI207" i="1" s="1"/>
  <c r="AH208" i="1"/>
  <c r="AI208" i="1" s="1"/>
  <c r="AH209" i="1"/>
  <c r="AI209" i="1" s="1"/>
  <c r="AH210" i="1"/>
  <c r="AI210" i="1" s="1"/>
  <c r="AH211" i="1"/>
  <c r="AI211" i="1" s="1"/>
  <c r="AH212" i="1"/>
  <c r="AI212" i="1" s="1"/>
  <c r="AH213" i="1"/>
  <c r="AI213" i="1" s="1"/>
  <c r="AH214" i="1"/>
  <c r="AI214" i="1" s="1"/>
  <c r="AH215" i="1"/>
  <c r="AI215" i="1" s="1"/>
  <c r="AH216" i="1"/>
  <c r="AI216" i="1" s="1"/>
  <c r="AH217" i="1"/>
  <c r="AI217" i="1" s="1"/>
  <c r="AH218" i="1"/>
  <c r="AI218" i="1" s="1"/>
  <c r="AH219" i="1"/>
  <c r="AI219" i="1" s="1"/>
  <c r="AH220" i="1"/>
  <c r="AI220" i="1" s="1"/>
  <c r="AH221" i="1"/>
  <c r="AI221" i="1" s="1"/>
  <c r="AH222" i="1"/>
  <c r="AI222" i="1" s="1"/>
  <c r="AH223" i="1"/>
  <c r="AI223" i="1" s="1"/>
  <c r="AH224" i="1"/>
  <c r="AI224" i="1" s="1"/>
  <c r="AH225" i="1"/>
  <c r="AI225" i="1" s="1"/>
  <c r="AH226" i="1"/>
  <c r="AI226" i="1" s="1"/>
  <c r="AH227" i="1"/>
  <c r="AI227" i="1" s="1"/>
  <c r="AH228" i="1"/>
  <c r="AI228" i="1" s="1"/>
  <c r="AH229" i="1"/>
  <c r="AI229" i="1" s="1"/>
  <c r="AH230" i="1"/>
  <c r="AI230" i="1" s="1"/>
  <c r="AH231" i="1"/>
  <c r="AI231" i="1" s="1"/>
  <c r="AH232" i="1"/>
  <c r="AI232" i="1" s="1"/>
  <c r="AH233" i="1"/>
  <c r="AI233" i="1" s="1"/>
  <c r="AH234" i="1"/>
  <c r="AI234" i="1" s="1"/>
  <c r="AH235" i="1"/>
  <c r="AI235" i="1" s="1"/>
  <c r="AH236" i="1"/>
  <c r="AI236" i="1" s="1"/>
  <c r="AH237" i="1"/>
  <c r="AI237" i="1" s="1"/>
  <c r="AH238" i="1"/>
  <c r="AI238" i="1" s="1"/>
  <c r="AH239" i="1"/>
  <c r="AI239" i="1" s="1"/>
  <c r="AH240" i="1"/>
  <c r="AI240" i="1" s="1"/>
  <c r="AH241" i="1"/>
  <c r="AI241" i="1" s="1"/>
  <c r="AH242" i="1"/>
  <c r="AI242" i="1" s="1"/>
  <c r="AH243" i="1"/>
  <c r="AI243" i="1" s="1"/>
  <c r="AH244" i="1"/>
  <c r="AI244" i="1" s="1"/>
  <c r="AH245" i="1"/>
  <c r="AI245" i="1" s="1"/>
  <c r="AH246" i="1"/>
  <c r="AI246" i="1" s="1"/>
  <c r="AH247" i="1"/>
  <c r="AI247" i="1" s="1"/>
  <c r="AH248" i="1"/>
  <c r="AI248" i="1" s="1"/>
  <c r="AH249" i="1"/>
  <c r="AI249" i="1" s="1"/>
  <c r="AH250" i="1"/>
  <c r="AI250" i="1" s="1"/>
  <c r="AH251" i="1"/>
  <c r="AI251" i="1" s="1"/>
  <c r="AH252" i="1"/>
  <c r="AI252" i="1" s="1"/>
  <c r="AH253" i="1"/>
  <c r="AI253" i="1" s="1"/>
  <c r="AH254" i="1"/>
  <c r="AI254" i="1" s="1"/>
  <c r="AH255" i="1"/>
  <c r="AI255" i="1" s="1"/>
  <c r="AH256" i="1"/>
  <c r="AI256" i="1" s="1"/>
  <c r="AH257" i="1"/>
  <c r="AI257" i="1" s="1"/>
  <c r="AH258" i="1"/>
  <c r="AI258" i="1" s="1"/>
  <c r="AH259" i="1"/>
  <c r="AI259" i="1" s="1"/>
  <c r="AH260" i="1"/>
  <c r="AI260" i="1" s="1"/>
  <c r="AH261" i="1"/>
  <c r="AI261" i="1" s="1"/>
  <c r="AH262" i="1"/>
  <c r="AI262" i="1" s="1"/>
  <c r="AH263" i="1"/>
  <c r="AI263" i="1" s="1"/>
  <c r="AH264" i="1"/>
  <c r="AI264" i="1" s="1"/>
  <c r="AH265" i="1"/>
  <c r="AI265" i="1" s="1"/>
  <c r="AH266" i="1"/>
  <c r="AI266" i="1" s="1"/>
  <c r="AH267" i="1"/>
  <c r="AI267" i="1" s="1"/>
  <c r="AH268" i="1"/>
  <c r="AI268" i="1" s="1"/>
  <c r="AH269" i="1"/>
  <c r="AI269" i="1" s="1"/>
  <c r="AH270" i="1"/>
  <c r="AI270" i="1" s="1"/>
  <c r="AH271" i="1"/>
  <c r="AI271" i="1" s="1"/>
  <c r="AH272" i="1"/>
  <c r="AI272" i="1" s="1"/>
  <c r="AH273" i="1"/>
  <c r="AI273" i="1" s="1"/>
  <c r="AH274" i="1"/>
  <c r="AI274" i="1" s="1"/>
  <c r="AH275" i="1"/>
  <c r="AI275" i="1" s="1"/>
  <c r="AH276" i="1"/>
  <c r="AI276" i="1" s="1"/>
  <c r="AH277" i="1"/>
  <c r="AI277" i="1" s="1"/>
  <c r="AH278" i="1"/>
  <c r="AI278" i="1" s="1"/>
  <c r="AH279" i="1"/>
  <c r="AI279" i="1" s="1"/>
  <c r="AH280" i="1"/>
  <c r="AI280" i="1" s="1"/>
  <c r="AH281" i="1"/>
  <c r="AI281" i="1" s="1"/>
  <c r="AH282" i="1"/>
  <c r="AI282" i="1" s="1"/>
  <c r="AH283" i="1"/>
  <c r="AI283" i="1" s="1"/>
  <c r="AH284" i="1"/>
  <c r="AI284" i="1" s="1"/>
  <c r="AH285" i="1"/>
  <c r="AI285" i="1" s="1"/>
  <c r="AH286" i="1"/>
  <c r="AI286" i="1" s="1"/>
  <c r="AH287" i="1"/>
  <c r="AI287" i="1" s="1"/>
  <c r="AH288" i="1"/>
  <c r="AI288" i="1" s="1"/>
  <c r="AH289" i="1"/>
  <c r="AI289" i="1" s="1"/>
  <c r="AH290" i="1"/>
  <c r="AI290" i="1" s="1"/>
  <c r="AH291" i="1"/>
  <c r="AI291" i="1" s="1"/>
  <c r="AH292" i="1"/>
  <c r="AI292" i="1" s="1"/>
  <c r="AH293" i="1"/>
  <c r="AI293" i="1" s="1"/>
  <c r="AH294" i="1"/>
  <c r="AI294" i="1" s="1"/>
  <c r="AH295" i="1"/>
  <c r="AI295" i="1" s="1"/>
  <c r="AH296" i="1"/>
  <c r="AI296" i="1" s="1"/>
  <c r="AH297" i="1"/>
  <c r="AI297" i="1" s="1"/>
  <c r="AH298" i="1"/>
  <c r="AI298" i="1" s="1"/>
  <c r="AH299" i="1"/>
  <c r="AI299" i="1" s="1"/>
  <c r="AH300" i="1"/>
  <c r="AI300" i="1" s="1"/>
  <c r="AH301" i="1"/>
  <c r="AI301" i="1" s="1"/>
  <c r="AH302" i="1"/>
  <c r="AI302" i="1" s="1"/>
  <c r="AH303" i="1"/>
  <c r="AI303" i="1" s="1"/>
  <c r="AH305" i="1"/>
  <c r="AI305" i="1" s="1"/>
  <c r="AH306" i="1"/>
  <c r="AI306" i="1" s="1"/>
  <c r="AH307" i="1"/>
  <c r="AI307" i="1" s="1"/>
  <c r="AH308" i="1"/>
  <c r="AI308" i="1" s="1"/>
  <c r="AH309" i="1"/>
  <c r="AI309" i="1" s="1"/>
  <c r="AH310" i="1"/>
  <c r="AI310" i="1" s="1"/>
  <c r="AH311" i="1"/>
  <c r="AI311" i="1" s="1"/>
  <c r="AH312" i="1"/>
  <c r="AI312" i="1" s="1"/>
  <c r="AH313" i="1"/>
  <c r="AI313" i="1" s="1"/>
  <c r="AH314" i="1"/>
  <c r="AI314" i="1" s="1"/>
  <c r="AH315" i="1"/>
  <c r="AI315" i="1" s="1"/>
  <c r="AH316" i="1"/>
  <c r="AI316" i="1" s="1"/>
  <c r="AH317" i="1"/>
  <c r="AI317" i="1" s="1"/>
  <c r="AH318" i="1"/>
  <c r="AI318" i="1" s="1"/>
  <c r="AH319" i="1"/>
  <c r="AI319" i="1" s="1"/>
  <c r="AH320" i="1"/>
  <c r="AI320" i="1" s="1"/>
  <c r="AH321" i="1"/>
  <c r="AI321" i="1" s="1"/>
  <c r="AH322" i="1"/>
  <c r="AI322" i="1" s="1"/>
  <c r="AH323" i="1"/>
  <c r="AI323" i="1" s="1"/>
  <c r="AH324" i="1"/>
  <c r="AI324" i="1" s="1"/>
  <c r="AH325" i="1"/>
  <c r="AI325" i="1" s="1"/>
  <c r="AH326" i="1"/>
  <c r="AI326" i="1" s="1"/>
  <c r="AH327" i="1"/>
  <c r="AI327" i="1" s="1"/>
  <c r="AH328" i="1"/>
  <c r="AI328" i="1" s="1"/>
  <c r="AH329" i="1"/>
  <c r="AI329" i="1" s="1"/>
  <c r="AH330" i="1"/>
  <c r="AI330" i="1" s="1"/>
  <c r="AH331" i="1"/>
  <c r="AI331" i="1" s="1"/>
  <c r="AH332" i="1"/>
  <c r="AI332" i="1" s="1"/>
  <c r="AH333" i="1"/>
  <c r="AI333" i="1" s="1"/>
  <c r="AH334" i="1"/>
  <c r="AI334" i="1" s="1"/>
  <c r="AH335" i="1"/>
  <c r="AI335" i="1" s="1"/>
  <c r="AH336" i="1"/>
  <c r="AI336" i="1" s="1"/>
  <c r="AH337" i="1"/>
  <c r="AI337" i="1" s="1"/>
  <c r="AH338" i="1"/>
  <c r="AI338" i="1" s="1"/>
  <c r="AH339" i="1"/>
  <c r="AI339" i="1" s="1"/>
  <c r="AH340" i="1"/>
  <c r="AI340" i="1" s="1"/>
  <c r="AH341" i="1"/>
  <c r="AI341" i="1" s="1"/>
  <c r="AH342" i="1"/>
  <c r="AI342" i="1" s="1"/>
  <c r="AH343" i="1"/>
  <c r="AI343" i="1" s="1"/>
  <c r="AH344" i="1"/>
  <c r="AI344" i="1" s="1"/>
  <c r="AH345" i="1"/>
  <c r="AI345" i="1" s="1"/>
  <c r="AH346" i="1"/>
  <c r="AI346" i="1" s="1"/>
  <c r="AH347" i="1"/>
  <c r="AI347" i="1" s="1"/>
  <c r="AH348" i="1"/>
  <c r="AI348" i="1" s="1"/>
  <c r="AH349" i="1"/>
  <c r="AI349" i="1" s="1"/>
  <c r="AH350" i="1"/>
  <c r="AI350" i="1" s="1"/>
  <c r="AH351" i="1"/>
  <c r="AI351" i="1" s="1"/>
  <c r="AH352" i="1"/>
  <c r="AI352" i="1" s="1"/>
  <c r="AH353" i="1"/>
  <c r="AI353" i="1" s="1"/>
  <c r="AH354" i="1"/>
  <c r="AI354" i="1" s="1"/>
  <c r="AH355" i="1"/>
  <c r="AI355" i="1" s="1"/>
  <c r="AH356" i="1"/>
  <c r="AI356" i="1" s="1"/>
  <c r="AH357" i="1"/>
  <c r="AI357" i="1" s="1"/>
  <c r="AH358" i="1"/>
  <c r="AI358" i="1" s="1"/>
  <c r="AH359" i="1"/>
  <c r="AI359" i="1" s="1"/>
  <c r="AH360" i="1"/>
  <c r="AI360" i="1" s="1"/>
  <c r="AH361" i="1"/>
  <c r="AI361" i="1" s="1"/>
  <c r="AH362" i="1"/>
  <c r="AI362" i="1" s="1"/>
  <c r="AH363" i="1"/>
  <c r="AI363" i="1" s="1"/>
  <c r="AH364" i="1"/>
  <c r="AI364" i="1" s="1"/>
  <c r="AH365" i="1"/>
  <c r="AI365" i="1" s="1"/>
  <c r="AH366" i="1"/>
  <c r="AI366" i="1" s="1"/>
  <c r="AH367" i="1"/>
  <c r="AI367" i="1" s="1"/>
  <c r="AH368" i="1"/>
  <c r="AI368" i="1" s="1"/>
  <c r="AH369" i="1"/>
  <c r="AI369" i="1" s="1"/>
  <c r="AH370" i="1"/>
  <c r="AI370" i="1" s="1"/>
  <c r="AH371" i="1"/>
  <c r="AI371" i="1" s="1"/>
  <c r="AH372" i="1"/>
  <c r="AI372" i="1" s="1"/>
  <c r="AH373" i="1"/>
  <c r="AI373" i="1" s="1"/>
  <c r="AH374" i="1"/>
  <c r="AI374" i="1" s="1"/>
  <c r="AH375" i="1"/>
  <c r="AI375" i="1" s="1"/>
  <c r="AH376" i="1"/>
  <c r="AI376" i="1" s="1"/>
  <c r="AH377" i="1"/>
  <c r="AI377" i="1" s="1"/>
  <c r="AH378" i="1"/>
  <c r="AI378" i="1" s="1"/>
  <c r="AH379" i="1"/>
  <c r="AI379" i="1" s="1"/>
  <c r="AH380" i="1"/>
  <c r="AI380" i="1" s="1"/>
  <c r="AH381" i="1"/>
  <c r="AI381" i="1" s="1"/>
  <c r="AH382" i="1"/>
  <c r="AI382" i="1" s="1"/>
  <c r="AH383" i="1"/>
  <c r="AI383" i="1" s="1"/>
  <c r="AH384" i="1"/>
  <c r="AI384" i="1" s="1"/>
  <c r="AH385" i="1"/>
  <c r="AI385" i="1" s="1"/>
  <c r="AH386" i="1"/>
  <c r="AI386" i="1" s="1"/>
  <c r="AH387" i="1"/>
  <c r="AI387" i="1" s="1"/>
  <c r="AH388" i="1"/>
  <c r="AI388" i="1" s="1"/>
  <c r="AH389" i="1"/>
  <c r="AI389" i="1" s="1"/>
  <c r="AH390" i="1"/>
  <c r="AI390" i="1" s="1"/>
  <c r="AH391" i="1"/>
  <c r="AI391" i="1" s="1"/>
  <c r="AH392" i="1"/>
  <c r="AI392" i="1" s="1"/>
  <c r="AH393" i="1"/>
  <c r="AI393" i="1" s="1"/>
  <c r="AH394" i="1"/>
  <c r="AI394" i="1" s="1"/>
  <c r="AH395" i="1"/>
  <c r="AI395" i="1" s="1"/>
  <c r="AH396" i="1"/>
  <c r="AI396" i="1" s="1"/>
  <c r="AH397" i="1"/>
  <c r="AI397" i="1" s="1"/>
  <c r="AH398" i="1"/>
  <c r="AI398" i="1" s="1"/>
  <c r="AH399" i="1"/>
  <c r="AI399" i="1" s="1"/>
  <c r="AH400" i="1"/>
  <c r="AI400" i="1" s="1"/>
  <c r="AH401" i="1"/>
  <c r="AI401" i="1" s="1"/>
  <c r="AH402" i="1"/>
  <c r="AI402" i="1" s="1"/>
  <c r="AH403" i="1"/>
  <c r="AI403" i="1" s="1"/>
  <c r="AH404" i="1"/>
  <c r="AI404" i="1" s="1"/>
  <c r="AH405" i="1"/>
  <c r="AI405" i="1" s="1"/>
  <c r="AH406" i="1"/>
  <c r="AI406" i="1" s="1"/>
  <c r="AH407" i="1"/>
  <c r="AI407" i="1" s="1"/>
  <c r="AH408" i="1"/>
  <c r="AI408" i="1" s="1"/>
  <c r="AH409" i="1"/>
  <c r="AI409" i="1" s="1"/>
  <c r="AH410" i="1"/>
  <c r="AI410" i="1" s="1"/>
  <c r="AH411" i="1"/>
  <c r="AI411" i="1" s="1"/>
  <c r="AH412" i="1"/>
  <c r="AI412" i="1" s="1"/>
  <c r="AH413" i="1"/>
  <c r="AI413" i="1" s="1"/>
  <c r="AH414" i="1"/>
  <c r="AI414" i="1" s="1"/>
  <c r="AH415" i="1"/>
  <c r="AI415" i="1" s="1"/>
  <c r="AH416" i="1"/>
  <c r="AI416" i="1" s="1"/>
  <c r="AH417" i="1"/>
  <c r="AI417" i="1" s="1"/>
  <c r="AH418" i="1"/>
  <c r="AI418" i="1" s="1"/>
  <c r="AH419" i="1"/>
  <c r="AI419" i="1" s="1"/>
  <c r="AH420" i="1"/>
  <c r="AI420" i="1" s="1"/>
  <c r="AH421" i="1"/>
  <c r="AI421" i="1" s="1"/>
  <c r="AH422" i="1"/>
  <c r="AI422" i="1" s="1"/>
  <c r="AH423" i="1"/>
  <c r="AI423" i="1" s="1"/>
  <c r="AH424" i="1"/>
  <c r="AI424" i="1" s="1"/>
  <c r="AH425" i="1"/>
  <c r="AI425" i="1" s="1"/>
  <c r="AH426" i="1"/>
  <c r="AI426" i="1" s="1"/>
  <c r="AH427" i="1"/>
  <c r="AI427" i="1" s="1"/>
  <c r="AH428" i="1"/>
  <c r="AI428" i="1" s="1"/>
  <c r="AH429" i="1"/>
  <c r="AI429" i="1" s="1"/>
  <c r="AH430" i="1"/>
  <c r="AI430" i="1" s="1"/>
  <c r="AH431" i="1"/>
  <c r="AI431" i="1" s="1"/>
  <c r="AH432" i="1"/>
  <c r="AI432" i="1" s="1"/>
  <c r="AH433" i="1"/>
  <c r="AI433" i="1" s="1"/>
  <c r="AH434" i="1"/>
  <c r="AI434" i="1" s="1"/>
  <c r="AH435" i="1"/>
  <c r="AI435" i="1" s="1"/>
  <c r="AH436" i="1"/>
  <c r="AI436" i="1" s="1"/>
  <c r="AH437" i="1"/>
  <c r="AI437" i="1" s="1"/>
  <c r="AH438" i="1"/>
  <c r="AI438" i="1" s="1"/>
  <c r="AH439" i="1"/>
  <c r="AI439" i="1" s="1"/>
  <c r="AH440" i="1"/>
  <c r="AI440" i="1" s="1"/>
  <c r="AH441" i="1"/>
  <c r="AI441" i="1" s="1"/>
  <c r="AH442" i="1"/>
  <c r="AI442" i="1" s="1"/>
  <c r="AH443" i="1"/>
  <c r="AI443" i="1" s="1"/>
  <c r="AH444" i="1"/>
  <c r="AI444" i="1" s="1"/>
  <c r="AH445" i="1"/>
  <c r="AI445" i="1" s="1"/>
  <c r="AH446" i="1"/>
  <c r="AI446" i="1" s="1"/>
  <c r="AH447" i="1"/>
  <c r="AI447" i="1" s="1"/>
  <c r="AH448" i="1"/>
  <c r="AI448" i="1" s="1"/>
  <c r="AH449" i="1"/>
  <c r="AI449" i="1" s="1"/>
  <c r="AH450" i="1"/>
  <c r="AI450" i="1" s="1"/>
  <c r="AH451" i="1"/>
  <c r="AI451" i="1" s="1"/>
  <c r="AH452" i="1"/>
  <c r="AI452" i="1" s="1"/>
  <c r="AH453" i="1"/>
  <c r="AI453" i="1" s="1"/>
  <c r="AH454" i="1"/>
  <c r="AI454" i="1" s="1"/>
  <c r="AH455" i="1"/>
  <c r="AI455" i="1" s="1"/>
  <c r="AH456" i="1"/>
  <c r="AI456" i="1" s="1"/>
  <c r="AH457" i="1"/>
  <c r="AI457" i="1" s="1"/>
  <c r="AH458" i="1"/>
  <c r="AI458" i="1" s="1"/>
  <c r="AH459" i="1"/>
  <c r="AI459" i="1" s="1"/>
  <c r="AH460" i="1"/>
  <c r="AI460" i="1" s="1"/>
  <c r="AH461" i="1"/>
  <c r="AI461" i="1" s="1"/>
  <c r="AH462" i="1"/>
  <c r="AI462" i="1" s="1"/>
  <c r="AH463" i="1"/>
  <c r="AI463" i="1" s="1"/>
  <c r="AH464" i="1"/>
  <c r="AI464" i="1" s="1"/>
  <c r="AH465" i="1"/>
  <c r="AI465" i="1" s="1"/>
  <c r="AH466" i="1"/>
  <c r="AI466" i="1" s="1"/>
  <c r="AH467" i="1"/>
  <c r="AI467" i="1" s="1"/>
  <c r="AH468" i="1"/>
  <c r="AI468" i="1" s="1"/>
  <c r="AH469" i="1"/>
  <c r="AI469" i="1" s="1"/>
  <c r="AH470" i="1"/>
  <c r="AI470" i="1" s="1"/>
  <c r="AH471" i="1"/>
  <c r="AI471" i="1" s="1"/>
  <c r="AH472" i="1"/>
  <c r="AI472" i="1" s="1"/>
  <c r="AH473" i="1"/>
  <c r="AI473" i="1" s="1"/>
  <c r="AH474" i="1"/>
  <c r="AI474" i="1" s="1"/>
  <c r="AH475" i="1"/>
  <c r="AI475" i="1" s="1"/>
  <c r="AH476" i="1"/>
  <c r="AI476" i="1" s="1"/>
  <c r="AH477" i="1"/>
  <c r="AI477" i="1" s="1"/>
  <c r="AH478" i="1"/>
  <c r="AI478" i="1" s="1"/>
  <c r="AH479" i="1"/>
  <c r="AI479" i="1" s="1"/>
  <c r="AH480" i="1"/>
  <c r="AI480" i="1" s="1"/>
  <c r="AH481" i="1"/>
  <c r="AI481" i="1" s="1"/>
  <c r="AH482" i="1"/>
  <c r="AI482" i="1" s="1"/>
  <c r="AH483" i="1"/>
  <c r="AI483" i="1" s="1"/>
  <c r="AH484" i="1"/>
  <c r="AI484" i="1" s="1"/>
  <c r="AH485" i="1"/>
  <c r="AI485" i="1" s="1"/>
  <c r="AH486" i="1"/>
  <c r="AI486" i="1" s="1"/>
  <c r="AH487" i="1"/>
  <c r="AI487" i="1" s="1"/>
  <c r="AH3" i="1"/>
  <c r="AI3" i="1" s="1"/>
  <c r="AH4" i="1"/>
  <c r="AI4" i="1" s="1"/>
  <c r="AH5" i="1"/>
  <c r="AI5" i="1" s="1"/>
  <c r="AH6" i="1"/>
  <c r="AI6" i="1" s="1"/>
  <c r="AH7" i="1"/>
  <c r="AI7" i="1" s="1"/>
  <c r="AH8" i="1"/>
  <c r="AI8" i="1" s="1"/>
  <c r="AH9" i="1"/>
  <c r="AI9" i="1" s="1"/>
  <c r="AH10" i="1"/>
  <c r="AI10" i="1" s="1"/>
  <c r="AH11" i="1"/>
  <c r="AI11" i="1" s="1"/>
  <c r="AH12" i="1"/>
  <c r="AI12" i="1" s="1"/>
  <c r="AH13" i="1"/>
  <c r="AI13" i="1" s="1"/>
  <c r="AH14" i="1"/>
  <c r="AI14" i="1" s="1"/>
  <c r="AH15" i="1"/>
  <c r="AI15" i="1" s="1"/>
  <c r="AH16" i="1"/>
  <c r="AI16" i="1" s="1"/>
  <c r="AH17" i="1"/>
  <c r="AI17" i="1" s="1"/>
  <c r="AH18" i="1"/>
  <c r="AI18" i="1" s="1"/>
  <c r="AH19" i="1"/>
  <c r="AI19" i="1" s="1"/>
  <c r="AH20" i="1"/>
  <c r="AI20" i="1" s="1"/>
  <c r="AH21" i="1"/>
  <c r="AI21" i="1" s="1"/>
  <c r="AH22" i="1"/>
  <c r="AI22" i="1" s="1"/>
  <c r="AH23" i="1"/>
  <c r="AI23" i="1" s="1"/>
  <c r="AH24" i="1"/>
  <c r="AI24" i="1" s="1"/>
  <c r="AH25" i="1"/>
  <c r="AI25" i="1" s="1"/>
  <c r="AH26" i="1"/>
  <c r="AI26" i="1" s="1"/>
  <c r="AH27" i="1"/>
  <c r="AI27" i="1" s="1"/>
  <c r="AH28" i="1"/>
  <c r="AI28" i="1" s="1"/>
  <c r="AH29" i="1"/>
  <c r="AI29" i="1" s="1"/>
  <c r="AH30" i="1"/>
  <c r="AI30" i="1" s="1"/>
  <c r="AH31" i="1"/>
  <c r="AI31" i="1" s="1"/>
  <c r="AH32" i="1"/>
  <c r="AI32" i="1" s="1"/>
  <c r="AH33" i="1"/>
  <c r="AI33" i="1" s="1"/>
  <c r="AH34" i="1"/>
  <c r="AI34" i="1" s="1"/>
  <c r="AH35" i="1"/>
  <c r="AI35" i="1" s="1"/>
  <c r="AH36" i="1"/>
  <c r="AI36" i="1" s="1"/>
  <c r="AH37" i="1"/>
  <c r="AI37" i="1" s="1"/>
  <c r="AH38" i="1"/>
  <c r="AI38" i="1" s="1"/>
  <c r="AH39" i="1"/>
  <c r="AI39" i="1" s="1"/>
  <c r="AH40" i="1"/>
  <c r="AI40" i="1" s="1"/>
  <c r="AH41" i="1"/>
  <c r="AI41" i="1" s="1"/>
  <c r="AH42" i="1"/>
  <c r="AI42" i="1" s="1"/>
  <c r="AH43" i="1"/>
  <c r="AI43" i="1" s="1"/>
  <c r="AH44" i="1"/>
  <c r="AI44" i="1" s="1"/>
  <c r="AH45" i="1"/>
  <c r="AI45" i="1" s="1"/>
  <c r="AH46" i="1"/>
  <c r="AI46" i="1" s="1"/>
  <c r="AH47" i="1"/>
  <c r="AI47" i="1" s="1"/>
  <c r="AH48" i="1"/>
  <c r="AI48" i="1" s="1"/>
  <c r="AH49" i="1"/>
  <c r="AI49" i="1" s="1"/>
  <c r="AH50" i="1"/>
  <c r="AI50" i="1" s="1"/>
  <c r="AH51" i="1"/>
  <c r="AI51" i="1" s="1"/>
  <c r="AH52" i="1"/>
  <c r="AI52" i="1" s="1"/>
  <c r="AH53" i="1"/>
  <c r="AI53" i="1" s="1"/>
  <c r="AH54" i="1"/>
  <c r="AI54" i="1" s="1"/>
  <c r="AH55" i="1"/>
  <c r="AI55" i="1" s="1"/>
  <c r="AH56" i="1"/>
  <c r="AI56" i="1" s="1"/>
  <c r="AH57" i="1"/>
  <c r="AI57" i="1" s="1"/>
  <c r="AH58" i="1"/>
  <c r="AI58" i="1" s="1"/>
  <c r="AH59" i="1"/>
  <c r="AI59" i="1" s="1"/>
  <c r="AH60" i="1"/>
  <c r="AI60" i="1" s="1"/>
  <c r="AH61" i="1"/>
  <c r="AI61" i="1" s="1"/>
  <c r="AH62" i="1"/>
  <c r="AI62" i="1" s="1"/>
  <c r="AH63" i="1"/>
  <c r="AI63" i="1" s="1"/>
  <c r="AH64" i="1"/>
  <c r="AI64" i="1" s="1"/>
  <c r="AH65" i="1"/>
  <c r="AI65" i="1" s="1"/>
  <c r="AH66" i="1"/>
  <c r="AI66" i="1" s="1"/>
  <c r="AH67" i="1"/>
  <c r="AI67" i="1" s="1"/>
  <c r="AH68" i="1"/>
  <c r="AI68" i="1" s="1"/>
  <c r="AH69" i="1"/>
  <c r="AI69" i="1" s="1"/>
  <c r="AH70" i="1"/>
  <c r="AI70" i="1" s="1"/>
  <c r="AH71" i="1"/>
  <c r="AI71" i="1" s="1"/>
  <c r="AH72" i="1"/>
  <c r="AI72" i="1" s="1"/>
  <c r="AH73" i="1"/>
  <c r="AI73" i="1" s="1"/>
  <c r="AH74" i="1"/>
  <c r="AI74" i="1" s="1"/>
  <c r="AH75" i="1"/>
  <c r="AI75" i="1" s="1"/>
  <c r="AH76" i="1"/>
  <c r="AI76" i="1" s="1"/>
  <c r="AH77" i="1"/>
  <c r="AI77" i="1" s="1"/>
  <c r="AH78" i="1"/>
  <c r="AI78" i="1" s="1"/>
  <c r="AH79" i="1"/>
  <c r="AI79" i="1" s="1"/>
  <c r="AH80" i="1"/>
  <c r="AI80" i="1" s="1"/>
  <c r="AH81" i="1"/>
  <c r="AI81" i="1" s="1"/>
  <c r="AH82" i="1"/>
  <c r="AI82" i="1" s="1"/>
  <c r="AH83" i="1"/>
  <c r="AI83" i="1" s="1"/>
  <c r="AH84" i="1"/>
  <c r="AI84" i="1" s="1"/>
  <c r="AH85" i="1"/>
  <c r="AI85" i="1" s="1"/>
  <c r="AH86" i="1"/>
  <c r="AI86" i="1" s="1"/>
  <c r="AH87" i="1"/>
  <c r="AI87" i="1" s="1"/>
  <c r="AH88" i="1"/>
  <c r="AI88" i="1" s="1"/>
  <c r="AH89" i="1"/>
  <c r="AI89" i="1" s="1"/>
  <c r="AH90" i="1"/>
  <c r="AI90" i="1" s="1"/>
  <c r="AH91" i="1"/>
  <c r="AI91" i="1" s="1"/>
  <c r="AH92" i="1"/>
  <c r="AI92" i="1" s="1"/>
  <c r="AH93" i="1"/>
  <c r="AI93" i="1" s="1"/>
  <c r="AH94" i="1"/>
  <c r="AI94" i="1" s="1"/>
  <c r="AH95" i="1"/>
  <c r="AI95" i="1" s="1"/>
  <c r="AH96" i="1"/>
  <c r="AI96" i="1" s="1"/>
  <c r="AH97" i="1"/>
  <c r="AI97" i="1" s="1"/>
  <c r="AH98" i="1"/>
  <c r="AI98" i="1" s="1"/>
  <c r="AH99" i="1"/>
  <c r="AI99" i="1" s="1"/>
  <c r="AH100" i="1"/>
  <c r="AI100" i="1" s="1"/>
  <c r="AH101" i="1"/>
  <c r="AI101" i="1" s="1"/>
  <c r="AH102" i="1"/>
  <c r="AI102" i="1" s="1"/>
  <c r="AH103" i="1"/>
  <c r="AI103" i="1" s="1"/>
  <c r="AH104" i="1"/>
  <c r="AI104" i="1" s="1"/>
  <c r="AH105" i="1"/>
  <c r="AI105" i="1" s="1"/>
  <c r="AH106" i="1"/>
  <c r="AI106" i="1" s="1"/>
  <c r="AH107" i="1"/>
  <c r="AI107" i="1" s="1"/>
  <c r="AH108" i="1"/>
  <c r="AI108" i="1" s="1"/>
  <c r="AH109" i="1"/>
  <c r="AI109" i="1" s="1"/>
  <c r="AH110" i="1"/>
  <c r="AI110" i="1" s="1"/>
  <c r="AH111" i="1"/>
  <c r="AI111" i="1" s="1"/>
  <c r="AH112" i="1"/>
  <c r="AI112" i="1" s="1"/>
  <c r="AH113" i="1"/>
  <c r="AI113" i="1" s="1"/>
  <c r="AH114" i="1"/>
  <c r="AI114" i="1" s="1"/>
  <c r="AH115" i="1"/>
  <c r="AI115" i="1" s="1"/>
  <c r="AH116" i="1"/>
  <c r="AI116" i="1" s="1"/>
  <c r="AH117" i="1"/>
  <c r="AI117" i="1" s="1"/>
  <c r="AH118" i="1"/>
  <c r="AI118" i="1" s="1"/>
  <c r="AH119" i="1"/>
  <c r="AI119" i="1" s="1"/>
  <c r="AH120" i="1"/>
  <c r="AI120" i="1" s="1"/>
  <c r="AH121" i="1"/>
  <c r="AI121" i="1" s="1"/>
  <c r="AH122" i="1"/>
  <c r="AI122" i="1" s="1"/>
  <c r="AH123" i="1"/>
  <c r="AI123" i="1" s="1"/>
  <c r="AH124" i="1"/>
  <c r="AI124" i="1" s="1"/>
  <c r="AH125" i="1"/>
  <c r="AI125" i="1" s="1"/>
  <c r="AH126" i="1"/>
  <c r="AI126" i="1" s="1"/>
  <c r="AH127" i="1"/>
  <c r="AI127" i="1" s="1"/>
  <c r="AH128" i="1"/>
  <c r="AI128" i="1" s="1"/>
  <c r="AH129" i="1"/>
  <c r="AI129" i="1" s="1"/>
  <c r="AH130" i="1"/>
  <c r="AI130" i="1" s="1"/>
  <c r="AH131" i="1"/>
  <c r="AI131" i="1" s="1"/>
  <c r="AH132" i="1"/>
  <c r="AI132" i="1" s="1"/>
  <c r="AH133" i="1"/>
  <c r="AI133" i="1" s="1"/>
  <c r="AH134" i="1"/>
  <c r="AI134" i="1" s="1"/>
  <c r="AH135" i="1"/>
  <c r="AI135" i="1" s="1"/>
  <c r="AH136" i="1"/>
  <c r="AI136" i="1" s="1"/>
  <c r="AH137" i="1"/>
  <c r="AI137" i="1" s="1"/>
  <c r="AH2311" i="1"/>
  <c r="AI2311" i="1" s="1"/>
  <c r="AH2310" i="1"/>
  <c r="AI2310" i="1" s="1"/>
  <c r="AH2309" i="1"/>
  <c r="AI2309" i="1" s="1"/>
  <c r="AH2308" i="1"/>
  <c r="AI2308" i="1" s="1"/>
  <c r="AH2307" i="1"/>
  <c r="AI2307" i="1" s="1"/>
  <c r="AH2306" i="1"/>
  <c r="AI2306" i="1" s="1"/>
  <c r="AH2305" i="1"/>
  <c r="AI2305" i="1" s="1"/>
  <c r="AH2304" i="1"/>
  <c r="AI2304" i="1" s="1"/>
  <c r="AH2303" i="1"/>
  <c r="AI2303" i="1" s="1"/>
  <c r="AH2302" i="1"/>
  <c r="AI2302" i="1" s="1"/>
  <c r="AH2301" i="1"/>
  <c r="AI2301" i="1" s="1"/>
  <c r="AH2300" i="1"/>
  <c r="AI2300" i="1" s="1"/>
  <c r="AH2299" i="1"/>
  <c r="AI2299" i="1" s="1"/>
  <c r="AH2298" i="1"/>
  <c r="AI2298" i="1" s="1"/>
  <c r="AH2297" i="1"/>
  <c r="AI2297" i="1" s="1"/>
  <c r="AH2296" i="1"/>
  <c r="AI2296" i="1" s="1"/>
  <c r="AH2295" i="1"/>
  <c r="AI2295" i="1" s="1"/>
  <c r="AH2294" i="1"/>
  <c r="AI2294" i="1" s="1"/>
  <c r="AH2293" i="1"/>
  <c r="AI2293" i="1" s="1"/>
  <c r="AH2292" i="1"/>
  <c r="AI2292" i="1" s="1"/>
  <c r="AH2291" i="1"/>
  <c r="AI2291" i="1" s="1"/>
  <c r="AH2290" i="1"/>
  <c r="AI2290" i="1" s="1"/>
  <c r="AH2289" i="1"/>
  <c r="AI2289" i="1" s="1"/>
  <c r="AH2288" i="1"/>
  <c r="AI2288" i="1" s="1"/>
  <c r="AH2287" i="1"/>
  <c r="AI2287" i="1" s="1"/>
  <c r="AH2286" i="1"/>
  <c r="AI2286" i="1" s="1"/>
  <c r="AH2285" i="1"/>
  <c r="AI2285" i="1" s="1"/>
  <c r="AH2284" i="1"/>
  <c r="AI2284" i="1" s="1"/>
  <c r="AH2283" i="1"/>
  <c r="AI2283" i="1" s="1"/>
  <c r="AH2282" i="1"/>
  <c r="AI2282" i="1" s="1"/>
  <c r="AH2281" i="1"/>
  <c r="AI2281" i="1" s="1"/>
  <c r="AH2280" i="1"/>
  <c r="AI2280" i="1" s="1"/>
  <c r="AH2279" i="1"/>
  <c r="AI2279" i="1" s="1"/>
  <c r="AH2278" i="1"/>
  <c r="AI2278" i="1" s="1"/>
  <c r="AH2277" i="1"/>
  <c r="AI2277" i="1" s="1"/>
  <c r="AH2276" i="1"/>
  <c r="AI2276" i="1" s="1"/>
  <c r="AH2275" i="1"/>
  <c r="AI2275" i="1" s="1"/>
  <c r="AH2274" i="1"/>
  <c r="AI2274" i="1" s="1"/>
  <c r="AH2273" i="1"/>
  <c r="AI2273" i="1" s="1"/>
  <c r="AH2272" i="1"/>
  <c r="AI2272" i="1" s="1"/>
  <c r="AH2271" i="1"/>
  <c r="AI2271" i="1" s="1"/>
  <c r="AH2270" i="1"/>
  <c r="AI2270" i="1" s="1"/>
  <c r="AH2269" i="1"/>
  <c r="AI2269" i="1" s="1"/>
  <c r="AH2268" i="1"/>
  <c r="AI2268" i="1" s="1"/>
  <c r="AH2267" i="1"/>
  <c r="AI2267" i="1" s="1"/>
  <c r="AH2266" i="1"/>
  <c r="AI2266" i="1" s="1"/>
  <c r="AH2265" i="1"/>
  <c r="AI2265" i="1" s="1"/>
  <c r="AH2264" i="1"/>
  <c r="AI2264" i="1" s="1"/>
  <c r="AH2263" i="1"/>
  <c r="AI2263" i="1" s="1"/>
  <c r="AH2262" i="1"/>
  <c r="AI2262" i="1" s="1"/>
  <c r="AH2261" i="1"/>
  <c r="AI2261" i="1" s="1"/>
  <c r="AH2260" i="1"/>
  <c r="AI2260" i="1" s="1"/>
  <c r="AH2259" i="1"/>
  <c r="AI2259" i="1" s="1"/>
  <c r="AH2258" i="1"/>
  <c r="AI2258" i="1" s="1"/>
  <c r="AH2257" i="1"/>
  <c r="AI2257" i="1" s="1"/>
  <c r="AH2256" i="1"/>
  <c r="AI2256" i="1" s="1"/>
  <c r="AH2255" i="1"/>
  <c r="AI2255" i="1" s="1"/>
  <c r="AH2254" i="1"/>
  <c r="AI2254" i="1" s="1"/>
  <c r="AH2253" i="1"/>
  <c r="AI2253" i="1" s="1"/>
  <c r="AH2252" i="1"/>
  <c r="AI2252" i="1" s="1"/>
  <c r="AH2251" i="1"/>
  <c r="AI2251" i="1" s="1"/>
  <c r="AH2250" i="1"/>
  <c r="AI2250" i="1" s="1"/>
  <c r="AH2249" i="1"/>
  <c r="AI2249" i="1" s="1"/>
  <c r="AH2248" i="1"/>
  <c r="AI2248" i="1" s="1"/>
  <c r="AH2247" i="1"/>
  <c r="AI2247" i="1" s="1"/>
  <c r="AH2246" i="1"/>
  <c r="AI2246" i="1" s="1"/>
  <c r="AH2245" i="1"/>
  <c r="AI2245" i="1" s="1"/>
  <c r="AH2244" i="1"/>
  <c r="AI2244" i="1" s="1"/>
  <c r="AH2243" i="1"/>
  <c r="AI2243" i="1" s="1"/>
  <c r="AH2242" i="1"/>
  <c r="AI2242" i="1" s="1"/>
  <c r="AH2241" i="1"/>
  <c r="AI2241" i="1" s="1"/>
  <c r="AH2240" i="1"/>
  <c r="AI2240" i="1" s="1"/>
  <c r="AH2239" i="1"/>
  <c r="AI2239" i="1" s="1"/>
  <c r="AH2238" i="1"/>
  <c r="AI2238" i="1" s="1"/>
  <c r="AH2237" i="1"/>
  <c r="AI2237" i="1" s="1"/>
  <c r="AH2236" i="1"/>
  <c r="AI2236" i="1" s="1"/>
  <c r="AH2235" i="1"/>
  <c r="AI2235" i="1" s="1"/>
  <c r="AH2234" i="1"/>
  <c r="AI2234" i="1" s="1"/>
  <c r="AH2233" i="1"/>
  <c r="AI2233" i="1" s="1"/>
  <c r="AH2232" i="1"/>
  <c r="AI2232" i="1" s="1"/>
  <c r="AH2231" i="1"/>
  <c r="AI2231" i="1" s="1"/>
  <c r="AH2230" i="1"/>
  <c r="AI2230" i="1" s="1"/>
  <c r="AH2229" i="1"/>
  <c r="AI2229" i="1" s="1"/>
  <c r="AH2228" i="1"/>
  <c r="AI2228" i="1" s="1"/>
  <c r="AH2227" i="1"/>
  <c r="AI2227" i="1" s="1"/>
  <c r="AH2226" i="1"/>
  <c r="AI2226" i="1" s="1"/>
  <c r="AH2225" i="1"/>
  <c r="AI2225" i="1" s="1"/>
  <c r="AH2224" i="1"/>
  <c r="AI2224" i="1" s="1"/>
  <c r="AH2223" i="1"/>
  <c r="AI2223" i="1" s="1"/>
  <c r="AH2222" i="1"/>
  <c r="AI2222" i="1" s="1"/>
  <c r="AH2221" i="1"/>
  <c r="AI2221" i="1" s="1"/>
  <c r="AH2220" i="1"/>
  <c r="AI2220" i="1" s="1"/>
  <c r="AH2219" i="1"/>
  <c r="AI2219" i="1" s="1"/>
  <c r="AH2218" i="1"/>
  <c r="AI2218" i="1" s="1"/>
  <c r="AH2217" i="1"/>
  <c r="AI2217" i="1" s="1"/>
  <c r="AH2216" i="1"/>
  <c r="AI2216" i="1" s="1"/>
  <c r="AH2215" i="1"/>
  <c r="AI2215" i="1" s="1"/>
  <c r="AH2214" i="1"/>
  <c r="AI2214" i="1" s="1"/>
  <c r="AH2213" i="1"/>
  <c r="AI2213" i="1" s="1"/>
  <c r="AH2212" i="1"/>
  <c r="AI2212" i="1" s="1"/>
  <c r="AH2211" i="1"/>
  <c r="AI2211" i="1" s="1"/>
  <c r="AH2210" i="1"/>
  <c r="AI2210" i="1" s="1"/>
  <c r="AH2209" i="1"/>
  <c r="AI2209" i="1" s="1"/>
  <c r="AH2208" i="1"/>
  <c r="AI2208" i="1" s="1"/>
  <c r="AH2207" i="1"/>
  <c r="AI2207" i="1" s="1"/>
  <c r="AH2206" i="1"/>
  <c r="AI2206" i="1" s="1"/>
  <c r="AH2205" i="1"/>
  <c r="AI2205" i="1" s="1"/>
  <c r="AH2204" i="1"/>
  <c r="AI2204" i="1" s="1"/>
  <c r="AH2203" i="1"/>
  <c r="AI2203" i="1" s="1"/>
  <c r="AH2202" i="1"/>
  <c r="AI2202" i="1" s="1"/>
  <c r="AH2201" i="1"/>
  <c r="AI2201" i="1" s="1"/>
  <c r="AH2200" i="1"/>
  <c r="AI2200" i="1" s="1"/>
  <c r="AH2199" i="1"/>
  <c r="AI2199" i="1" s="1"/>
  <c r="AH2198" i="1"/>
  <c r="AI2198" i="1" s="1"/>
  <c r="AH2197" i="1"/>
  <c r="AI2197" i="1" s="1"/>
  <c r="AH2196" i="1"/>
  <c r="AI2196" i="1" s="1"/>
  <c r="AH2195" i="1"/>
  <c r="AI2195" i="1" s="1"/>
  <c r="AH2194" i="1"/>
  <c r="AI2194" i="1" s="1"/>
  <c r="AH2193" i="1"/>
  <c r="AI2193" i="1" s="1"/>
  <c r="AH2192" i="1"/>
  <c r="AI2192" i="1" s="1"/>
  <c r="AH2191" i="1"/>
  <c r="AI2191" i="1" s="1"/>
  <c r="AH2190" i="1"/>
  <c r="AI2190" i="1" s="1"/>
  <c r="AH2189" i="1"/>
  <c r="AI2189" i="1" s="1"/>
  <c r="AH2188" i="1"/>
  <c r="AI2188" i="1" s="1"/>
  <c r="AH2187" i="1"/>
  <c r="AI2187" i="1" s="1"/>
  <c r="AH2186" i="1"/>
  <c r="AI2186" i="1" s="1"/>
  <c r="AH2185" i="1"/>
  <c r="AI2185" i="1" s="1"/>
  <c r="AH2184" i="1"/>
  <c r="AI2184" i="1" s="1"/>
  <c r="AH2183" i="1"/>
  <c r="AI2183" i="1" s="1"/>
  <c r="AH2182" i="1"/>
  <c r="AI2182" i="1" s="1"/>
  <c r="AH2181" i="1"/>
  <c r="AI2181" i="1" s="1"/>
  <c r="AH2180" i="1"/>
  <c r="AI2180" i="1" s="1"/>
  <c r="AH2179" i="1"/>
  <c r="AI2179" i="1" s="1"/>
  <c r="AH2178" i="1"/>
  <c r="AI2178" i="1" s="1"/>
  <c r="AH2177" i="1"/>
  <c r="AI2177" i="1" s="1"/>
  <c r="AH2176" i="1"/>
  <c r="AI2176" i="1" s="1"/>
  <c r="AH2175" i="1"/>
  <c r="AI2175" i="1" s="1"/>
  <c r="AH2174" i="1"/>
  <c r="AI2174" i="1" s="1"/>
  <c r="AH2173" i="1"/>
  <c r="AI2173" i="1" s="1"/>
  <c r="AH2172" i="1"/>
  <c r="AI2172" i="1" s="1"/>
  <c r="AH2171" i="1"/>
  <c r="AI2171" i="1" s="1"/>
  <c r="AH2170" i="1"/>
  <c r="AI2170" i="1" s="1"/>
  <c r="AH2169" i="1"/>
  <c r="AI2169" i="1" s="1"/>
  <c r="AH2168" i="1"/>
  <c r="AI2168" i="1" s="1"/>
  <c r="AH2167" i="1"/>
  <c r="AI2167" i="1" s="1"/>
  <c r="AH2166" i="1"/>
  <c r="AI2166" i="1" s="1"/>
  <c r="AH2165" i="1"/>
  <c r="AI2165" i="1" s="1"/>
  <c r="AH2164" i="1"/>
  <c r="AI2164" i="1" s="1"/>
  <c r="AH2163" i="1"/>
  <c r="AI2163" i="1" s="1"/>
  <c r="AH2162" i="1"/>
  <c r="AI2162" i="1" s="1"/>
  <c r="AH2161" i="1"/>
  <c r="AI2161" i="1" s="1"/>
  <c r="AH2160" i="1"/>
  <c r="AI2160" i="1" s="1"/>
  <c r="AH2159" i="1"/>
  <c r="AI2159" i="1" s="1"/>
  <c r="AH2158" i="1"/>
  <c r="AI2158" i="1" s="1"/>
  <c r="AH2157" i="1"/>
  <c r="AI2157" i="1" s="1"/>
  <c r="AH2156" i="1"/>
  <c r="AI2156" i="1" s="1"/>
  <c r="AH2155" i="1"/>
  <c r="AI2155" i="1" s="1"/>
  <c r="AH2154" i="1"/>
  <c r="AI2154" i="1" s="1"/>
  <c r="AH2153" i="1"/>
  <c r="AI2153" i="1" s="1"/>
  <c r="AH2152" i="1"/>
  <c r="AI2152" i="1" s="1"/>
  <c r="AH2151" i="1"/>
  <c r="AI2151" i="1" s="1"/>
  <c r="AH2150" i="1"/>
  <c r="AI2150" i="1" s="1"/>
  <c r="AH2149" i="1"/>
  <c r="AI2149" i="1" s="1"/>
  <c r="AH2148" i="1"/>
  <c r="AI2148" i="1" s="1"/>
  <c r="AH2147" i="1"/>
  <c r="AI2147" i="1" s="1"/>
  <c r="AH2146" i="1"/>
  <c r="AI2146" i="1" s="1"/>
  <c r="AH2145" i="1"/>
  <c r="AI2145" i="1" s="1"/>
  <c r="AH2144" i="1"/>
  <c r="AI2144" i="1" s="1"/>
  <c r="AH2143" i="1"/>
  <c r="AI2143" i="1" s="1"/>
  <c r="AH2142" i="1"/>
  <c r="AI2142" i="1" s="1"/>
  <c r="AH2141" i="1"/>
  <c r="AI2141" i="1" s="1"/>
  <c r="AH2140" i="1"/>
  <c r="AI2140" i="1" s="1"/>
  <c r="AH2139" i="1"/>
  <c r="AI2139" i="1" s="1"/>
  <c r="AH2138" i="1"/>
  <c r="AI2138" i="1" s="1"/>
  <c r="AH2137" i="1"/>
  <c r="AI2137" i="1" s="1"/>
  <c r="AH2136" i="1"/>
  <c r="AI2136" i="1" s="1"/>
  <c r="AH2135" i="1"/>
  <c r="AI2135" i="1" s="1"/>
  <c r="AH2134" i="1"/>
  <c r="AI2134" i="1" s="1"/>
  <c r="AH2133" i="1"/>
  <c r="AI2133" i="1" s="1"/>
  <c r="AH2132" i="1"/>
  <c r="AI2132" i="1" s="1"/>
  <c r="AH2131" i="1"/>
  <c r="AI2131" i="1" s="1"/>
  <c r="AH2130" i="1"/>
  <c r="AI2130" i="1" s="1"/>
  <c r="AH2129" i="1"/>
  <c r="AI2129" i="1" s="1"/>
  <c r="AH2128" i="1"/>
  <c r="AI2128" i="1" s="1"/>
  <c r="AH2127" i="1"/>
  <c r="AI2127" i="1" s="1"/>
  <c r="AH2126" i="1"/>
  <c r="AI2126" i="1" s="1"/>
  <c r="AH2125" i="1"/>
  <c r="AI2125" i="1" s="1"/>
  <c r="AH2124" i="1"/>
  <c r="AI2124" i="1" s="1"/>
  <c r="AH2123" i="1"/>
  <c r="AI2123" i="1" s="1"/>
  <c r="AH2122" i="1"/>
  <c r="AI2122" i="1" s="1"/>
  <c r="AH2121" i="1"/>
  <c r="AI2121" i="1" s="1"/>
  <c r="AH2120" i="1"/>
  <c r="AI2120" i="1" s="1"/>
  <c r="AH2119" i="1"/>
  <c r="AI2119" i="1" s="1"/>
  <c r="AH2118" i="1"/>
  <c r="AI2118" i="1" s="1"/>
  <c r="AH2117" i="1"/>
  <c r="AI2117" i="1" s="1"/>
  <c r="AH2116" i="1"/>
  <c r="AI2116" i="1" s="1"/>
  <c r="AH2115" i="1"/>
  <c r="AI2115" i="1" s="1"/>
  <c r="AH2114" i="1"/>
  <c r="AI2114" i="1" s="1"/>
  <c r="AH2113" i="1"/>
  <c r="AI2113" i="1" s="1"/>
  <c r="AH2112" i="1"/>
  <c r="AI2112" i="1" s="1"/>
  <c r="AH2111" i="1"/>
  <c r="AI2111" i="1" s="1"/>
  <c r="AH2110" i="1"/>
  <c r="AI2110" i="1" s="1"/>
  <c r="AH2109" i="1"/>
  <c r="AI2109" i="1" s="1"/>
  <c r="AH2108" i="1"/>
  <c r="AI2108" i="1" s="1"/>
  <c r="AH2107" i="1"/>
  <c r="AI2107" i="1" s="1"/>
  <c r="AH2106" i="1"/>
  <c r="AI2106" i="1" s="1"/>
  <c r="AH2105" i="1"/>
  <c r="AI2105" i="1" s="1"/>
  <c r="AH2104" i="1"/>
  <c r="AI2104" i="1" s="1"/>
  <c r="AH2103" i="1"/>
  <c r="AI2103" i="1" s="1"/>
  <c r="AH2102" i="1"/>
  <c r="AI2102" i="1" s="1"/>
  <c r="AH2101" i="1"/>
  <c r="AI2101" i="1" s="1"/>
  <c r="AH2100" i="1"/>
  <c r="AI2100" i="1" s="1"/>
  <c r="AH2099" i="1"/>
  <c r="AI2099" i="1" s="1"/>
  <c r="AH2098" i="1"/>
  <c r="AI2098" i="1" s="1"/>
  <c r="AH2097" i="1"/>
  <c r="AI2097" i="1" s="1"/>
  <c r="AH2096" i="1"/>
  <c r="AI2096" i="1" s="1"/>
  <c r="AH2095" i="1"/>
  <c r="AI2095" i="1" s="1"/>
  <c r="AH2094" i="1"/>
  <c r="AI2094" i="1" s="1"/>
  <c r="AH2093" i="1"/>
  <c r="AI2093" i="1" s="1"/>
  <c r="AH2092" i="1"/>
  <c r="AI2092" i="1" s="1"/>
  <c r="AH2091" i="1"/>
  <c r="AI2091" i="1" s="1"/>
  <c r="AH2090" i="1"/>
  <c r="AI2090" i="1" s="1"/>
  <c r="AH2089" i="1"/>
  <c r="AI2089" i="1" s="1"/>
  <c r="AH2088" i="1"/>
  <c r="AI2088" i="1" s="1"/>
  <c r="AH2087" i="1"/>
  <c r="AI2087" i="1" s="1"/>
  <c r="AH2086" i="1"/>
  <c r="AI2086" i="1" s="1"/>
  <c r="AH2085" i="1"/>
  <c r="AI2085" i="1" s="1"/>
  <c r="AH2084" i="1"/>
  <c r="AI2084" i="1" s="1"/>
  <c r="AH2083" i="1"/>
  <c r="AI2083" i="1" s="1"/>
  <c r="AH2082" i="1"/>
  <c r="AI2082" i="1" s="1"/>
  <c r="AH2081" i="1"/>
  <c r="AI2081" i="1" s="1"/>
  <c r="AH2080" i="1"/>
  <c r="AI2080" i="1" s="1"/>
  <c r="AH2079" i="1"/>
  <c r="AI2079" i="1" s="1"/>
  <c r="AH2078" i="1"/>
  <c r="AI2078" i="1" s="1"/>
  <c r="AH2077" i="1"/>
  <c r="AI2077" i="1" s="1"/>
  <c r="AH2076" i="1"/>
  <c r="AI2076" i="1" s="1"/>
  <c r="AH2075" i="1"/>
  <c r="AI2075" i="1" s="1"/>
  <c r="AH2074" i="1"/>
  <c r="AI2074" i="1" s="1"/>
  <c r="AH2073" i="1"/>
  <c r="AI2073" i="1" s="1"/>
  <c r="AH2072" i="1"/>
  <c r="AI2072" i="1" s="1"/>
  <c r="AH2071" i="1"/>
  <c r="AI2071" i="1" s="1"/>
  <c r="AH2070" i="1"/>
  <c r="AI2070" i="1" s="1"/>
  <c r="AH2069" i="1"/>
  <c r="AI2069" i="1" s="1"/>
  <c r="AH2068" i="1"/>
  <c r="AI2068" i="1" s="1"/>
  <c r="AH2067" i="1"/>
  <c r="AI2067" i="1" s="1"/>
  <c r="AH2066" i="1"/>
  <c r="AI2066" i="1" s="1"/>
  <c r="AH2065" i="1"/>
  <c r="AI2065" i="1" s="1"/>
  <c r="AH2064" i="1"/>
  <c r="AI2064" i="1" s="1"/>
  <c r="AH2063" i="1"/>
  <c r="AI2063" i="1" s="1"/>
  <c r="AH2062" i="1"/>
  <c r="AI2062" i="1" s="1"/>
  <c r="AH2061" i="1"/>
  <c r="AI2061" i="1" s="1"/>
  <c r="AH2060" i="1"/>
  <c r="AI2060" i="1" s="1"/>
  <c r="AH2059" i="1"/>
  <c r="AI2059" i="1" s="1"/>
  <c r="AH2058" i="1"/>
  <c r="AI2058" i="1" s="1"/>
  <c r="AH2057" i="1"/>
  <c r="AI2057" i="1" s="1"/>
  <c r="AH2056" i="1"/>
  <c r="AI2056" i="1" s="1"/>
  <c r="AH2055" i="1"/>
  <c r="AI2055" i="1" s="1"/>
  <c r="AH2054" i="1"/>
  <c r="AI2054" i="1" s="1"/>
  <c r="AH2053" i="1"/>
  <c r="AI2053" i="1" s="1"/>
  <c r="AH2052" i="1"/>
  <c r="AI2052" i="1" s="1"/>
  <c r="AH2051" i="1"/>
  <c r="AI2051" i="1" s="1"/>
  <c r="AH2050" i="1"/>
  <c r="AI2050" i="1" s="1"/>
  <c r="AH2049" i="1"/>
  <c r="AI2049" i="1" s="1"/>
  <c r="AH2048" i="1"/>
  <c r="AI2048" i="1" s="1"/>
  <c r="AH2047" i="1"/>
  <c r="AI2047" i="1" s="1"/>
  <c r="AH2046" i="1"/>
  <c r="AI2046" i="1" s="1"/>
  <c r="AH2045" i="1"/>
  <c r="AI2045" i="1" s="1"/>
  <c r="AH2044" i="1"/>
  <c r="AI2044" i="1" s="1"/>
  <c r="AH2043" i="1"/>
  <c r="AI2043" i="1" s="1"/>
  <c r="AH2042" i="1"/>
  <c r="AI2042" i="1" s="1"/>
  <c r="AH2041" i="1"/>
  <c r="AI2041" i="1" s="1"/>
  <c r="AH2040" i="1"/>
  <c r="AI2040" i="1" s="1"/>
  <c r="AH2039" i="1"/>
  <c r="AI2039" i="1" s="1"/>
  <c r="AH2038" i="1"/>
  <c r="AI2038" i="1" s="1"/>
  <c r="AH2037" i="1"/>
  <c r="AI2037" i="1" s="1"/>
  <c r="AH2036" i="1"/>
  <c r="AI2036" i="1" s="1"/>
  <c r="AH2035" i="1"/>
  <c r="AI2035" i="1" s="1"/>
  <c r="AH2034" i="1"/>
  <c r="AI2034" i="1" s="1"/>
  <c r="AH2033" i="1"/>
  <c r="AI2033" i="1" s="1"/>
  <c r="AH2032" i="1"/>
  <c r="AI2032" i="1" s="1"/>
  <c r="AH2031" i="1"/>
  <c r="AI2031" i="1" s="1"/>
  <c r="AH2030" i="1"/>
  <c r="AI2030" i="1" s="1"/>
  <c r="AH2029" i="1"/>
  <c r="AI2029" i="1" s="1"/>
  <c r="AH2028" i="1"/>
  <c r="AI2028" i="1" s="1"/>
  <c r="AH2027" i="1"/>
  <c r="AI2027" i="1" s="1"/>
  <c r="AH2026" i="1"/>
  <c r="AI2026" i="1" s="1"/>
  <c r="AH2025" i="1"/>
  <c r="AI2025" i="1" s="1"/>
  <c r="AH2024" i="1"/>
  <c r="AI2024" i="1" s="1"/>
  <c r="AH2023" i="1"/>
  <c r="AI2023" i="1" s="1"/>
  <c r="AH2022" i="1"/>
  <c r="AI2022" i="1" s="1"/>
  <c r="AH2021" i="1"/>
  <c r="AI2021" i="1" s="1"/>
  <c r="AH2020" i="1"/>
  <c r="AI2020" i="1" s="1"/>
  <c r="AH2019" i="1"/>
  <c r="AI2019" i="1" s="1"/>
  <c r="AH2018" i="1"/>
  <c r="AI2018" i="1" s="1"/>
  <c r="AH2017" i="1"/>
  <c r="AI2017" i="1" s="1"/>
  <c r="AH2016" i="1"/>
  <c r="AI2016" i="1" s="1"/>
  <c r="AH2015" i="1"/>
  <c r="AI2015" i="1" s="1"/>
  <c r="AH2014" i="1"/>
  <c r="AI2014" i="1" s="1"/>
  <c r="AH2013" i="1"/>
  <c r="AI2013" i="1" s="1"/>
  <c r="AH2012" i="1"/>
  <c r="AI2012" i="1" s="1"/>
  <c r="AH2011" i="1"/>
  <c r="AI2011" i="1" s="1"/>
  <c r="AH2010" i="1"/>
  <c r="AI2010" i="1" s="1"/>
  <c r="AH2009" i="1"/>
  <c r="AI2009" i="1" s="1"/>
  <c r="AH2008" i="1"/>
  <c r="AI2008" i="1" s="1"/>
  <c r="AH2007" i="1"/>
  <c r="AI2007" i="1" s="1"/>
  <c r="AH2006" i="1"/>
  <c r="AI2006" i="1" s="1"/>
  <c r="AH2005" i="1"/>
  <c r="AI2005" i="1" s="1"/>
  <c r="AH2004" i="1"/>
  <c r="AI2004" i="1" s="1"/>
  <c r="AH2003" i="1"/>
  <c r="AI2003" i="1" s="1"/>
  <c r="AH2002" i="1"/>
  <c r="AI2002" i="1" s="1"/>
  <c r="AH2001" i="1"/>
  <c r="AI2001" i="1" s="1"/>
  <c r="AH2000" i="1"/>
  <c r="AI2000" i="1" s="1"/>
  <c r="AH1999" i="1"/>
  <c r="AI1999" i="1" s="1"/>
  <c r="AH1998" i="1"/>
  <c r="AI1998" i="1" s="1"/>
  <c r="AH1997" i="1"/>
  <c r="AI1997" i="1" s="1"/>
  <c r="AH1996" i="1"/>
  <c r="AI1996" i="1" s="1"/>
  <c r="AH1995" i="1"/>
  <c r="AI1995" i="1" s="1"/>
  <c r="AH1994" i="1"/>
  <c r="AI1994" i="1" s="1"/>
  <c r="AH1993" i="1"/>
  <c r="AI1993" i="1" s="1"/>
  <c r="AH1992" i="1"/>
  <c r="AI1992" i="1" s="1"/>
  <c r="AH1991" i="1"/>
  <c r="AI1991" i="1" s="1"/>
  <c r="AH1990" i="1"/>
  <c r="AI1990" i="1" s="1"/>
  <c r="AH1989" i="1"/>
  <c r="AI1989" i="1" s="1"/>
  <c r="AH1988" i="1"/>
  <c r="AI1988" i="1" s="1"/>
  <c r="AH1987" i="1"/>
  <c r="AI1987" i="1" s="1"/>
  <c r="AH1986" i="1"/>
  <c r="AI1986" i="1" s="1"/>
  <c r="AH1985" i="1"/>
  <c r="AI1985" i="1" s="1"/>
  <c r="AH1984" i="1"/>
  <c r="AI1984" i="1" s="1"/>
  <c r="AH1983" i="1"/>
  <c r="AI1983" i="1" s="1"/>
  <c r="AH1982" i="1"/>
  <c r="AI1982" i="1" s="1"/>
  <c r="AH1981" i="1"/>
  <c r="AI1981" i="1" s="1"/>
  <c r="V100" i="1"/>
  <c r="V661" i="1"/>
  <c r="V662" i="1"/>
  <c r="V663" i="1"/>
  <c r="V664" i="1"/>
  <c r="V665" i="1"/>
  <c r="V666" i="1"/>
  <c r="V667" i="1"/>
  <c r="V668" i="1"/>
  <c r="V669" i="1"/>
  <c r="V670" i="1"/>
  <c r="V671" i="1"/>
  <c r="V689" i="1"/>
  <c r="V690" i="1"/>
  <c r="V1083" i="1"/>
  <c r="V1084" i="1"/>
  <c r="V1085" i="1"/>
  <c r="V1086"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903" i="1"/>
  <c r="V1904" i="1"/>
  <c r="V1905" i="1"/>
  <c r="V1906" i="1"/>
  <c r="V1907" i="1"/>
  <c r="V1908" i="1"/>
  <c r="V1909" i="1"/>
  <c r="V1919" i="1"/>
  <c r="V1920" i="1"/>
  <c r="V1921" i="1"/>
  <c r="V1922" i="1"/>
  <c r="V1923" i="1"/>
  <c r="V1924" i="1"/>
  <c r="V1925" i="1"/>
  <c r="V1926" i="1"/>
  <c r="V1927" i="1"/>
  <c r="V1928" i="1"/>
  <c r="V1929" i="1"/>
  <c r="V1930" i="1"/>
  <c r="V1931" i="1"/>
  <c r="V1932" i="1"/>
  <c r="V1933" i="1"/>
  <c r="V1934" i="1"/>
  <c r="V1935" i="1"/>
  <c r="V1936" i="1"/>
  <c r="V1937" i="1"/>
  <c r="V1938" i="1"/>
  <c r="AH2" i="1"/>
  <c r="AI2" i="1" s="1"/>
  <c r="J1711" i="1" l="1"/>
  <c r="J59" i="1"/>
  <c r="J60" i="1"/>
  <c r="J58" i="1"/>
  <c r="J1164" i="1"/>
  <c r="J1165" i="1"/>
  <c r="J1163" i="1"/>
  <c r="T1614" i="1"/>
  <c r="U1614" i="1" s="1"/>
  <c r="T1613" i="1"/>
  <c r="U1613" i="1" s="1"/>
  <c r="AW1613" i="1" s="1"/>
  <c r="T1612" i="1"/>
  <c r="U1612" i="1" s="1"/>
  <c r="T1611" i="1"/>
  <c r="U1611" i="1" s="1"/>
  <c r="T1610" i="1"/>
  <c r="U1610" i="1" s="1"/>
  <c r="AW1610" i="1" s="1"/>
  <c r="J1990" i="1"/>
  <c r="J1991" i="1"/>
  <c r="U1990" i="1"/>
  <c r="U1991" i="1"/>
  <c r="U2198" i="1"/>
  <c r="AW2198" i="1" s="1"/>
  <c r="U2197" i="1"/>
  <c r="AW2197" i="1" s="1"/>
  <c r="U2196" i="1"/>
  <c r="AW2196" i="1" s="1"/>
  <c r="T2195" i="1"/>
  <c r="U2195" i="1" s="1"/>
  <c r="AW2195" i="1" s="1"/>
  <c r="U2194" i="1"/>
  <c r="T2193" i="1"/>
  <c r="S2193" i="1"/>
  <c r="T2192" i="1"/>
  <c r="S2192" i="1"/>
  <c r="T2191" i="1"/>
  <c r="S2191" i="1"/>
  <c r="U2190" i="1"/>
  <c r="U2189" i="1"/>
  <c r="AW2189" i="1" s="1"/>
  <c r="S2188" i="1"/>
  <c r="U2188" i="1" s="1"/>
  <c r="S2187" i="1"/>
  <c r="U2187" i="1" s="1"/>
  <c r="AW2187" i="1" s="1"/>
  <c r="T2186" i="1"/>
  <c r="S2186" i="1"/>
  <c r="T640" i="1"/>
  <c r="S640" i="1"/>
  <c r="T639" i="1"/>
  <c r="S639" i="1"/>
  <c r="S638" i="1"/>
  <c r="U638" i="1" s="1"/>
  <c r="T637" i="1"/>
  <c r="S637" i="1"/>
  <c r="T636" i="1"/>
  <c r="S636" i="1"/>
  <c r="T635" i="1"/>
  <c r="S635" i="1"/>
  <c r="T634" i="1"/>
  <c r="S634" i="1"/>
  <c r="T633" i="1"/>
  <c r="S633" i="1"/>
  <c r="T632" i="1"/>
  <c r="S632" i="1"/>
  <c r="T631" i="1"/>
  <c r="S631" i="1"/>
  <c r="T630" i="1"/>
  <c r="S630" i="1"/>
  <c r="T629" i="1"/>
  <c r="S629" i="1"/>
  <c r="U1547" i="1"/>
  <c r="U1546" i="1"/>
  <c r="U1545" i="1"/>
  <c r="AW1545" i="1" s="1"/>
  <c r="U1543" i="1"/>
  <c r="AW1543" i="1" s="1"/>
  <c r="U1341" i="1"/>
  <c r="U1029" i="1"/>
  <c r="AW1029" i="1" s="1"/>
  <c r="U1206" i="1"/>
  <c r="AW1206" i="1" s="1"/>
  <c r="U1191" i="1"/>
  <c r="U2295" i="1"/>
  <c r="AW2295" i="1" s="1"/>
  <c r="U2289" i="1"/>
  <c r="U2283" i="1"/>
  <c r="U2277" i="1"/>
  <c r="AW2277" i="1" s="1"/>
  <c r="U2271" i="1"/>
  <c r="AW2271" i="1" s="1"/>
  <c r="U2268" i="1"/>
  <c r="U2260" i="1"/>
  <c r="AW2260" i="1" s="1"/>
  <c r="U2254" i="1"/>
  <c r="U2248" i="1"/>
  <c r="U2242" i="1"/>
  <c r="AW2242" i="1" s="1"/>
  <c r="U2236" i="1"/>
  <c r="AW2236" i="1" s="1"/>
  <c r="U2230" i="1"/>
  <c r="U2224" i="1"/>
  <c r="AW2224" i="1" s="1"/>
  <c r="U2218" i="1"/>
  <c r="AW2218" i="1" s="1"/>
  <c r="U987" i="1"/>
  <c r="AW987" i="1" s="1"/>
  <c r="U986" i="1"/>
  <c r="AW986" i="1" s="1"/>
  <c r="U985" i="1"/>
  <c r="AW985" i="1" s="1"/>
  <c r="U1168" i="1"/>
  <c r="U2073" i="1"/>
  <c r="AW2073" i="1" s="1"/>
  <c r="U1032" i="1"/>
  <c r="AW1032" i="1" s="1"/>
  <c r="U932" i="1"/>
  <c r="U929" i="1"/>
  <c r="AW929" i="1" s="1"/>
  <c r="U926" i="1"/>
  <c r="U559" i="1"/>
  <c r="U552" i="1"/>
  <c r="AW552" i="1" s="1"/>
  <c r="U551" i="1"/>
  <c r="U550" i="1"/>
  <c r="U532" i="1"/>
  <c r="AW532" i="1" s="1"/>
  <c r="U531" i="1"/>
  <c r="AW531" i="1" s="1"/>
  <c r="U530" i="1"/>
  <c r="U529" i="1"/>
  <c r="AW529" i="1" s="1"/>
  <c r="U528" i="1"/>
  <c r="AW528" i="1" s="1"/>
  <c r="U527" i="1"/>
  <c r="U526" i="1"/>
  <c r="U513" i="1"/>
  <c r="AW513" i="1" s="1"/>
  <c r="U512" i="1"/>
  <c r="U511" i="1"/>
  <c r="AW511" i="1" s="1"/>
  <c r="U510" i="1"/>
  <c r="AW510" i="1" s="1"/>
  <c r="U509" i="1"/>
  <c r="U2042" i="1"/>
  <c r="AW2042" i="1" s="1"/>
  <c r="U2041" i="1"/>
  <c r="U2036" i="1"/>
  <c r="U1028" i="1"/>
  <c r="AW1028" i="1" s="1"/>
  <c r="U1544" i="1"/>
  <c r="AW1544" i="1" s="1"/>
  <c r="U122" i="1"/>
  <c r="AW122" i="1" s="1"/>
  <c r="U121" i="1"/>
  <c r="AW121" i="1" s="1"/>
  <c r="U120" i="1"/>
  <c r="AW120" i="1" s="1"/>
  <c r="U119" i="1"/>
  <c r="U118" i="1"/>
  <c r="AW118" i="1" s="1"/>
  <c r="U117" i="1"/>
  <c r="U116" i="1"/>
  <c r="U115" i="1"/>
  <c r="AW115" i="1" s="1"/>
  <c r="U560" i="1"/>
  <c r="AW560" i="1" s="1"/>
  <c r="U555" i="1"/>
  <c r="U554" i="1"/>
  <c r="AW554" i="1" s="1"/>
  <c r="U553" i="1"/>
  <c r="AW553" i="1" s="1"/>
  <c r="U540" i="1"/>
  <c r="U539" i="1"/>
  <c r="AW539" i="1" s="1"/>
  <c r="U538" i="1"/>
  <c r="AW538" i="1" s="1"/>
  <c r="U537" i="1"/>
  <c r="U536" i="1"/>
  <c r="AW536" i="1" s="1"/>
  <c r="U535" i="1"/>
  <c r="AW535" i="1" s="1"/>
  <c r="U534" i="1"/>
  <c r="U533" i="1"/>
  <c r="U519" i="1"/>
  <c r="U518" i="1"/>
  <c r="U517" i="1"/>
  <c r="AW517" i="1" s="1"/>
  <c r="U516" i="1"/>
  <c r="AW516" i="1" s="1"/>
  <c r="U515" i="1"/>
  <c r="U514" i="1"/>
  <c r="AW514" i="1" s="1"/>
  <c r="U2040" i="1"/>
  <c r="AW2040" i="1" s="1"/>
  <c r="U2039" i="1"/>
  <c r="U2035" i="1"/>
  <c r="AW2035" i="1" s="1"/>
  <c r="U1499" i="1"/>
  <c r="AW1499" i="1" s="1"/>
  <c r="U1498" i="1"/>
  <c r="U2299" i="1"/>
  <c r="AW2299" i="1" s="1"/>
  <c r="U2293" i="1"/>
  <c r="AW2293" i="1" s="1"/>
  <c r="U2287" i="1"/>
  <c r="U2281" i="1"/>
  <c r="AW2281" i="1" s="1"/>
  <c r="U2275" i="1"/>
  <c r="AW2275" i="1" s="1"/>
  <c r="U2266" i="1"/>
  <c r="U2263" i="1"/>
  <c r="AW2263" i="1" s="1"/>
  <c r="U2258" i="1"/>
  <c r="U2252" i="1"/>
  <c r="U2246" i="1"/>
  <c r="AW2246" i="1" s="1"/>
  <c r="U2240" i="1"/>
  <c r="U2234" i="1"/>
  <c r="U2228" i="1"/>
  <c r="AW2228" i="1" s="1"/>
  <c r="U2222" i="1"/>
  <c r="AW2222" i="1" s="1"/>
  <c r="U1529" i="1"/>
  <c r="U1528" i="1"/>
  <c r="AW1528" i="1" s="1"/>
  <c r="U1527" i="1"/>
  <c r="AW1527" i="1" s="1"/>
  <c r="U1526" i="1"/>
  <c r="U1525" i="1"/>
  <c r="AW1525" i="1" s="1"/>
  <c r="U1524" i="1"/>
  <c r="AW1524" i="1" s="1"/>
  <c r="U1523" i="1"/>
  <c r="U1522" i="1"/>
  <c r="AW1522" i="1" s="1"/>
  <c r="U1176" i="1"/>
  <c r="AW1176" i="1" s="1"/>
  <c r="U1175" i="1"/>
  <c r="U1174" i="1"/>
  <c r="AW1174" i="1" s="1"/>
  <c r="U1173" i="1"/>
  <c r="AW1173" i="1" s="1"/>
  <c r="U224" i="1"/>
  <c r="AW224" i="1" s="1"/>
  <c r="U1845" i="1"/>
  <c r="AW1845" i="1" s="1"/>
  <c r="U1844" i="1"/>
  <c r="AW1844" i="1" s="1"/>
  <c r="U1843" i="1"/>
  <c r="U398" i="1"/>
  <c r="U397" i="1"/>
  <c r="AW397" i="1" s="1"/>
  <c r="U396" i="1"/>
  <c r="U395" i="1"/>
  <c r="AW395" i="1" s="1"/>
  <c r="U394" i="1"/>
  <c r="U393" i="1"/>
  <c r="U392" i="1"/>
  <c r="AW392" i="1" s="1"/>
  <c r="U391" i="1"/>
  <c r="U390" i="1"/>
  <c r="AW390" i="1" s="1"/>
  <c r="U389" i="1"/>
  <c r="U388" i="1"/>
  <c r="AW388" i="1" s="1"/>
  <c r="T5" i="1"/>
  <c r="S5" i="1"/>
  <c r="U1840" i="1"/>
  <c r="U1202" i="1"/>
  <c r="AW1202" i="1" s="1"/>
  <c r="U1198" i="1"/>
  <c r="AW1198" i="1" s="1"/>
  <c r="U1184" i="1"/>
  <c r="U1868" i="1"/>
  <c r="U1865" i="1"/>
  <c r="U1862" i="1"/>
  <c r="U1859" i="1"/>
  <c r="U309" i="1"/>
  <c r="AW309" i="1" s="1"/>
  <c r="U308" i="1"/>
  <c r="AW308" i="1" s="1"/>
  <c r="U307" i="1"/>
  <c r="AW307" i="1" s="1"/>
  <c r="U306" i="1"/>
  <c r="AW306" i="1" s="1"/>
  <c r="U305" i="1"/>
  <c r="AW305" i="1" s="1"/>
  <c r="U303" i="1"/>
  <c r="AW303" i="1" s="1"/>
  <c r="U302" i="1"/>
  <c r="U301" i="1"/>
  <c r="AW301" i="1" s="1"/>
  <c r="U300" i="1"/>
  <c r="AW300" i="1" s="1"/>
  <c r="U299" i="1"/>
  <c r="AW299" i="1" s="1"/>
  <c r="U298" i="1"/>
  <c r="AW298" i="1" s="1"/>
  <c r="U297" i="1"/>
  <c r="AW297" i="1" s="1"/>
  <c r="U796" i="1"/>
  <c r="AW796" i="1" s="1"/>
  <c r="U794" i="1"/>
  <c r="AW794" i="1" s="1"/>
  <c r="U783" i="1"/>
  <c r="U782" i="1"/>
  <c r="AW782" i="1" s="1"/>
  <c r="U781" i="1"/>
  <c r="U780" i="1"/>
  <c r="U779" i="1"/>
  <c r="AW779" i="1" s="1"/>
  <c r="U778" i="1"/>
  <c r="AW778" i="1" s="1"/>
  <c r="U777" i="1"/>
  <c r="U753" i="1"/>
  <c r="AW753" i="1" s="1"/>
  <c r="U752" i="1"/>
  <c r="U751" i="1"/>
  <c r="U750" i="1"/>
  <c r="U749" i="1"/>
  <c r="AW749" i="1" s="1"/>
  <c r="U748" i="1"/>
  <c r="U747" i="1"/>
  <c r="AW747" i="1" s="1"/>
  <c r="U746" i="1"/>
  <c r="AW746" i="1" s="1"/>
  <c r="U745" i="1"/>
  <c r="U732" i="1"/>
  <c r="AW732" i="1" s="1"/>
  <c r="U731" i="1"/>
  <c r="AW731" i="1" s="1"/>
  <c r="U730" i="1"/>
  <c r="U729" i="1"/>
  <c r="AW729" i="1" s="1"/>
  <c r="U728" i="1"/>
  <c r="U727" i="1"/>
  <c r="U2086" i="1"/>
  <c r="U2085" i="1"/>
  <c r="U2084" i="1"/>
  <c r="U2083" i="1"/>
  <c r="AW2083" i="1" s="1"/>
  <c r="U2082" i="1"/>
  <c r="U2081" i="1"/>
  <c r="U2080" i="1"/>
  <c r="U2079" i="1"/>
  <c r="AW2079" i="1" s="1"/>
  <c r="U2078" i="1"/>
  <c r="U2077" i="1"/>
  <c r="U2076" i="1"/>
  <c r="AW2076" i="1" s="1"/>
  <c r="U2075" i="1"/>
  <c r="U2074" i="1"/>
  <c r="U1037" i="1"/>
  <c r="U1036" i="1"/>
  <c r="U1035" i="1"/>
  <c r="AW1035" i="1" s="1"/>
  <c r="U1034" i="1"/>
  <c r="AW1034" i="1" s="1"/>
  <c r="U1033" i="1"/>
  <c r="U2056" i="1"/>
  <c r="AW2056" i="1" s="1"/>
  <c r="U2055" i="1"/>
  <c r="U1842" i="1"/>
  <c r="U1837" i="1"/>
  <c r="AW1837" i="1" s="1"/>
  <c r="U2298" i="1"/>
  <c r="AW2298" i="1" s="1"/>
  <c r="U2292" i="1"/>
  <c r="U2286" i="1"/>
  <c r="AW2286" i="1" s="1"/>
  <c r="U2280" i="1"/>
  <c r="U2274" i="1"/>
  <c r="U2257" i="1"/>
  <c r="AW2257" i="1" s="1"/>
  <c r="U2251" i="1"/>
  <c r="AW2251" i="1" s="1"/>
  <c r="U2245" i="1"/>
  <c r="U2239" i="1"/>
  <c r="AW2239" i="1" s="1"/>
  <c r="U2233" i="1"/>
  <c r="U2227" i="1"/>
  <c r="U2221" i="1"/>
  <c r="AW2221" i="1" s="1"/>
  <c r="U1211" i="1"/>
  <c r="AW1211" i="1" s="1"/>
  <c r="U1196" i="1"/>
  <c r="U1718" i="1"/>
  <c r="AW1718" i="1" s="1"/>
  <c r="U1716" i="1"/>
  <c r="U1714" i="1"/>
  <c r="U1712" i="1"/>
  <c r="U1838" i="1"/>
  <c r="U1208" i="1"/>
  <c r="U1199" i="1"/>
  <c r="AW1199" i="1" s="1"/>
  <c r="U1193" i="1"/>
  <c r="AW1193" i="1" s="1"/>
  <c r="U1185" i="1"/>
  <c r="U2297" i="1"/>
  <c r="AW2297" i="1" s="1"/>
  <c r="U2291" i="1"/>
  <c r="AW2291" i="1" s="1"/>
  <c r="U2285" i="1"/>
  <c r="U2279" i="1"/>
  <c r="U2273" i="1"/>
  <c r="U2269" i="1"/>
  <c r="U2262" i="1"/>
  <c r="AW2262" i="1" s="1"/>
  <c r="U2256" i="1"/>
  <c r="AW2256" i="1" s="1"/>
  <c r="U2250" i="1"/>
  <c r="U2244" i="1"/>
  <c r="U2238" i="1"/>
  <c r="U2232" i="1"/>
  <c r="U2226" i="1"/>
  <c r="AW2226" i="1" s="1"/>
  <c r="U2220" i="1"/>
  <c r="U220" i="1"/>
  <c r="AW220" i="1" s="1"/>
  <c r="U219" i="1"/>
  <c r="AW219" i="1" s="1"/>
  <c r="U218" i="1"/>
  <c r="AW218" i="1" s="1"/>
  <c r="U217" i="1"/>
  <c r="AW217" i="1" s="1"/>
  <c r="U216" i="1"/>
  <c r="AW216" i="1" s="1"/>
  <c r="U442" i="1"/>
  <c r="U441" i="1"/>
  <c r="AW441" i="1" s="1"/>
  <c r="U440" i="1"/>
  <c r="AW440" i="1" s="1"/>
  <c r="U439" i="1"/>
  <c r="AW439" i="1" s="1"/>
  <c r="U438" i="1"/>
  <c r="U437" i="1"/>
  <c r="AW437" i="1" s="1"/>
  <c r="U436" i="1"/>
  <c r="AW436" i="1" s="1"/>
  <c r="U435" i="1"/>
  <c r="AW435" i="1" s="1"/>
  <c r="U434" i="1"/>
  <c r="U433" i="1"/>
  <c r="U432" i="1"/>
  <c r="AW432" i="1" s="1"/>
  <c r="U507" i="1"/>
  <c r="U1801" i="1"/>
  <c r="U1795" i="1"/>
  <c r="AW1795" i="1" s="1"/>
  <c r="U907" i="1"/>
  <c r="AW907" i="1" s="1"/>
  <c r="U906" i="1"/>
  <c r="U905" i="1"/>
  <c r="AW905" i="1" s="1"/>
  <c r="U904" i="1"/>
  <c r="AW904" i="1" s="1"/>
  <c r="U903" i="1"/>
  <c r="U902" i="1"/>
  <c r="AW902" i="1" s="1"/>
  <c r="U901" i="1"/>
  <c r="U900" i="1"/>
  <c r="U899" i="1"/>
  <c r="U898" i="1"/>
  <c r="U897" i="1"/>
  <c r="U896" i="1"/>
  <c r="AW896" i="1" s="1"/>
  <c r="U895" i="1"/>
  <c r="AW895" i="1" s="1"/>
  <c r="U894" i="1"/>
  <c r="U893" i="1"/>
  <c r="AW893" i="1" s="1"/>
  <c r="U892" i="1"/>
  <c r="AW892" i="1" s="1"/>
  <c r="U891" i="1"/>
  <c r="U890" i="1"/>
  <c r="AW890" i="1" s="1"/>
  <c r="U889" i="1"/>
  <c r="U888" i="1"/>
  <c r="U887" i="1"/>
  <c r="AW887" i="1" s="1"/>
  <c r="U886" i="1"/>
  <c r="U885" i="1"/>
  <c r="U884" i="1"/>
  <c r="AW884" i="1" s="1"/>
  <c r="U883" i="1"/>
  <c r="AW883" i="1" s="1"/>
  <c r="U882" i="1"/>
  <c r="U881" i="1"/>
  <c r="U880" i="1"/>
  <c r="AW880" i="1" s="1"/>
  <c r="U879" i="1"/>
  <c r="U878" i="1"/>
  <c r="AW878" i="1" s="1"/>
  <c r="U877" i="1"/>
  <c r="U876" i="1"/>
  <c r="U875" i="1"/>
  <c r="AW875" i="1" s="1"/>
  <c r="U874" i="1"/>
  <c r="U873" i="1"/>
  <c r="U872" i="1"/>
  <c r="AW872" i="1" s="1"/>
  <c r="U871" i="1"/>
  <c r="AW871" i="1" s="1"/>
  <c r="U2149" i="1"/>
  <c r="U2144" i="1"/>
  <c r="AW2144" i="1" s="1"/>
  <c r="U2139" i="1"/>
  <c r="AW2139" i="1" s="1"/>
  <c r="U2134" i="1"/>
  <c r="U2129" i="1"/>
  <c r="U2124" i="1"/>
  <c r="U2119" i="1"/>
  <c r="U2114" i="1"/>
  <c r="U2109" i="1"/>
  <c r="AW2109" i="1" s="1"/>
  <c r="U2104" i="1"/>
  <c r="U98" i="1"/>
  <c r="AW98" i="1" s="1"/>
  <c r="U97" i="1"/>
  <c r="U96" i="1"/>
  <c r="U95" i="1"/>
  <c r="AW95" i="1" s="1"/>
  <c r="U94" i="1"/>
  <c r="AW94" i="1" s="1"/>
  <c r="U93" i="1"/>
  <c r="U92" i="1"/>
  <c r="U91" i="1"/>
  <c r="U90" i="1"/>
  <c r="U89" i="1"/>
  <c r="U88" i="1"/>
  <c r="U87" i="1"/>
  <c r="U164" i="1"/>
  <c r="T162" i="1"/>
  <c r="S162" i="1"/>
  <c r="T161" i="1"/>
  <c r="S161" i="1"/>
  <c r="T160" i="1"/>
  <c r="S160" i="1"/>
  <c r="U1151" i="1"/>
  <c r="U1147" i="1"/>
  <c r="U1146" i="1"/>
  <c r="AW1146" i="1" s="1"/>
  <c r="U1145" i="1"/>
  <c r="AW1145" i="1" s="1"/>
  <c r="U1144" i="1"/>
  <c r="U1138" i="1"/>
  <c r="U2047" i="1"/>
  <c r="AW2047" i="1" s="1"/>
  <c r="U2046" i="1"/>
  <c r="AW2046" i="1" s="1"/>
  <c r="U2045" i="1"/>
  <c r="AW2045" i="1" s="1"/>
  <c r="U2044" i="1"/>
  <c r="AW2044" i="1" s="1"/>
  <c r="U2043" i="1"/>
  <c r="AW2043" i="1" s="1"/>
  <c r="U223" i="1"/>
  <c r="AD944" i="1"/>
  <c r="AI944" i="1" s="1"/>
  <c r="T944" i="1"/>
  <c r="S944" i="1"/>
  <c r="AD943" i="1"/>
  <c r="AI943" i="1" s="1"/>
  <c r="T943" i="1"/>
  <c r="S943" i="1"/>
  <c r="AD942" i="1"/>
  <c r="AI942" i="1" s="1"/>
  <c r="T942" i="1"/>
  <c r="S942" i="1"/>
  <c r="U2145" i="1"/>
  <c r="AW2145" i="1" s="1"/>
  <c r="U2140" i="1"/>
  <c r="AW2140" i="1" s="1"/>
  <c r="U2135" i="1"/>
  <c r="AW2135" i="1" s="1"/>
  <c r="U2130" i="1"/>
  <c r="AW2130" i="1" s="1"/>
  <c r="U2125" i="1"/>
  <c r="AW2125" i="1" s="1"/>
  <c r="U2120" i="1"/>
  <c r="AW2120" i="1" s="1"/>
  <c r="U2115" i="1"/>
  <c r="U2110" i="1"/>
  <c r="AW2110" i="1" s="1"/>
  <c r="U2105" i="1"/>
  <c r="U2100" i="1"/>
  <c r="U2147" i="1"/>
  <c r="AW2147" i="1" s="1"/>
  <c r="U2142" i="1"/>
  <c r="U2137" i="1"/>
  <c r="U2132" i="1"/>
  <c r="AW2132" i="1" s="1"/>
  <c r="U2127" i="1"/>
  <c r="U2122" i="1"/>
  <c r="U2117" i="1"/>
  <c r="AW2117" i="1" s="1"/>
  <c r="U2112" i="1"/>
  <c r="U2107" i="1"/>
  <c r="U2102" i="1"/>
  <c r="AW2102" i="1" s="1"/>
  <c r="U615" i="1"/>
  <c r="U614" i="1"/>
  <c r="U2146" i="1"/>
  <c r="U2141" i="1"/>
  <c r="U2136" i="1"/>
  <c r="U2131" i="1"/>
  <c r="AW2131" i="1" s="1"/>
  <c r="U2126" i="1"/>
  <c r="U2121" i="1"/>
  <c r="U2116" i="1"/>
  <c r="AW2116" i="1" s="1"/>
  <c r="U2111" i="1"/>
  <c r="U2106" i="1"/>
  <c r="U2101" i="1"/>
  <c r="AW2101" i="1" s="1"/>
  <c r="U1711" i="1"/>
  <c r="U660" i="1"/>
  <c r="U659" i="1"/>
  <c r="AW659" i="1" s="1"/>
  <c r="U1049" i="1"/>
  <c r="U1048" i="1"/>
  <c r="AW1048" i="1" s="1"/>
  <c r="U1047" i="1"/>
  <c r="U1046" i="1"/>
  <c r="U1045" i="1"/>
  <c r="AW1045" i="1" s="1"/>
  <c r="U60" i="1"/>
  <c r="AW60" i="1" s="1"/>
  <c r="U59" i="1"/>
  <c r="U58" i="1"/>
  <c r="U1345" i="1"/>
  <c r="AW1345" i="1" s="1"/>
  <c r="U1899" i="1"/>
  <c r="U1898" i="1"/>
  <c r="U1897" i="1"/>
  <c r="U1896" i="1"/>
  <c r="U1895" i="1"/>
  <c r="U1894" i="1"/>
  <c r="U1893" i="1"/>
  <c r="U106" i="1"/>
  <c r="AW106" i="1" s="1"/>
  <c r="U1158" i="1"/>
  <c r="U1157" i="1"/>
  <c r="U1156" i="1"/>
  <c r="AW1156" i="1" s="1"/>
  <c r="U1155" i="1"/>
  <c r="U1042" i="1"/>
  <c r="U587" i="1"/>
  <c r="AW587" i="1" s="1"/>
  <c r="U586" i="1"/>
  <c r="U585" i="1"/>
  <c r="U1149" i="1"/>
  <c r="AW1149" i="1" s="1"/>
  <c r="U1808" i="1"/>
  <c r="T99" i="1"/>
  <c r="S99" i="1"/>
  <c r="R99" i="1"/>
  <c r="Q99" i="1"/>
  <c r="U1988" i="1"/>
  <c r="U1985" i="1"/>
  <c r="S203" i="1"/>
  <c r="U203" i="1" s="1"/>
  <c r="AW203" i="1" s="1"/>
  <c r="T202" i="1"/>
  <c r="S202" i="1"/>
  <c r="T200" i="1"/>
  <c r="S200" i="1"/>
  <c r="T199" i="1"/>
  <c r="S199" i="1"/>
  <c r="T198" i="1"/>
  <c r="S198" i="1"/>
  <c r="T197" i="1"/>
  <c r="S197" i="1"/>
  <c r="T196" i="1"/>
  <c r="S196" i="1"/>
  <c r="U857" i="1"/>
  <c r="AW857" i="1" s="1"/>
  <c r="U856" i="1"/>
  <c r="AW856" i="1" s="1"/>
  <c r="U855" i="1"/>
  <c r="AW855" i="1" s="1"/>
  <c r="U854" i="1"/>
  <c r="AW854" i="1" s="1"/>
  <c r="U853" i="1"/>
  <c r="AW853" i="1" s="1"/>
  <c r="U852" i="1"/>
  <c r="AW852" i="1" s="1"/>
  <c r="U851" i="1"/>
  <c r="AW851" i="1" s="1"/>
  <c r="U850" i="1"/>
  <c r="U849" i="1"/>
  <c r="AW849" i="1" s="1"/>
  <c r="U848" i="1"/>
  <c r="AW848" i="1" s="1"/>
  <c r="U847" i="1"/>
  <c r="U846" i="1"/>
  <c r="U845" i="1"/>
  <c r="AW845" i="1" s="1"/>
  <c r="U844" i="1"/>
  <c r="AW844" i="1" s="1"/>
  <c r="U843" i="1"/>
  <c r="U842" i="1"/>
  <c r="AW842" i="1" s="1"/>
  <c r="U841" i="1"/>
  <c r="AW841" i="1" s="1"/>
  <c r="U840" i="1"/>
  <c r="U839" i="1"/>
  <c r="AW839" i="1" s="1"/>
  <c r="U838" i="1"/>
  <c r="AW838" i="1" s="1"/>
  <c r="U837" i="1"/>
  <c r="AW837" i="1" s="1"/>
  <c r="U836" i="1"/>
  <c r="AW836" i="1" s="1"/>
  <c r="U835" i="1"/>
  <c r="AW835" i="1" s="1"/>
  <c r="U834" i="1"/>
  <c r="U833" i="1"/>
  <c r="AW833" i="1" s="1"/>
  <c r="U832" i="1"/>
  <c r="U831" i="1"/>
  <c r="AW831" i="1" s="1"/>
  <c r="U830" i="1"/>
  <c r="AW830" i="1" s="1"/>
  <c r="U829" i="1"/>
  <c r="U828" i="1"/>
  <c r="U827" i="1"/>
  <c r="AW827" i="1" s="1"/>
  <c r="U826" i="1"/>
  <c r="U825" i="1"/>
  <c r="AW825" i="1" s="1"/>
  <c r="U824" i="1"/>
  <c r="AW824" i="1" s="1"/>
  <c r="U823" i="1"/>
  <c r="U822" i="1"/>
  <c r="AW822" i="1" s="1"/>
  <c r="U821" i="1"/>
  <c r="AW821" i="1" s="1"/>
  <c r="U820" i="1"/>
  <c r="AW820" i="1" s="1"/>
  <c r="U819" i="1"/>
  <c r="U818" i="1"/>
  <c r="AW818" i="1" s="1"/>
  <c r="U817" i="1"/>
  <c r="AW817" i="1" s="1"/>
  <c r="U816" i="1"/>
  <c r="AW816" i="1" s="1"/>
  <c r="U815" i="1"/>
  <c r="AW815" i="1" s="1"/>
  <c r="U814" i="1"/>
  <c r="U813" i="1"/>
  <c r="U812" i="1"/>
  <c r="AW812" i="1" s="1"/>
  <c r="U811" i="1"/>
  <c r="U810" i="1"/>
  <c r="AW810" i="1" s="1"/>
  <c r="U809" i="1"/>
  <c r="AW809" i="1" s="1"/>
  <c r="U808" i="1"/>
  <c r="U807" i="1"/>
  <c r="U806" i="1"/>
  <c r="AW806" i="1" s="1"/>
  <c r="U805" i="1"/>
  <c r="AW805" i="1" s="1"/>
  <c r="U804" i="1"/>
  <c r="AW804" i="1" s="1"/>
  <c r="U803" i="1"/>
  <c r="AW803" i="1" s="1"/>
  <c r="U802" i="1"/>
  <c r="AW802" i="1" s="1"/>
  <c r="U801" i="1"/>
  <c r="U578" i="1"/>
  <c r="AW578" i="1" s="1"/>
  <c r="U573" i="1"/>
  <c r="AW573" i="1" s="1"/>
  <c r="U568" i="1"/>
  <c r="U563" i="1"/>
  <c r="AW563" i="1" s="1"/>
  <c r="U579" i="1"/>
  <c r="U574" i="1"/>
  <c r="AW574" i="1" s="1"/>
  <c r="U569" i="1"/>
  <c r="AW569" i="1" s="1"/>
  <c r="U564" i="1"/>
  <c r="U581" i="1"/>
  <c r="AW581" i="1" s="1"/>
  <c r="U576" i="1"/>
  <c r="AW576" i="1" s="1"/>
  <c r="U571" i="1"/>
  <c r="AW571" i="1" s="1"/>
  <c r="U566" i="1"/>
  <c r="AW566" i="1" s="1"/>
  <c r="U1395" i="1"/>
  <c r="AW1395" i="1" s="1"/>
  <c r="U1394" i="1"/>
  <c r="U1393" i="1"/>
  <c r="AW1393" i="1" s="1"/>
  <c r="U1392" i="1"/>
  <c r="AW1392" i="1" s="1"/>
  <c r="U1391" i="1"/>
  <c r="AW1391" i="1" s="1"/>
  <c r="U1390" i="1"/>
  <c r="U1389" i="1"/>
  <c r="U1388" i="1"/>
  <c r="AW1388" i="1" s="1"/>
  <c r="U1387" i="1"/>
  <c r="U1386" i="1"/>
  <c r="AW1386" i="1" s="1"/>
  <c r="U1385" i="1"/>
  <c r="U1384" i="1"/>
  <c r="AW1384" i="1" s="1"/>
  <c r="U1383" i="1"/>
  <c r="AW1383" i="1" s="1"/>
  <c r="U1382" i="1"/>
  <c r="U1381" i="1"/>
  <c r="U577" i="1"/>
  <c r="AW577" i="1" s="1"/>
  <c r="U572" i="1"/>
  <c r="U567" i="1"/>
  <c r="AW567" i="1" s="1"/>
  <c r="U562" i="1"/>
  <c r="AW562" i="1" s="1"/>
  <c r="U74" i="1"/>
  <c r="U73" i="1"/>
  <c r="AW73" i="1" s="1"/>
  <c r="U72" i="1"/>
  <c r="AW72" i="1" s="1"/>
  <c r="U71" i="1"/>
  <c r="AW71" i="1" s="1"/>
  <c r="U70" i="1"/>
  <c r="U69" i="1"/>
  <c r="U68" i="1"/>
  <c r="AW68" i="1" s="1"/>
  <c r="U67" i="1"/>
  <c r="AW67" i="1" s="1"/>
  <c r="U66" i="1"/>
  <c r="U65" i="1"/>
  <c r="U64" i="1"/>
  <c r="U63" i="1"/>
  <c r="U960" i="1"/>
  <c r="U959" i="1"/>
  <c r="U958" i="1"/>
  <c r="AW958" i="1" s="1"/>
  <c r="U957" i="1"/>
  <c r="AW957" i="1" s="1"/>
  <c r="U956" i="1"/>
  <c r="AW956" i="1" s="1"/>
  <c r="U955" i="1"/>
  <c r="U954" i="1"/>
  <c r="U953" i="1"/>
  <c r="U952" i="1"/>
  <c r="AW952" i="1" s="1"/>
  <c r="U951" i="1"/>
  <c r="AW951" i="1" s="1"/>
  <c r="U950" i="1"/>
  <c r="AW950" i="1" s="1"/>
  <c r="U949" i="1"/>
  <c r="U948" i="1"/>
  <c r="AW948" i="1" s="1"/>
  <c r="U947" i="1"/>
  <c r="AW947" i="1" s="1"/>
  <c r="U1365" i="1"/>
  <c r="U1364" i="1"/>
  <c r="AW1364" i="1" s="1"/>
  <c r="U1363" i="1"/>
  <c r="U1362" i="1"/>
  <c r="U1361" i="1"/>
  <c r="AW1361" i="1" s="1"/>
  <c r="U1360" i="1"/>
  <c r="U1359" i="1"/>
  <c r="U1358" i="1"/>
  <c r="AW1358" i="1" s="1"/>
  <c r="U1357" i="1"/>
  <c r="U201" i="1"/>
  <c r="U1356" i="1"/>
  <c r="U1355" i="1"/>
  <c r="U1354" i="1"/>
  <c r="AW1354" i="1" s="1"/>
  <c r="U1353" i="1"/>
  <c r="AW1353" i="1" s="1"/>
  <c r="U1352" i="1"/>
  <c r="AW1352" i="1" s="1"/>
  <c r="U1351" i="1"/>
  <c r="T130" i="1"/>
  <c r="S130" i="1"/>
  <c r="T129" i="1"/>
  <c r="S129" i="1"/>
  <c r="T128" i="1"/>
  <c r="S128" i="1"/>
  <c r="T127" i="1"/>
  <c r="S127" i="1"/>
  <c r="T126" i="1"/>
  <c r="S126" i="1"/>
  <c r="U125" i="1"/>
  <c r="AW125" i="1" s="1"/>
  <c r="T124" i="1"/>
  <c r="S124" i="1"/>
  <c r="T123" i="1"/>
  <c r="S123" i="1"/>
  <c r="U1041" i="1"/>
  <c r="U1440" i="1"/>
  <c r="AW1440" i="1" s="1"/>
  <c r="U1439" i="1"/>
  <c r="U1438" i="1"/>
  <c r="U1437" i="1"/>
  <c r="U1436" i="1"/>
  <c r="U1435" i="1"/>
  <c r="U1434" i="1"/>
  <c r="U1433" i="1"/>
  <c r="U1432" i="1"/>
  <c r="U1431" i="1"/>
  <c r="U1430" i="1"/>
  <c r="U1429" i="1"/>
  <c r="U1428" i="1"/>
  <c r="U1427" i="1"/>
  <c r="U1426" i="1"/>
  <c r="AW1426" i="1" s="1"/>
  <c r="U1311" i="1"/>
  <c r="U1310" i="1"/>
  <c r="U1309" i="1"/>
  <c r="AW1309" i="1" s="1"/>
  <c r="U1308" i="1"/>
  <c r="U1307" i="1"/>
  <c r="U1306" i="1"/>
  <c r="AW1306" i="1" s="1"/>
  <c r="U1305" i="1"/>
  <c r="U1304" i="1"/>
  <c r="U1303" i="1"/>
  <c r="AW1303" i="1" s="1"/>
  <c r="U1302" i="1"/>
  <c r="U1301" i="1"/>
  <c r="U1300" i="1"/>
  <c r="U1299" i="1"/>
  <c r="AW1299" i="1" s="1"/>
  <c r="U1298" i="1"/>
  <c r="U1297" i="1"/>
  <c r="U1296" i="1"/>
  <c r="AW1296" i="1" s="1"/>
  <c r="U1295" i="1"/>
  <c r="U1294" i="1"/>
  <c r="U1293" i="1"/>
  <c r="U1292" i="1"/>
  <c r="U1291" i="1"/>
  <c r="U1290" i="1"/>
  <c r="AW1290" i="1" s="1"/>
  <c r="U1289" i="1"/>
  <c r="U1288" i="1"/>
  <c r="U1287" i="1"/>
  <c r="U1286" i="1"/>
  <c r="U1285" i="1"/>
  <c r="U1284" i="1"/>
  <c r="AW1284" i="1" s="1"/>
  <c r="U1283" i="1"/>
  <c r="U1282" i="1"/>
  <c r="U1281" i="1"/>
  <c r="AW1281" i="1" s="1"/>
  <c r="U1280" i="1"/>
  <c r="U1279" i="1"/>
  <c r="U1278" i="1"/>
  <c r="U1277" i="1"/>
  <c r="U1276" i="1"/>
  <c r="U1275" i="1"/>
  <c r="AW1275" i="1" s="1"/>
  <c r="U1274" i="1"/>
  <c r="U1273" i="1"/>
  <c r="U1272" i="1"/>
  <c r="U1271" i="1"/>
  <c r="U1270" i="1"/>
  <c r="U1269" i="1"/>
  <c r="U1268" i="1"/>
  <c r="U1267" i="1"/>
  <c r="U1266" i="1"/>
  <c r="AW1266" i="1" s="1"/>
  <c r="U1265" i="1"/>
  <c r="U1264" i="1"/>
  <c r="U1263" i="1"/>
  <c r="AW1263" i="1" s="1"/>
  <c r="U1262" i="1"/>
  <c r="U1261" i="1"/>
  <c r="U1260" i="1"/>
  <c r="U1259" i="1"/>
  <c r="U1258" i="1"/>
  <c r="U1257" i="1"/>
  <c r="AW1257" i="1" s="1"/>
  <c r="U1256" i="1"/>
  <c r="U1255" i="1"/>
  <c r="U1254" i="1"/>
  <c r="AW1254" i="1" s="1"/>
  <c r="U1253" i="1"/>
  <c r="U1252" i="1"/>
  <c r="U1251" i="1"/>
  <c r="U1250" i="1"/>
  <c r="U1249" i="1"/>
  <c r="U1248" i="1"/>
  <c r="AW1248" i="1" s="1"/>
  <c r="U1247" i="1"/>
  <c r="U1246" i="1"/>
  <c r="U1245" i="1"/>
  <c r="U1244" i="1"/>
  <c r="U1243" i="1"/>
  <c r="U1242" i="1"/>
  <c r="U1241" i="1"/>
  <c r="U1240" i="1"/>
  <c r="U1239" i="1"/>
  <c r="AW1239" i="1" s="1"/>
  <c r="U1238" i="1"/>
  <c r="U1237" i="1"/>
  <c r="U1236" i="1"/>
  <c r="AW1236" i="1" s="1"/>
  <c r="U1235" i="1"/>
  <c r="U1234" i="1"/>
  <c r="U1233" i="1"/>
  <c r="U1232" i="1"/>
  <c r="U1231" i="1"/>
  <c r="U1230" i="1"/>
  <c r="AW1230" i="1" s="1"/>
  <c r="U1229" i="1"/>
  <c r="U1228" i="1"/>
  <c r="U1227" i="1"/>
  <c r="AW1227" i="1" s="1"/>
  <c r="U1226" i="1"/>
  <c r="U1225" i="1"/>
  <c r="U1224" i="1"/>
  <c r="U1223" i="1"/>
  <c r="U1222" i="1"/>
  <c r="U1221" i="1"/>
  <c r="AW1221" i="1" s="1"/>
  <c r="U1220" i="1"/>
  <c r="U1219" i="1"/>
  <c r="U1218" i="1"/>
  <c r="U1217" i="1"/>
  <c r="U1216" i="1"/>
  <c r="U1215" i="1"/>
  <c r="U1214" i="1"/>
  <c r="U1213" i="1"/>
  <c r="U1212" i="1"/>
  <c r="AW1212" i="1" s="1"/>
  <c r="U326" i="1"/>
  <c r="AW326" i="1" s="1"/>
  <c r="U325" i="1"/>
  <c r="U324" i="1"/>
  <c r="AW324" i="1" s="1"/>
  <c r="U593" i="1"/>
  <c r="S693" i="1"/>
  <c r="U693" i="1" s="1"/>
  <c r="AW693" i="1" s="1"/>
  <c r="S692" i="1"/>
  <c r="U692" i="1" s="1"/>
  <c r="AW692" i="1" s="1"/>
  <c r="S691" i="1"/>
  <c r="U691" i="1" s="1"/>
  <c r="U322" i="1"/>
  <c r="AW322" i="1" s="1"/>
  <c r="U318" i="1"/>
  <c r="U320" i="1"/>
  <c r="AW320" i="1" s="1"/>
  <c r="U316" i="1"/>
  <c r="AW316" i="1" s="1"/>
  <c r="S605" i="1"/>
  <c r="U605" i="1" s="1"/>
  <c r="S602" i="1"/>
  <c r="U602" i="1" s="1"/>
  <c r="S599" i="1"/>
  <c r="U599" i="1" s="1"/>
  <c r="S596" i="1"/>
  <c r="U596" i="1" s="1"/>
  <c r="U866" i="1"/>
  <c r="AW866" i="1" s="1"/>
  <c r="U865" i="1"/>
  <c r="U864" i="1"/>
  <c r="AW864" i="1" s="1"/>
  <c r="U863" i="1"/>
  <c r="AW863" i="1" s="1"/>
  <c r="U431" i="1"/>
  <c r="U430" i="1"/>
  <c r="AW430" i="1" s="1"/>
  <c r="U429" i="1"/>
  <c r="AW429" i="1" s="1"/>
  <c r="U428" i="1"/>
  <c r="U427" i="1"/>
  <c r="AW427" i="1" s="1"/>
  <c r="U426" i="1"/>
  <c r="AW426" i="1" s="1"/>
  <c r="U425" i="1"/>
  <c r="U424" i="1"/>
  <c r="AW424" i="1" s="1"/>
  <c r="U423" i="1"/>
  <c r="AW423" i="1" s="1"/>
  <c r="U422" i="1"/>
  <c r="U421" i="1"/>
  <c r="AW421" i="1" s="1"/>
  <c r="U1038" i="1"/>
  <c r="AW1038" i="1" s="1"/>
  <c r="U1892" i="1"/>
  <c r="U1891" i="1"/>
  <c r="AW1891" i="1" s="1"/>
  <c r="U1890" i="1"/>
  <c r="AW1890" i="1" s="1"/>
  <c r="U1889" i="1"/>
  <c r="U1888" i="1"/>
  <c r="AW1888" i="1" s="1"/>
  <c r="U1887" i="1"/>
  <c r="U1886" i="1"/>
  <c r="AW1886" i="1" s="1"/>
  <c r="U708" i="1"/>
  <c r="U707" i="1"/>
  <c r="AW707" i="1" s="1"/>
  <c r="U706" i="1"/>
  <c r="AW706" i="1" s="1"/>
  <c r="U705" i="1"/>
  <c r="U704" i="1"/>
  <c r="AW704" i="1" s="1"/>
  <c r="U703" i="1"/>
  <c r="AW703" i="1" s="1"/>
  <c r="U1205" i="1"/>
  <c r="U1190" i="1"/>
  <c r="U1082" i="1"/>
  <c r="AW1082" i="1" s="1"/>
  <c r="U1081" i="1"/>
  <c r="U1080" i="1"/>
  <c r="U1079" i="1"/>
  <c r="U1078" i="1"/>
  <c r="U1077" i="1"/>
  <c r="U1076" i="1"/>
  <c r="AW1076" i="1" s="1"/>
  <c r="U1075" i="1"/>
  <c r="U1074" i="1"/>
  <c r="U1073" i="1"/>
  <c r="AW1073" i="1" s="1"/>
  <c r="U1072" i="1"/>
  <c r="U1071" i="1"/>
  <c r="U1070" i="1"/>
  <c r="AW1070" i="1" s="1"/>
  <c r="U1069" i="1"/>
  <c r="U1068" i="1"/>
  <c r="U1067" i="1"/>
  <c r="AW1067" i="1" s="1"/>
  <c r="U1066" i="1"/>
  <c r="U2296" i="1"/>
  <c r="U2290" i="1"/>
  <c r="U2284" i="1"/>
  <c r="U2278" i="1"/>
  <c r="U2272" i="1"/>
  <c r="AW2272" i="1" s="1"/>
  <c r="U2265" i="1"/>
  <c r="U2261" i="1"/>
  <c r="U2255" i="1"/>
  <c r="U2249" i="1"/>
  <c r="U2243" i="1"/>
  <c r="U2237" i="1"/>
  <c r="AW2237" i="1" s="1"/>
  <c r="U2231" i="1"/>
  <c r="U2225" i="1"/>
  <c r="U2219" i="1"/>
  <c r="AW2219" i="1" s="1"/>
  <c r="U2153" i="1"/>
  <c r="U2152" i="1"/>
  <c r="U2151" i="1"/>
  <c r="AW2151" i="1" s="1"/>
  <c r="U2150" i="1"/>
  <c r="U214" i="1"/>
  <c r="U213" i="1"/>
  <c r="AW213" i="1" s="1"/>
  <c r="U212" i="1"/>
  <c r="U211" i="1"/>
  <c r="U210" i="1"/>
  <c r="AW210" i="1" s="1"/>
  <c r="U209" i="1"/>
  <c r="U208" i="1"/>
  <c r="U207" i="1"/>
  <c r="AW207" i="1" s="1"/>
  <c r="U206" i="1"/>
  <c r="U205" i="1"/>
  <c r="U204" i="1"/>
  <c r="AW204" i="1" s="1"/>
  <c r="U1210" i="1"/>
  <c r="U1201" i="1"/>
  <c r="U1195" i="1"/>
  <c r="AW1195" i="1" s="1"/>
  <c r="U1187" i="1"/>
  <c r="U1496" i="1"/>
  <c r="U1495" i="1"/>
  <c r="AW1495" i="1" s="1"/>
  <c r="U1494" i="1"/>
  <c r="U1493" i="1"/>
  <c r="U1492" i="1"/>
  <c r="U1491" i="1"/>
  <c r="U1490" i="1"/>
  <c r="U1489" i="1"/>
  <c r="U1488" i="1"/>
  <c r="U1487" i="1"/>
  <c r="U1486" i="1"/>
  <c r="U1485" i="1"/>
  <c r="U1484" i="1"/>
  <c r="U1483" i="1"/>
  <c r="AW1483" i="1" s="1"/>
  <c r="U1482" i="1"/>
  <c r="U1481" i="1"/>
  <c r="AW1481" i="1" s="1"/>
  <c r="U1480" i="1"/>
  <c r="AW1480" i="1" s="1"/>
  <c r="U1479" i="1"/>
  <c r="U1478" i="1"/>
  <c r="AW1478" i="1" s="1"/>
  <c r="U1477" i="1"/>
  <c r="AW1477" i="1" s="1"/>
  <c r="U1476" i="1"/>
  <c r="U1475" i="1"/>
  <c r="AW1475" i="1" s="1"/>
  <c r="U1474" i="1"/>
  <c r="AW1474" i="1" s="1"/>
  <c r="U1473" i="1"/>
  <c r="U1472" i="1"/>
  <c r="AW1472" i="1" s="1"/>
  <c r="U1471" i="1"/>
  <c r="AW1471" i="1" s="1"/>
  <c r="U1470" i="1"/>
  <c r="U1469" i="1"/>
  <c r="AW1469" i="1" s="1"/>
  <c r="U1468" i="1"/>
  <c r="AW1468" i="1" s="1"/>
  <c r="U1467" i="1"/>
  <c r="U1466" i="1"/>
  <c r="AW1466" i="1" s="1"/>
  <c r="U1465" i="1"/>
  <c r="AW1465" i="1" s="1"/>
  <c r="U1464" i="1"/>
  <c r="U1463" i="1"/>
  <c r="AW1463" i="1" s="1"/>
  <c r="U1462" i="1"/>
  <c r="AW1462" i="1" s="1"/>
  <c r="U1461" i="1"/>
  <c r="U1460" i="1"/>
  <c r="AW1460" i="1" s="1"/>
  <c r="U1459" i="1"/>
  <c r="AW1459" i="1" s="1"/>
  <c r="U1458" i="1"/>
  <c r="U1457" i="1"/>
  <c r="AW1457" i="1" s="1"/>
  <c r="U1456" i="1"/>
  <c r="AW1456" i="1" s="1"/>
  <c r="U1019" i="1"/>
  <c r="U1018" i="1"/>
  <c r="AW1018" i="1" s="1"/>
  <c r="U1017" i="1"/>
  <c r="AW1017" i="1" s="1"/>
  <c r="U1016" i="1"/>
  <c r="U1015" i="1"/>
  <c r="AW1015" i="1" s="1"/>
  <c r="U1014" i="1"/>
  <c r="AW1014" i="1" s="1"/>
  <c r="U1013" i="1"/>
  <c r="U1012" i="1"/>
  <c r="AW1012" i="1" s="1"/>
  <c r="U1011" i="1"/>
  <c r="AW1011" i="1" s="1"/>
  <c r="U1010" i="1"/>
  <c r="U1807" i="1"/>
  <c r="AW1807" i="1" s="1"/>
  <c r="J1807" i="1"/>
  <c r="U1828" i="1"/>
  <c r="U1827" i="1"/>
  <c r="U1826" i="1"/>
  <c r="AW1826" i="1" s="1"/>
  <c r="U1825" i="1"/>
  <c r="U1824" i="1"/>
  <c r="U1823" i="1"/>
  <c r="U1822" i="1"/>
  <c r="U1821" i="1"/>
  <c r="U1846" i="1"/>
  <c r="AW1846" i="1" s="1"/>
  <c r="U1181" i="1"/>
  <c r="U1180" i="1"/>
  <c r="U1179" i="1"/>
  <c r="AW1179" i="1" s="1"/>
  <c r="U1178" i="1"/>
  <c r="U1177" i="1"/>
  <c r="U2017" i="1"/>
  <c r="U2016" i="1"/>
  <c r="U620" i="1"/>
  <c r="U619" i="1"/>
  <c r="AW619" i="1" s="1"/>
  <c r="U618" i="1"/>
  <c r="U617" i="1"/>
  <c r="AW617" i="1" s="1"/>
  <c r="U616" i="1"/>
  <c r="U1165" i="1"/>
  <c r="U1164" i="1"/>
  <c r="AW1164" i="1" s="1"/>
  <c r="U1163" i="1"/>
  <c r="AW1163" i="1" s="1"/>
  <c r="U1856" i="1"/>
  <c r="U1855" i="1"/>
  <c r="AW1855" i="1" s="1"/>
  <c r="U1854" i="1"/>
  <c r="AW1854" i="1" s="1"/>
  <c r="U1853" i="1"/>
  <c r="U968" i="1"/>
  <c r="U967" i="1"/>
  <c r="AW967" i="1" s="1"/>
  <c r="U966" i="1"/>
  <c r="U965" i="1"/>
  <c r="AW965" i="1" s="1"/>
  <c r="U964" i="1"/>
  <c r="U963" i="1"/>
  <c r="U962" i="1"/>
  <c r="AW962" i="1" s="1"/>
  <c r="V961" i="1"/>
  <c r="U1832" i="1"/>
  <c r="U1831" i="1"/>
  <c r="AW1831" i="1" s="1"/>
  <c r="U1830" i="1"/>
  <c r="U1829" i="1"/>
  <c r="T138" i="1"/>
  <c r="S138" i="1"/>
  <c r="T137" i="1"/>
  <c r="S137" i="1"/>
  <c r="T136" i="1"/>
  <c r="S136" i="1"/>
  <c r="T135" i="1"/>
  <c r="S135" i="1"/>
  <c r="T134" i="1"/>
  <c r="S134" i="1"/>
  <c r="T133" i="1"/>
  <c r="S133" i="1"/>
  <c r="T132" i="1"/>
  <c r="S132" i="1"/>
  <c r="T131" i="1"/>
  <c r="S131" i="1"/>
  <c r="U1871" i="1"/>
  <c r="U1870" i="1"/>
  <c r="U1869" i="1"/>
  <c r="U315" i="1"/>
  <c r="U314" i="1"/>
  <c r="AW314" i="1" s="1"/>
  <c r="U313" i="1"/>
  <c r="U312" i="1"/>
  <c r="U311" i="1"/>
  <c r="U310" i="1"/>
  <c r="U799" i="1"/>
  <c r="U797" i="1"/>
  <c r="AW797" i="1" s="1"/>
  <c r="U789" i="1"/>
  <c r="U788" i="1"/>
  <c r="U787" i="1"/>
  <c r="AW787" i="1" s="1"/>
  <c r="U786" i="1"/>
  <c r="U785" i="1"/>
  <c r="U784" i="1"/>
  <c r="U761" i="1"/>
  <c r="U760" i="1"/>
  <c r="U759" i="1"/>
  <c r="U758" i="1"/>
  <c r="U757" i="1"/>
  <c r="U756" i="1"/>
  <c r="AW756" i="1" s="1"/>
  <c r="U754" i="1"/>
  <c r="AW754" i="1" s="1"/>
  <c r="U726" i="1"/>
  <c r="U725" i="1"/>
  <c r="U724" i="1"/>
  <c r="U723" i="1"/>
  <c r="U722" i="1"/>
  <c r="U721" i="1"/>
  <c r="U1340" i="1"/>
  <c r="AW1340" i="1" s="1"/>
  <c r="U1339" i="1"/>
  <c r="AW1339" i="1" s="1"/>
  <c r="U1338" i="1"/>
  <c r="AW1338" i="1" s="1"/>
  <c r="U1337" i="1"/>
  <c r="AW1337" i="1" s="1"/>
  <c r="U1336" i="1"/>
  <c r="AW1336" i="1" s="1"/>
  <c r="U1335" i="1"/>
  <c r="AW1335" i="1" s="1"/>
  <c r="U1334" i="1"/>
  <c r="AW1334" i="1" s="1"/>
  <c r="U1333" i="1"/>
  <c r="AW1333" i="1" s="1"/>
  <c r="U1332" i="1"/>
  <c r="AW1332" i="1" s="1"/>
  <c r="U1331" i="1"/>
  <c r="AW1331" i="1" s="1"/>
  <c r="U1330" i="1"/>
  <c r="U1323" i="1"/>
  <c r="U1320" i="1"/>
  <c r="U1317" i="1"/>
  <c r="U1314" i="1"/>
  <c r="U1851" i="1"/>
  <c r="U1848" i="1"/>
  <c r="U1328" i="1"/>
  <c r="U1326" i="1"/>
  <c r="U1324" i="1"/>
  <c r="U1321" i="1"/>
  <c r="U1318" i="1"/>
  <c r="U1315" i="1"/>
  <c r="U1312" i="1"/>
  <c r="U1847" i="1"/>
  <c r="U1849" i="1"/>
  <c r="U1942" i="1"/>
  <c r="U1941" i="1"/>
  <c r="U1940" i="1"/>
  <c r="U1939" i="1"/>
  <c r="U933" i="1"/>
  <c r="U930" i="1"/>
  <c r="U927" i="1"/>
  <c r="U931" i="1"/>
  <c r="U928" i="1"/>
  <c r="U925" i="1"/>
  <c r="U561" i="1"/>
  <c r="U558" i="1"/>
  <c r="U557" i="1"/>
  <c r="U556" i="1"/>
  <c r="U549" i="1"/>
  <c r="U548" i="1"/>
  <c r="U547" i="1"/>
  <c r="U546" i="1"/>
  <c r="U545" i="1"/>
  <c r="U544" i="1"/>
  <c r="U543" i="1"/>
  <c r="U542" i="1"/>
  <c r="U541" i="1"/>
  <c r="U525" i="1"/>
  <c r="U524" i="1"/>
  <c r="U523" i="1"/>
  <c r="U522" i="1"/>
  <c r="U521" i="1"/>
  <c r="U520" i="1"/>
  <c r="U2038" i="1"/>
  <c r="U2037" i="1"/>
  <c r="U2034" i="1"/>
  <c r="U86" i="1"/>
  <c r="AW86" i="1" s="1"/>
  <c r="U85" i="1"/>
  <c r="AW85" i="1" s="1"/>
  <c r="U84" i="1"/>
  <c r="AW84" i="1" s="1"/>
  <c r="U83" i="1"/>
  <c r="U82" i="1"/>
  <c r="AW82" i="1" s="1"/>
  <c r="U81" i="1"/>
  <c r="U80" i="1"/>
  <c r="AW80" i="1" s="1"/>
  <c r="U79" i="1"/>
  <c r="U78" i="1"/>
  <c r="AW78" i="1" s="1"/>
  <c r="U77" i="1"/>
  <c r="AW77" i="1" s="1"/>
  <c r="U76" i="1"/>
  <c r="U75" i="1"/>
  <c r="U2148" i="1"/>
  <c r="AW2148" i="1" s="1"/>
  <c r="U2143" i="1"/>
  <c r="U2138" i="1"/>
  <c r="U2133" i="1"/>
  <c r="U2128" i="1"/>
  <c r="U2123" i="1"/>
  <c r="U2118" i="1"/>
  <c r="AW2118" i="1" s="1"/>
  <c r="U2113" i="1"/>
  <c r="U2108" i="1"/>
  <c r="U2103" i="1"/>
  <c r="AW2103" i="1" s="1"/>
  <c r="V101" i="1"/>
  <c r="U1343" i="1"/>
  <c r="AW1343" i="1" s="1"/>
  <c r="T146" i="1"/>
  <c r="S146" i="1"/>
  <c r="T145" i="1"/>
  <c r="S145" i="1"/>
  <c r="T144" i="1"/>
  <c r="S144" i="1"/>
  <c r="T143" i="1"/>
  <c r="S143" i="1"/>
  <c r="T142" i="1"/>
  <c r="S142" i="1"/>
  <c r="T141" i="1"/>
  <c r="S141" i="1"/>
  <c r="T140" i="1"/>
  <c r="S140" i="1"/>
  <c r="T139" i="1"/>
  <c r="S139" i="1"/>
  <c r="U1031" i="1"/>
  <c r="U1350" i="1"/>
  <c r="AW1350" i="1" s="1"/>
  <c r="U1349" i="1"/>
  <c r="U1348" i="1"/>
  <c r="U342" i="1"/>
  <c r="AW342" i="1" s="1"/>
  <c r="U341" i="1"/>
  <c r="U340" i="1"/>
  <c r="U339" i="1"/>
  <c r="AW339" i="1" s="1"/>
  <c r="U338" i="1"/>
  <c r="U337" i="1"/>
  <c r="U336" i="1"/>
  <c r="AW336" i="1" s="1"/>
  <c r="U335" i="1"/>
  <c r="U334" i="1"/>
  <c r="U333" i="1"/>
  <c r="AW333" i="1" s="1"/>
  <c r="U332" i="1"/>
  <c r="U331" i="1"/>
  <c r="U330" i="1"/>
  <c r="AW330" i="1" s="1"/>
  <c r="U329" i="1"/>
  <c r="U328" i="1"/>
  <c r="U327" i="1"/>
  <c r="AW327" i="1" s="1"/>
  <c r="U2052" i="1"/>
  <c r="U2050" i="1"/>
  <c r="U2048" i="1"/>
  <c r="AW2048" i="1" s="1"/>
  <c r="U114" i="1"/>
  <c r="U113" i="1"/>
  <c r="U112" i="1"/>
  <c r="AW112" i="1" s="1"/>
  <c r="U111" i="1"/>
  <c r="U110" i="1"/>
  <c r="U109" i="1"/>
  <c r="AW109" i="1" s="1"/>
  <c r="U108" i="1"/>
  <c r="U107" i="1"/>
  <c r="U687" i="1"/>
  <c r="AW687" i="1" s="1"/>
  <c r="U686" i="1"/>
  <c r="U685" i="1"/>
  <c r="U684" i="1"/>
  <c r="AW684" i="1" s="1"/>
  <c r="U1710" i="1"/>
  <c r="U1709" i="1"/>
  <c r="U1708" i="1"/>
  <c r="AW1708" i="1" s="1"/>
  <c r="U1707" i="1"/>
  <c r="U1706" i="1"/>
  <c r="U1705" i="1"/>
  <c r="U1172" i="1"/>
  <c r="U1171" i="1"/>
  <c r="U1170" i="1"/>
  <c r="U1169" i="1"/>
  <c r="U1704" i="1"/>
  <c r="U1703" i="1"/>
  <c r="U1820" i="1"/>
  <c r="U1819" i="1"/>
  <c r="U1818" i="1"/>
  <c r="U1542" i="1"/>
  <c r="U1541" i="1"/>
  <c r="U1540" i="1"/>
  <c r="U1539" i="1"/>
  <c r="U1538" i="1"/>
  <c r="U1537" i="1"/>
  <c r="U1536" i="1"/>
  <c r="U1535" i="1"/>
  <c r="U1154" i="1"/>
  <c r="U1153" i="1"/>
  <c r="U1152" i="1"/>
  <c r="U420" i="1"/>
  <c r="AW420" i="1" s="1"/>
  <c r="U419" i="1"/>
  <c r="U418" i="1"/>
  <c r="U417" i="1"/>
  <c r="AW417" i="1" s="1"/>
  <c r="U416" i="1"/>
  <c r="U415" i="1"/>
  <c r="U414" i="1"/>
  <c r="AW414" i="1" s="1"/>
  <c r="U413" i="1"/>
  <c r="U412" i="1"/>
  <c r="U411" i="1"/>
  <c r="AW411" i="1" s="1"/>
  <c r="U410" i="1"/>
  <c r="T22" i="1"/>
  <c r="S22" i="1"/>
  <c r="U21" i="1"/>
  <c r="AW21" i="1" s="1"/>
  <c r="U20" i="1"/>
  <c r="AW20" i="1" s="1"/>
  <c r="U19" i="1"/>
  <c r="AW19" i="1" s="1"/>
  <c r="U18" i="1"/>
  <c r="AW18" i="1" s="1"/>
  <c r="U17" i="1"/>
  <c r="AW17" i="1" s="1"/>
  <c r="U16" i="1"/>
  <c r="AW16" i="1" s="1"/>
  <c r="U15" i="1"/>
  <c r="AW15" i="1" s="1"/>
  <c r="U14" i="1"/>
  <c r="AW14" i="1" s="1"/>
  <c r="U13" i="1"/>
  <c r="AW13" i="1" s="1"/>
  <c r="U1806" i="1"/>
  <c r="AW1806" i="1" s="1"/>
  <c r="U1800" i="1"/>
  <c r="AW1800" i="1" s="1"/>
  <c r="U1794" i="1"/>
  <c r="U1207" i="1"/>
  <c r="AW1207" i="1" s="1"/>
  <c r="U1192" i="1"/>
  <c r="U1027" i="1"/>
  <c r="U1952" i="1"/>
  <c r="AW1952" i="1" s="1"/>
  <c r="U1951" i="1"/>
  <c r="AW1951" i="1" s="1"/>
  <c r="U1948" i="1"/>
  <c r="U1947" i="1"/>
  <c r="AW1947" i="1" s="1"/>
  <c r="U1946" i="1"/>
  <c r="AW1946" i="1" s="1"/>
  <c r="T34" i="1"/>
  <c r="S34" i="1"/>
  <c r="T33" i="1"/>
  <c r="S33" i="1"/>
  <c r="T32" i="1"/>
  <c r="S32" i="1"/>
  <c r="U31" i="1"/>
  <c r="U30" i="1"/>
  <c r="T29" i="1"/>
  <c r="U29" i="1" s="1"/>
  <c r="AW29" i="1" s="1"/>
  <c r="U290" i="1"/>
  <c r="U289" i="1"/>
  <c r="U288" i="1"/>
  <c r="AW288" i="1" s="1"/>
  <c r="U287" i="1"/>
  <c r="AW287" i="1" s="1"/>
  <c r="U286" i="1"/>
  <c r="U285" i="1"/>
  <c r="U284" i="1"/>
  <c r="U283" i="1"/>
  <c r="AW283" i="1" s="1"/>
  <c r="U282" i="1"/>
  <c r="U281" i="1"/>
  <c r="AW281" i="1" s="1"/>
  <c r="U280" i="1"/>
  <c r="AW280" i="1" s="1"/>
  <c r="U279" i="1"/>
  <c r="U278" i="1"/>
  <c r="U277" i="1"/>
  <c r="U276" i="1"/>
  <c r="V275" i="1"/>
  <c r="U274" i="1"/>
  <c r="AW274" i="1" s="1"/>
  <c r="U273" i="1"/>
  <c r="U272" i="1"/>
  <c r="AW272" i="1" s="1"/>
  <c r="U795" i="1"/>
  <c r="U793" i="1"/>
  <c r="U776" i="1"/>
  <c r="AW776" i="1" s="1"/>
  <c r="U775" i="1"/>
  <c r="U774" i="1"/>
  <c r="AW774" i="1" s="1"/>
  <c r="U773" i="1"/>
  <c r="U772" i="1"/>
  <c r="U771" i="1"/>
  <c r="AW771" i="1" s="1"/>
  <c r="U770" i="1"/>
  <c r="AW770" i="1" s="1"/>
  <c r="U769" i="1"/>
  <c r="U768" i="1"/>
  <c r="AW768" i="1" s="1"/>
  <c r="U744" i="1"/>
  <c r="AW744" i="1" s="1"/>
  <c r="U743" i="1"/>
  <c r="U742" i="1"/>
  <c r="AW742" i="1" s="1"/>
  <c r="U741" i="1"/>
  <c r="U740" i="1"/>
  <c r="U739" i="1"/>
  <c r="U738" i="1"/>
  <c r="AW738" i="1" s="1"/>
  <c r="U737" i="1"/>
  <c r="U736" i="1"/>
  <c r="AW736" i="1" s="1"/>
  <c r="U735" i="1"/>
  <c r="AW735" i="1" s="1"/>
  <c r="U734" i="1"/>
  <c r="T733" i="1"/>
  <c r="S733" i="1"/>
  <c r="R733" i="1"/>
  <c r="Q733" i="1"/>
  <c r="U720" i="1"/>
  <c r="U719" i="1"/>
  <c r="AW719" i="1" s="1"/>
  <c r="U718" i="1"/>
  <c r="AW718" i="1" s="1"/>
  <c r="U717" i="1"/>
  <c r="U716" i="1"/>
  <c r="AW716" i="1" s="1"/>
  <c r="U715" i="1"/>
  <c r="U1784" i="1"/>
  <c r="U1783" i="1"/>
  <c r="AW1783" i="1" s="1"/>
  <c r="U1782" i="1"/>
  <c r="AW1782" i="1" s="1"/>
  <c r="U1781" i="1"/>
  <c r="U1780" i="1"/>
  <c r="AW1780" i="1" s="1"/>
  <c r="U1773" i="1"/>
  <c r="U1770" i="1"/>
  <c r="U590" i="1"/>
  <c r="AW590" i="1" s="1"/>
  <c r="U589" i="1"/>
  <c r="AW589" i="1" s="1"/>
  <c r="U588" i="1"/>
  <c r="U1621" i="1"/>
  <c r="AW1621" i="1" s="1"/>
  <c r="U1620" i="1"/>
  <c r="AW1620" i="1" s="1"/>
  <c r="U1619" i="1"/>
  <c r="U1618" i="1"/>
  <c r="U1617" i="1"/>
  <c r="U1616" i="1"/>
  <c r="U1615" i="1"/>
  <c r="U1950" i="1"/>
  <c r="AW1950" i="1" s="1"/>
  <c r="U1949" i="1"/>
  <c r="U1945" i="1"/>
  <c r="U1944" i="1"/>
  <c r="AW1944" i="1" s="1"/>
  <c r="U1943" i="1"/>
  <c r="AD946" i="1"/>
  <c r="AI946" i="1" s="1"/>
  <c r="U946" i="1"/>
  <c r="U2300" i="1"/>
  <c r="AW2300" i="1" s="1"/>
  <c r="U1649" i="1"/>
  <c r="AW1649" i="1" s="1"/>
  <c r="U1648" i="1"/>
  <c r="AW1648" i="1" s="1"/>
  <c r="U1647" i="1"/>
  <c r="U1646" i="1"/>
  <c r="U1645" i="1"/>
  <c r="U1644" i="1"/>
  <c r="AW1644" i="1" s="1"/>
  <c r="U1643" i="1"/>
  <c r="AW1643" i="1" s="1"/>
  <c r="U1642" i="1"/>
  <c r="AW1642" i="1" s="1"/>
  <c r="U1641" i="1"/>
  <c r="AW1641" i="1" s="1"/>
  <c r="U1640" i="1"/>
  <c r="U1639" i="1"/>
  <c r="AW1639" i="1" s="1"/>
  <c r="U1638" i="1"/>
  <c r="U1555" i="1"/>
  <c r="AW1555" i="1" s="1"/>
  <c r="U1554" i="1"/>
  <c r="U1553" i="1"/>
  <c r="AW1553" i="1" s="1"/>
  <c r="U1552" i="1"/>
  <c r="AW1552" i="1" s="1"/>
  <c r="U1551" i="1"/>
  <c r="U1550" i="1"/>
  <c r="U1549" i="1"/>
  <c r="AW1549" i="1" s="1"/>
  <c r="U1548" i="1"/>
  <c r="AW1548" i="1" s="1"/>
  <c r="U222" i="1"/>
  <c r="U369" i="1"/>
  <c r="AW369" i="1" s="1"/>
  <c r="U368" i="1"/>
  <c r="AW368" i="1" s="1"/>
  <c r="U367" i="1"/>
  <c r="V3" i="1"/>
  <c r="V2" i="1"/>
  <c r="U1044" i="1"/>
  <c r="U1043" i="1"/>
  <c r="U1162" i="1"/>
  <c r="AW1162" i="1" s="1"/>
  <c r="U1161" i="1"/>
  <c r="U1160" i="1"/>
  <c r="U1159" i="1"/>
  <c r="AW1159" i="1" s="1"/>
  <c r="U1989" i="1"/>
  <c r="U1986" i="1"/>
  <c r="AW1986" i="1" s="1"/>
  <c r="U1839" i="1"/>
  <c r="U1209" i="1"/>
  <c r="AW1209" i="1" s="1"/>
  <c r="U1197" i="1"/>
  <c r="U1194" i="1"/>
  <c r="U1183" i="1"/>
  <c r="S603" i="1"/>
  <c r="U603" i="1" s="1"/>
  <c r="S600" i="1"/>
  <c r="U600" i="1" s="1"/>
  <c r="S597" i="1"/>
  <c r="U597" i="1" s="1"/>
  <c r="AW597" i="1" s="1"/>
  <c r="S594" i="1"/>
  <c r="U594" i="1" s="1"/>
  <c r="U57" i="1"/>
  <c r="U53" i="1"/>
  <c r="U49" i="1"/>
  <c r="AW49" i="1" s="1"/>
  <c r="U45" i="1"/>
  <c r="AW45" i="1" s="1"/>
  <c r="U41" i="1"/>
  <c r="U56" i="1"/>
  <c r="AW56" i="1" s="1"/>
  <c r="U52" i="1"/>
  <c r="AW52" i="1" s="1"/>
  <c r="U48" i="1"/>
  <c r="U44" i="1"/>
  <c r="U40" i="1"/>
  <c r="U55" i="1"/>
  <c r="AW55" i="1" s="1"/>
  <c r="U51" i="1"/>
  <c r="AW51" i="1" s="1"/>
  <c r="U47" i="1"/>
  <c r="AW47" i="1" s="1"/>
  <c r="U43" i="1"/>
  <c r="U39" i="1"/>
  <c r="AW39" i="1" s="1"/>
  <c r="U54" i="1"/>
  <c r="AW54" i="1" s="1"/>
  <c r="U50" i="1"/>
  <c r="AW50" i="1" s="1"/>
  <c r="U46" i="1"/>
  <c r="AW46" i="1" s="1"/>
  <c r="U42" i="1"/>
  <c r="AW42" i="1" s="1"/>
  <c r="U38" i="1"/>
  <c r="AW38" i="1" s="1"/>
  <c r="U1850" i="1"/>
  <c r="U221" i="1"/>
  <c r="AW221" i="1" s="1"/>
  <c r="U1633" i="1"/>
  <c r="AW1633" i="1" s="1"/>
  <c r="U1632" i="1"/>
  <c r="AW1632" i="1" s="1"/>
  <c r="U1631" i="1"/>
  <c r="AW1631" i="1" s="1"/>
  <c r="U1630" i="1"/>
  <c r="AW1630" i="1" s="1"/>
  <c r="U1629" i="1"/>
  <c r="AW1629" i="1" s="1"/>
  <c r="U1628" i="1"/>
  <c r="AW1628" i="1" s="1"/>
  <c r="U1627" i="1"/>
  <c r="AW1627" i="1" s="1"/>
  <c r="U1626" i="1"/>
  <c r="AW1626" i="1" s="1"/>
  <c r="U1625" i="1"/>
  <c r="U1624" i="1"/>
  <c r="AW1624" i="1" s="1"/>
  <c r="U1623" i="1"/>
  <c r="AW1623" i="1" s="1"/>
  <c r="U1622" i="1"/>
  <c r="U656" i="1"/>
  <c r="U655" i="1"/>
  <c r="AW655" i="1" s="1"/>
  <c r="U1866" i="1"/>
  <c r="U1863" i="1"/>
  <c r="AW1863" i="1" s="1"/>
  <c r="U1860" i="1"/>
  <c r="U1857" i="1"/>
  <c r="AW1857" i="1" s="1"/>
  <c r="U321" i="1"/>
  <c r="AW321" i="1" s="1"/>
  <c r="J321" i="1"/>
  <c r="U317" i="1"/>
  <c r="AW317" i="1" s="1"/>
  <c r="J317" i="1"/>
  <c r="S870" i="1"/>
  <c r="U870" i="1" s="1"/>
  <c r="AW870" i="1" s="1"/>
  <c r="S869" i="1"/>
  <c r="U869" i="1" s="1"/>
  <c r="U654" i="1"/>
  <c r="U653" i="1"/>
  <c r="U652" i="1"/>
  <c r="U651" i="1"/>
  <c r="AW651" i="1" s="1"/>
  <c r="U650" i="1"/>
  <c r="U649" i="1"/>
  <c r="U648" i="1"/>
  <c r="AW648" i="1" s="1"/>
  <c r="U647" i="1"/>
  <c r="U646" i="1"/>
  <c r="U645" i="1"/>
  <c r="AW645" i="1" s="1"/>
  <c r="U644" i="1"/>
  <c r="U643" i="1"/>
  <c r="U642" i="1"/>
  <c r="AW642" i="1" s="1"/>
  <c r="U641" i="1"/>
  <c r="U62" i="1"/>
  <c r="U61" i="1"/>
  <c r="AW61" i="1" s="1"/>
  <c r="U1735" i="1"/>
  <c r="U1734" i="1"/>
  <c r="U1733" i="1"/>
  <c r="AW1733" i="1" s="1"/>
  <c r="U1732" i="1"/>
  <c r="U1731" i="1"/>
  <c r="U1730" i="1"/>
  <c r="AW1730" i="1" s="1"/>
  <c r="U1729" i="1"/>
  <c r="S604" i="1"/>
  <c r="U604" i="1" s="1"/>
  <c r="S601" i="1"/>
  <c r="U601" i="1" s="1"/>
  <c r="AW601" i="1" s="1"/>
  <c r="S598" i="1"/>
  <c r="U598" i="1" s="1"/>
  <c r="AW598" i="1" s="1"/>
  <c r="S595" i="1"/>
  <c r="U595" i="1" s="1"/>
  <c r="U1637" i="1"/>
  <c r="AW1637" i="1" s="1"/>
  <c r="U1636" i="1"/>
  <c r="U1635" i="1"/>
  <c r="U1634" i="1"/>
  <c r="U1120" i="1"/>
  <c r="U1119" i="1"/>
  <c r="AW1119" i="1" s="1"/>
  <c r="U1118" i="1"/>
  <c r="AW1118" i="1" s="1"/>
  <c r="U1117" i="1"/>
  <c r="U1116" i="1"/>
  <c r="U1115" i="1"/>
  <c r="AW1115" i="1" s="1"/>
  <c r="U1114" i="1"/>
  <c r="U1113" i="1"/>
  <c r="AW1113" i="1" s="1"/>
  <c r="U1112" i="1"/>
  <c r="U1111" i="1"/>
  <c r="U1110" i="1"/>
  <c r="U1109" i="1"/>
  <c r="AW1109" i="1" s="1"/>
  <c r="U1108" i="1"/>
  <c r="U1107" i="1"/>
  <c r="AW1107" i="1" s="1"/>
  <c r="U1106" i="1"/>
  <c r="AW1106" i="1" s="1"/>
  <c r="U1105" i="1"/>
  <c r="U1104" i="1"/>
  <c r="AW1104" i="1" s="1"/>
  <c r="U1103" i="1"/>
  <c r="AW1103" i="1" s="1"/>
  <c r="U1102" i="1"/>
  <c r="U1101" i="1"/>
  <c r="AW1101" i="1" s="1"/>
  <c r="U1100" i="1"/>
  <c r="AW1100" i="1" s="1"/>
  <c r="U1099" i="1"/>
  <c r="U1098" i="1"/>
  <c r="U1097" i="1"/>
  <c r="AW1097" i="1" s="1"/>
  <c r="U1096" i="1"/>
  <c r="U1095" i="1"/>
  <c r="AW1095" i="1" s="1"/>
  <c r="U1094" i="1"/>
  <c r="AW1094" i="1" s="1"/>
  <c r="U1093" i="1"/>
  <c r="U1092" i="1"/>
  <c r="AW1092" i="1" s="1"/>
  <c r="U1091" i="1"/>
  <c r="AW1091" i="1" s="1"/>
  <c r="U1090" i="1"/>
  <c r="U1089" i="1"/>
  <c r="AW1089" i="1" s="1"/>
  <c r="U1088" i="1"/>
  <c r="AW1088" i="1" s="1"/>
  <c r="U1087" i="1"/>
  <c r="U1789" i="1"/>
  <c r="U1788" i="1"/>
  <c r="AW1788" i="1" s="1"/>
  <c r="U1787" i="1"/>
  <c r="U1786" i="1"/>
  <c r="AW1786" i="1" s="1"/>
  <c r="U1785" i="1"/>
  <c r="AW1785" i="1" s="1"/>
  <c r="U1774" i="1"/>
  <c r="U1771" i="1"/>
  <c r="U1517" i="1"/>
  <c r="AW1517" i="1" s="1"/>
  <c r="U1516" i="1"/>
  <c r="U1515" i="1"/>
  <c r="AW1515" i="1" s="1"/>
  <c r="U1514" i="1"/>
  <c r="AW1514" i="1" s="1"/>
  <c r="U1513" i="1"/>
  <c r="U1512" i="1"/>
  <c r="U1511" i="1"/>
  <c r="AW1511" i="1" s="1"/>
  <c r="U1510" i="1"/>
  <c r="U1509" i="1"/>
  <c r="AW1509" i="1" s="1"/>
  <c r="U1508" i="1"/>
  <c r="AW1508" i="1" s="1"/>
  <c r="U1507" i="1"/>
  <c r="U1506" i="1"/>
  <c r="U1505" i="1"/>
  <c r="AW1505" i="1" s="1"/>
  <c r="U1504" i="1"/>
  <c r="U1503" i="1"/>
  <c r="AW1503" i="1" s="1"/>
  <c r="U1502" i="1"/>
  <c r="AW1502" i="1" s="1"/>
  <c r="U1501" i="1"/>
  <c r="U1500" i="1"/>
  <c r="U1918" i="1"/>
  <c r="AW1918" i="1" s="1"/>
  <c r="U1917" i="1"/>
  <c r="U1916" i="1"/>
  <c r="U1779" i="1"/>
  <c r="AW1779" i="1" s="1"/>
  <c r="U1778" i="1"/>
  <c r="U1777" i="1"/>
  <c r="U1776" i="1"/>
  <c r="U1775" i="1"/>
  <c r="U1772" i="1"/>
  <c r="AW1772" i="1" s="1"/>
  <c r="U1769" i="1"/>
  <c r="AW1769" i="1" s="1"/>
  <c r="U1719" i="1"/>
  <c r="U1717" i="1"/>
  <c r="U1715" i="1"/>
  <c r="AW1715" i="1" s="1"/>
  <c r="U1713" i="1"/>
  <c r="U2053" i="1"/>
  <c r="U2051" i="1"/>
  <c r="AW2051" i="1" s="1"/>
  <c r="U2049" i="1"/>
  <c r="U24" i="1"/>
  <c r="U25" i="1"/>
  <c r="AW25" i="1" s="1"/>
  <c r="U23" i="1"/>
  <c r="AW23" i="1" s="1"/>
  <c r="U683" i="1"/>
  <c r="AW683" i="1" s="1"/>
  <c r="U682" i="1"/>
  <c r="AW682" i="1" s="1"/>
  <c r="U1702" i="1"/>
  <c r="U1701" i="1"/>
  <c r="U1700" i="1"/>
  <c r="AW1700" i="1" s="1"/>
  <c r="U1699" i="1"/>
  <c r="AD945" i="1"/>
  <c r="AI945" i="1" s="1"/>
  <c r="U945" i="1"/>
  <c r="U1347" i="1"/>
  <c r="U271" i="1"/>
  <c r="AW271" i="1" s="1"/>
  <c r="T269" i="1"/>
  <c r="S269" i="1"/>
  <c r="R269" i="1"/>
  <c r="Q269" i="1"/>
  <c r="T267" i="1"/>
  <c r="S267" i="1"/>
  <c r="R267" i="1"/>
  <c r="Q267" i="1"/>
  <c r="T265" i="1"/>
  <c r="S265" i="1"/>
  <c r="R265" i="1"/>
  <c r="Q265" i="1"/>
  <c r="T263" i="1"/>
  <c r="S263" i="1"/>
  <c r="R263" i="1"/>
  <c r="Q263" i="1"/>
  <c r="T261" i="1"/>
  <c r="S261" i="1"/>
  <c r="R261" i="1"/>
  <c r="Q261" i="1"/>
  <c r="T259" i="1"/>
  <c r="S259" i="1"/>
  <c r="R259" i="1"/>
  <c r="Q259" i="1"/>
  <c r="T257" i="1"/>
  <c r="S257" i="1"/>
  <c r="R257" i="1"/>
  <c r="Q257" i="1"/>
  <c r="T255" i="1"/>
  <c r="S255" i="1"/>
  <c r="R255" i="1"/>
  <c r="Q255" i="1"/>
  <c r="T253" i="1"/>
  <c r="S253" i="1"/>
  <c r="R253" i="1"/>
  <c r="Q253" i="1"/>
  <c r="T251" i="1"/>
  <c r="R251" i="1"/>
  <c r="Q251" i="1"/>
  <c r="U270" i="1"/>
  <c r="T268" i="1"/>
  <c r="S268" i="1"/>
  <c r="T266" i="1"/>
  <c r="S266" i="1"/>
  <c r="T264" i="1"/>
  <c r="S264" i="1"/>
  <c r="T262" i="1"/>
  <c r="S262" i="1"/>
  <c r="T260" i="1"/>
  <c r="S260" i="1"/>
  <c r="T258" i="1"/>
  <c r="S258" i="1"/>
  <c r="T256" i="1"/>
  <c r="S256" i="1"/>
  <c r="T254" i="1"/>
  <c r="S254" i="1"/>
  <c r="T252" i="1"/>
  <c r="S252" i="1"/>
  <c r="U250" i="1"/>
  <c r="AW250" i="1" s="1"/>
  <c r="U702" i="1"/>
  <c r="U701" i="1"/>
  <c r="AW701" i="1" s="1"/>
  <c r="U700" i="1"/>
  <c r="AW700" i="1" s="1"/>
  <c r="U699" i="1"/>
  <c r="U698" i="1"/>
  <c r="U697" i="1"/>
  <c r="AW697" i="1" s="1"/>
  <c r="T363" i="1"/>
  <c r="S363" i="1"/>
  <c r="R363" i="1"/>
  <c r="Q363" i="1"/>
  <c r="T362" i="1"/>
  <c r="S362" i="1"/>
  <c r="R362" i="1"/>
  <c r="Q362" i="1"/>
  <c r="T361" i="1"/>
  <c r="S361" i="1"/>
  <c r="R361" i="1"/>
  <c r="T360" i="1"/>
  <c r="S360" i="1"/>
  <c r="R360" i="1"/>
  <c r="Q360" i="1"/>
  <c r="T359" i="1"/>
  <c r="S359" i="1"/>
  <c r="R359" i="1"/>
  <c r="Q359" i="1"/>
  <c r="T358" i="1"/>
  <c r="S358" i="1"/>
  <c r="R358" i="1"/>
  <c r="Q358" i="1"/>
  <c r="T357" i="1"/>
  <c r="S357" i="1"/>
  <c r="R357" i="1"/>
  <c r="Q357" i="1"/>
  <c r="T356" i="1"/>
  <c r="S356" i="1"/>
  <c r="R356" i="1"/>
  <c r="T355" i="1"/>
  <c r="S355" i="1"/>
  <c r="R355" i="1"/>
  <c r="T354" i="1"/>
  <c r="S354" i="1"/>
  <c r="R354" i="1"/>
  <c r="T353" i="1"/>
  <c r="S353" i="1"/>
  <c r="R353" i="1"/>
  <c r="T352" i="1"/>
  <c r="R352" i="1"/>
  <c r="T351" i="1"/>
  <c r="S351" i="1"/>
  <c r="R351" i="1"/>
  <c r="Q351" i="1"/>
  <c r="T350" i="1"/>
  <c r="S350" i="1"/>
  <c r="R350" i="1"/>
  <c r="Q350" i="1"/>
  <c r="T349" i="1"/>
  <c r="S349" i="1"/>
  <c r="R349" i="1"/>
  <c r="Q349" i="1"/>
  <c r="T348" i="1"/>
  <c r="S348" i="1"/>
  <c r="R348" i="1"/>
  <c r="Q348" i="1"/>
  <c r="T347" i="1"/>
  <c r="S347" i="1"/>
  <c r="R347" i="1"/>
  <c r="T346" i="1"/>
  <c r="S346" i="1"/>
  <c r="R346" i="1"/>
  <c r="Q346" i="1"/>
  <c r="T345" i="1"/>
  <c r="S345" i="1"/>
  <c r="R345" i="1"/>
  <c r="Q345" i="1"/>
  <c r="T344" i="1"/>
  <c r="S344" i="1"/>
  <c r="R344" i="1"/>
  <c r="Q344" i="1"/>
  <c r="T343" i="1"/>
  <c r="S343" i="1"/>
  <c r="R343" i="1"/>
  <c r="Q343" i="1"/>
  <c r="U1203" i="1"/>
  <c r="U1200" i="1"/>
  <c r="U1188" i="1"/>
  <c r="U1186" i="1"/>
  <c r="U508" i="1"/>
  <c r="AW508" i="1" s="1"/>
  <c r="U1983" i="1"/>
  <c r="U1982" i="1"/>
  <c r="U1981" i="1"/>
  <c r="U1980" i="1"/>
  <c r="U1979" i="1"/>
  <c r="AW1979" i="1" s="1"/>
  <c r="U1978" i="1"/>
  <c r="U1977" i="1"/>
  <c r="U1976" i="1"/>
  <c r="AW1976" i="1" s="1"/>
  <c r="U1975" i="1"/>
  <c r="U1974" i="1"/>
  <c r="U1973" i="1"/>
  <c r="U1972" i="1"/>
  <c r="U1971" i="1"/>
  <c r="U1970" i="1"/>
  <c r="AW1970" i="1" s="1"/>
  <c r="U1969" i="1"/>
  <c r="U1968" i="1"/>
  <c r="U1967" i="1"/>
  <c r="AW1967" i="1" s="1"/>
  <c r="U1966" i="1"/>
  <c r="U1965" i="1"/>
  <c r="U1964" i="1"/>
  <c r="U1963" i="1"/>
  <c r="U1962" i="1"/>
  <c r="U1961" i="1"/>
  <c r="AW1961" i="1" s="1"/>
  <c r="U1960" i="1"/>
  <c r="U1959" i="1"/>
  <c r="U1958" i="1"/>
  <c r="AW1958" i="1" s="1"/>
  <c r="U1957" i="1"/>
  <c r="U1956" i="1"/>
  <c r="U1955" i="1"/>
  <c r="U1954" i="1"/>
  <c r="U1953" i="1"/>
  <c r="U1877" i="1"/>
  <c r="U1876" i="1"/>
  <c r="U1875" i="1"/>
  <c r="U1874" i="1"/>
  <c r="U1873" i="1"/>
  <c r="U1872" i="1"/>
  <c r="U924" i="1"/>
  <c r="T2181" i="1"/>
  <c r="S2181" i="1"/>
  <c r="T2180" i="1"/>
  <c r="S2180" i="1"/>
  <c r="T2179" i="1"/>
  <c r="S2179" i="1"/>
  <c r="T2178" i="1"/>
  <c r="S2178" i="1"/>
  <c r="T2177" i="1"/>
  <c r="S2177" i="1"/>
  <c r="U1698" i="1"/>
  <c r="U1697" i="1"/>
  <c r="U1696" i="1"/>
  <c r="AW1696" i="1" s="1"/>
  <c r="U1695" i="1"/>
  <c r="U1694" i="1"/>
  <c r="U1693" i="1"/>
  <c r="AW1693" i="1" s="1"/>
  <c r="U1692" i="1"/>
  <c r="U1691" i="1"/>
  <c r="U1690" i="1"/>
  <c r="AW1690" i="1" s="1"/>
  <c r="U1689" i="1"/>
  <c r="U1688" i="1"/>
  <c r="U1687" i="1"/>
  <c r="AW1687" i="1" s="1"/>
  <c r="U1686" i="1"/>
  <c r="U1685" i="1"/>
  <c r="U1684" i="1"/>
  <c r="AW1684" i="1" s="1"/>
  <c r="U1683" i="1"/>
  <c r="U1682" i="1"/>
  <c r="U1681" i="1"/>
  <c r="AW1681" i="1" s="1"/>
  <c r="U1680" i="1"/>
  <c r="U1679" i="1"/>
  <c r="U1678" i="1"/>
  <c r="AW1678" i="1" s="1"/>
  <c r="U1677" i="1"/>
  <c r="U1676" i="1"/>
  <c r="U1675" i="1"/>
  <c r="AW1675" i="1" s="1"/>
  <c r="U1674" i="1"/>
  <c r="U1673" i="1"/>
  <c r="U1672" i="1"/>
  <c r="AW1672" i="1" s="1"/>
  <c r="U1671" i="1"/>
  <c r="U1670" i="1"/>
  <c r="U1669" i="1"/>
  <c r="AW1669" i="1" s="1"/>
  <c r="U1668" i="1"/>
  <c r="U2311" i="1"/>
  <c r="U2310" i="1"/>
  <c r="AW2310" i="1" s="1"/>
  <c r="U2309" i="1"/>
  <c r="U2308" i="1"/>
  <c r="U2307" i="1"/>
  <c r="AW2307" i="1" s="1"/>
  <c r="U2306" i="1"/>
  <c r="U2305" i="1"/>
  <c r="U2304" i="1"/>
  <c r="AW2304" i="1" s="1"/>
  <c r="U2303" i="1"/>
  <c r="U2099" i="1"/>
  <c r="U2098" i="1"/>
  <c r="AW2098" i="1" s="1"/>
  <c r="U2097" i="1"/>
  <c r="U2096" i="1"/>
  <c r="U2095" i="1"/>
  <c r="AW2095" i="1" s="1"/>
  <c r="U2094" i="1"/>
  <c r="U2093" i="1"/>
  <c r="U2092" i="1"/>
  <c r="AW2092" i="1" s="1"/>
  <c r="U2091" i="1"/>
  <c r="U2090" i="1"/>
  <c r="U2089" i="1"/>
  <c r="AW2089" i="1" s="1"/>
  <c r="U2088" i="1"/>
  <c r="U2087" i="1"/>
  <c r="U2072" i="1"/>
  <c r="AW2072" i="1" s="1"/>
  <c r="U1009" i="1"/>
  <c r="AW1009" i="1" s="1"/>
  <c r="U1008" i="1"/>
  <c r="U1007" i="1"/>
  <c r="AW1007" i="1" s="1"/>
  <c r="U1006" i="1"/>
  <c r="U1005" i="1"/>
  <c r="U1004" i="1"/>
  <c r="AW1004" i="1" s="1"/>
  <c r="U1003" i="1"/>
  <c r="U1002" i="1"/>
  <c r="U1001" i="1"/>
  <c r="AW1001" i="1" s="1"/>
  <c r="U1000" i="1"/>
  <c r="U999" i="1"/>
  <c r="U998" i="1"/>
  <c r="AW998" i="1" s="1"/>
  <c r="U997" i="1"/>
  <c r="U996" i="1"/>
  <c r="U995" i="1"/>
  <c r="AW995" i="1" s="1"/>
  <c r="U994" i="1"/>
  <c r="U993" i="1"/>
  <c r="U992" i="1"/>
  <c r="AW992" i="1" s="1"/>
  <c r="U991" i="1"/>
  <c r="U990" i="1"/>
  <c r="U989" i="1"/>
  <c r="AW989" i="1" s="1"/>
  <c r="U988" i="1"/>
  <c r="U505" i="1"/>
  <c r="AW505" i="1" s="1"/>
  <c r="U502" i="1"/>
  <c r="AW502" i="1" s="1"/>
  <c r="U499" i="1"/>
  <c r="AW499" i="1" s="1"/>
  <c r="U496" i="1"/>
  <c r="AW496" i="1" s="1"/>
  <c r="U493" i="1"/>
  <c r="U491" i="1"/>
  <c r="U489" i="1"/>
  <c r="U488" i="1"/>
  <c r="U486" i="1"/>
  <c r="AW486" i="1" s="1"/>
  <c r="U482" i="1"/>
  <c r="U480" i="1"/>
  <c r="AW480" i="1" s="1"/>
  <c r="U478" i="1"/>
  <c r="U475" i="1"/>
  <c r="U472" i="1"/>
  <c r="AW472" i="1" s="1"/>
  <c r="U469" i="1"/>
  <c r="AW469" i="1" s="1"/>
  <c r="U466" i="1"/>
  <c r="AW466" i="1" s="1"/>
  <c r="U463" i="1"/>
  <c r="AW463" i="1" s="1"/>
  <c r="U460" i="1"/>
  <c r="U458" i="1"/>
  <c r="AW458" i="1" s="1"/>
  <c r="U455" i="1"/>
  <c r="U454" i="1"/>
  <c r="AW454" i="1" s="1"/>
  <c r="U452" i="1"/>
  <c r="U448" i="1"/>
  <c r="AW448" i="1" s="1"/>
  <c r="U446" i="1"/>
  <c r="U444" i="1"/>
  <c r="AW444" i="1" s="1"/>
  <c r="U1026" i="1"/>
  <c r="AW1026" i="1" s="1"/>
  <c r="U1025" i="1"/>
  <c r="AW1025" i="1" s="1"/>
  <c r="U1024" i="1"/>
  <c r="U1023" i="1"/>
  <c r="AW1023" i="1" s="1"/>
  <c r="U1022" i="1"/>
  <c r="AW1022" i="1" s="1"/>
  <c r="U1021" i="1"/>
  <c r="AW1021" i="1" s="1"/>
  <c r="U1020" i="1"/>
  <c r="AW1020" i="1" s="1"/>
  <c r="U1133" i="1"/>
  <c r="AW1133" i="1" s="1"/>
  <c r="U1130" i="1"/>
  <c r="U1127" i="1"/>
  <c r="AW1127" i="1" s="1"/>
  <c r="U1124" i="1"/>
  <c r="AW1124" i="1" s="1"/>
  <c r="U1121" i="1"/>
  <c r="AW1121" i="1" s="1"/>
  <c r="U2015" i="1"/>
  <c r="AW2015" i="1" s="1"/>
  <c r="U2014" i="1"/>
  <c r="AW2014" i="1" s="1"/>
  <c r="U2013" i="1"/>
  <c r="AW2013" i="1" s="1"/>
  <c r="U2012" i="1"/>
  <c r="AW2012" i="1" s="1"/>
  <c r="U2011" i="1"/>
  <c r="AW2011" i="1" s="1"/>
  <c r="U2010" i="1"/>
  <c r="AW2010" i="1" s="1"/>
  <c r="U2009" i="1"/>
  <c r="AW2009" i="1" s="1"/>
  <c r="U2008" i="1"/>
  <c r="AW2008" i="1" s="1"/>
  <c r="U2007" i="1"/>
  <c r="AW2007" i="1" s="1"/>
  <c r="U2006" i="1"/>
  <c r="AW2006" i="1" s="1"/>
  <c r="U2005" i="1"/>
  <c r="AW2005" i="1" s="1"/>
  <c r="U2004" i="1"/>
  <c r="AW2004" i="1" s="1"/>
  <c r="U2003" i="1"/>
  <c r="AW2003" i="1" s="1"/>
  <c r="U2002" i="1"/>
  <c r="AW2002" i="1" s="1"/>
  <c r="U2001" i="1"/>
  <c r="U2000" i="1"/>
  <c r="U1999" i="1"/>
  <c r="AW1999" i="1" s="1"/>
  <c r="U1998" i="1"/>
  <c r="AW1998" i="1" s="1"/>
  <c r="U1997" i="1"/>
  <c r="AW1997" i="1" s="1"/>
  <c r="U1996" i="1"/>
  <c r="AW1996" i="1" s="1"/>
  <c r="U1995" i="1"/>
  <c r="U1994" i="1"/>
  <c r="AW1994" i="1" s="1"/>
  <c r="U1993" i="1"/>
  <c r="AW1993" i="1" s="1"/>
  <c r="U1992" i="1"/>
  <c r="AW1992" i="1" s="1"/>
  <c r="U384" i="1"/>
  <c r="AW384" i="1" s="1"/>
  <c r="U383" i="1"/>
  <c r="AW383" i="1" s="1"/>
  <c r="U382" i="1"/>
  <c r="AW382" i="1" s="1"/>
  <c r="T2185" i="1"/>
  <c r="S2185" i="1"/>
  <c r="T2184" i="1"/>
  <c r="S2184" i="1"/>
  <c r="T2183" i="1"/>
  <c r="S2183" i="1"/>
  <c r="T2182" i="1"/>
  <c r="S2182" i="1"/>
  <c r="U2071" i="1"/>
  <c r="AW2071" i="1" s="1"/>
  <c r="U2070" i="1"/>
  <c r="AW2070" i="1" s="1"/>
  <c r="U2069" i="1"/>
  <c r="U2068" i="1"/>
  <c r="AW2068" i="1" s="1"/>
  <c r="U2067" i="1"/>
  <c r="AW2067" i="1" s="1"/>
  <c r="U2066" i="1"/>
  <c r="U2065" i="1"/>
  <c r="U2064" i="1"/>
  <c r="AW2064" i="1" s="1"/>
  <c r="U2063" i="1"/>
  <c r="U2061" i="1"/>
  <c r="U2059" i="1"/>
  <c r="AW2059" i="1" s="1"/>
  <c r="U2057" i="1"/>
  <c r="U970" i="1"/>
  <c r="AW970" i="1" s="1"/>
  <c r="U972" i="1"/>
  <c r="AW972" i="1" s="1"/>
  <c r="U971" i="1"/>
  <c r="U1836" i="1"/>
  <c r="AW1836" i="1" s="1"/>
  <c r="U1834" i="1"/>
  <c r="AW1834" i="1" s="1"/>
  <c r="U973" i="1"/>
  <c r="U969" i="1"/>
  <c r="U2062" i="1"/>
  <c r="AW2062" i="1" s="1"/>
  <c r="U2060" i="1"/>
  <c r="U2058" i="1"/>
  <c r="U1835" i="1"/>
  <c r="AW1835" i="1" s="1"/>
  <c r="U1833" i="1"/>
  <c r="U296" i="1"/>
  <c r="U295" i="1"/>
  <c r="AW295" i="1" s="1"/>
  <c r="U294" i="1"/>
  <c r="AW294" i="1" s="1"/>
  <c r="U293" i="1"/>
  <c r="U292" i="1"/>
  <c r="AW292" i="1" s="1"/>
  <c r="U291" i="1"/>
  <c r="AW291" i="1" s="1"/>
  <c r="U800" i="1"/>
  <c r="U798" i="1"/>
  <c r="AW798" i="1" s="1"/>
  <c r="U792" i="1"/>
  <c r="U791" i="1"/>
  <c r="AW791" i="1" s="1"/>
  <c r="U790" i="1"/>
  <c r="AW790" i="1" s="1"/>
  <c r="U767" i="1"/>
  <c r="U766" i="1"/>
  <c r="U765" i="1"/>
  <c r="AW765" i="1" s="1"/>
  <c r="U764" i="1"/>
  <c r="U763" i="1"/>
  <c r="AW763" i="1" s="1"/>
  <c r="U762" i="1"/>
  <c r="AW762" i="1" s="1"/>
  <c r="U714" i="1"/>
  <c r="U713" i="1"/>
  <c r="AW713" i="1" s="1"/>
  <c r="U712" i="1"/>
  <c r="AW712" i="1" s="1"/>
  <c r="U711" i="1"/>
  <c r="U710" i="1"/>
  <c r="AW710" i="1" s="1"/>
  <c r="U709" i="1"/>
  <c r="AW709" i="1" s="1"/>
  <c r="U606" i="1"/>
  <c r="AW606" i="1" s="1"/>
  <c r="U1728" i="1"/>
  <c r="AW1728" i="1" s="1"/>
  <c r="U1727" i="1"/>
  <c r="U1726" i="1"/>
  <c r="U1725" i="1"/>
  <c r="AW1725" i="1" s="1"/>
  <c r="U1562" i="1"/>
  <c r="U1561" i="1"/>
  <c r="AW1561" i="1" s="1"/>
  <c r="U1560" i="1"/>
  <c r="AW1560" i="1" s="1"/>
  <c r="U1559" i="1"/>
  <c r="U1558" i="1"/>
  <c r="AW1558" i="1" s="1"/>
  <c r="U1557" i="1"/>
  <c r="AW1557" i="1" s="1"/>
  <c r="U1556" i="1"/>
  <c r="U658" i="1"/>
  <c r="U657" i="1"/>
  <c r="AW657" i="1" s="1"/>
  <c r="T156" i="1"/>
  <c r="S156" i="1"/>
  <c r="T155" i="1"/>
  <c r="S155" i="1"/>
  <c r="T154" i="1"/>
  <c r="S154" i="1"/>
  <c r="T153" i="1"/>
  <c r="S153" i="1"/>
  <c r="T152" i="1"/>
  <c r="S152" i="1"/>
  <c r="T151" i="1"/>
  <c r="S151" i="1"/>
  <c r="T150" i="1"/>
  <c r="S150" i="1"/>
  <c r="T149" i="1"/>
  <c r="S149" i="1"/>
  <c r="T148" i="1"/>
  <c r="S148" i="1"/>
  <c r="T147" i="1"/>
  <c r="S147" i="1"/>
  <c r="U2302" i="1"/>
  <c r="U2301" i="1"/>
  <c r="AW2301" i="1" s="1"/>
  <c r="U1040" i="1"/>
  <c r="AW1040" i="1" s="1"/>
  <c r="T681" i="1"/>
  <c r="S681" i="1"/>
  <c r="T680" i="1"/>
  <c r="S680" i="1"/>
  <c r="U1030" i="1"/>
  <c r="U1342" i="1"/>
  <c r="U409" i="1"/>
  <c r="AW409" i="1" s="1"/>
  <c r="U408" i="1"/>
  <c r="AW408" i="1" s="1"/>
  <c r="U407" i="1"/>
  <c r="U406" i="1"/>
  <c r="AW406" i="1" s="1"/>
  <c r="U405" i="1"/>
  <c r="U404" i="1"/>
  <c r="AW404" i="1" s="1"/>
  <c r="U403" i="1"/>
  <c r="AW403" i="1" s="1"/>
  <c r="U402" i="1"/>
  <c r="U401" i="1"/>
  <c r="AW401" i="1" s="1"/>
  <c r="U400" i="1"/>
  <c r="AW400" i="1" s="1"/>
  <c r="U399" i="1"/>
  <c r="U1666" i="1"/>
  <c r="AW1666" i="1" s="1"/>
  <c r="U1665" i="1"/>
  <c r="U1664" i="1"/>
  <c r="U1663" i="1"/>
  <c r="AW1663" i="1" s="1"/>
  <c r="U1662" i="1"/>
  <c r="U1661" i="1"/>
  <c r="AW1661" i="1" s="1"/>
  <c r="U1660" i="1"/>
  <c r="AW1660" i="1" s="1"/>
  <c r="U1659" i="1"/>
  <c r="U1658" i="1"/>
  <c r="AW1658" i="1" s="1"/>
  <c r="U1657" i="1"/>
  <c r="AW1657" i="1" s="1"/>
  <c r="U1656" i="1"/>
  <c r="U1655" i="1"/>
  <c r="U1654" i="1"/>
  <c r="AW1654" i="1" s="1"/>
  <c r="U1653" i="1"/>
  <c r="U1652" i="1"/>
  <c r="U1651" i="1"/>
  <c r="AW1651" i="1" s="1"/>
  <c r="U1650" i="1"/>
  <c r="U935" i="1"/>
  <c r="AW935" i="1" s="1"/>
  <c r="U934" i="1"/>
  <c r="AW934" i="1" s="1"/>
  <c r="U1810" i="1"/>
  <c r="J1810" i="1"/>
  <c r="U1534" i="1"/>
  <c r="U1533" i="1"/>
  <c r="AW1533" i="1" s="1"/>
  <c r="U1532" i="1"/>
  <c r="AW1532" i="1" s="1"/>
  <c r="U1531" i="1"/>
  <c r="U1530" i="1"/>
  <c r="AW1530" i="1" s="1"/>
  <c r="U1667" i="1"/>
  <c r="AW1667" i="1" s="1"/>
  <c r="U613" i="1"/>
  <c r="AW613" i="1" s="1"/>
  <c r="U612" i="1"/>
  <c r="AW612" i="1" s="1"/>
  <c r="U611" i="1"/>
  <c r="AW611" i="1" s="1"/>
  <c r="U610" i="1"/>
  <c r="U609" i="1"/>
  <c r="AW609" i="1" s="1"/>
  <c r="U2054" i="1"/>
  <c r="AW2054" i="1" s="1"/>
  <c r="U1521" i="1"/>
  <c r="AW1521" i="1" s="1"/>
  <c r="U1520" i="1"/>
  <c r="U1519" i="1"/>
  <c r="AW1519" i="1" s="1"/>
  <c r="U1518" i="1"/>
  <c r="AW1518" i="1" s="1"/>
  <c r="U323" i="1"/>
  <c r="AW323" i="1" s="1"/>
  <c r="U319" i="1"/>
  <c r="AW319" i="1" s="1"/>
  <c r="U1852" i="1"/>
  <c r="AW1852" i="1" s="1"/>
  <c r="U1497" i="1"/>
  <c r="AW1497" i="1" s="1"/>
  <c r="U688" i="1"/>
  <c r="U1609" i="1"/>
  <c r="U1608" i="1"/>
  <c r="AW1608" i="1" s="1"/>
  <c r="U1607" i="1"/>
  <c r="U1606" i="1"/>
  <c r="AW1606" i="1" s="1"/>
  <c r="U1605" i="1"/>
  <c r="AW1605" i="1" s="1"/>
  <c r="U1604" i="1"/>
  <c r="U1603" i="1"/>
  <c r="AW1603" i="1" s="1"/>
  <c r="U1602" i="1"/>
  <c r="AW1602" i="1" s="1"/>
  <c r="U1601" i="1"/>
  <c r="U1600" i="1"/>
  <c r="U1599" i="1"/>
  <c r="AW1599" i="1" s="1"/>
  <c r="U1598" i="1"/>
  <c r="U1597" i="1"/>
  <c r="U1596" i="1"/>
  <c r="AW1596" i="1" s="1"/>
  <c r="U1595" i="1"/>
  <c r="U1594" i="1"/>
  <c r="AW1594" i="1" s="1"/>
  <c r="U1593" i="1"/>
  <c r="AW1593" i="1" s="1"/>
  <c r="U1592" i="1"/>
  <c r="U1591" i="1"/>
  <c r="AW1591" i="1" s="1"/>
  <c r="U1590" i="1"/>
  <c r="AW1590" i="1" s="1"/>
  <c r="U1589" i="1"/>
  <c r="U1588" i="1"/>
  <c r="U1587" i="1"/>
  <c r="AW1587" i="1" s="1"/>
  <c r="U1586" i="1"/>
  <c r="U1585" i="1"/>
  <c r="AW1585" i="1" s="1"/>
  <c r="U1584" i="1"/>
  <c r="AW1584" i="1" s="1"/>
  <c r="U1583" i="1"/>
  <c r="U1582" i="1"/>
  <c r="AW1582" i="1" s="1"/>
  <c r="U1581" i="1"/>
  <c r="AW1581" i="1" s="1"/>
  <c r="U1580" i="1"/>
  <c r="U1579" i="1"/>
  <c r="AW1579" i="1" s="1"/>
  <c r="U1578" i="1"/>
  <c r="AW1578" i="1" s="1"/>
  <c r="U1577" i="1"/>
  <c r="U1576" i="1"/>
  <c r="AW1576" i="1" s="1"/>
  <c r="U1575" i="1"/>
  <c r="AW1575" i="1" s="1"/>
  <c r="U1574" i="1"/>
  <c r="U1573" i="1"/>
  <c r="AW1573" i="1" s="1"/>
  <c r="U1572" i="1"/>
  <c r="AW1572" i="1" s="1"/>
  <c r="U1571" i="1"/>
  <c r="U1570" i="1"/>
  <c r="AW1570" i="1" s="1"/>
  <c r="U1569" i="1"/>
  <c r="AW1569" i="1" s="1"/>
  <c r="U1568" i="1"/>
  <c r="U1567" i="1"/>
  <c r="AW1567" i="1" s="1"/>
  <c r="U1566" i="1"/>
  <c r="AW1566" i="1" s="1"/>
  <c r="U1565" i="1"/>
  <c r="U1564" i="1"/>
  <c r="AW1564" i="1" s="1"/>
  <c r="U1563" i="1"/>
  <c r="AW1563" i="1" s="1"/>
  <c r="U1039" i="1"/>
  <c r="S915" i="1"/>
  <c r="Q915" i="1"/>
  <c r="S914" i="1"/>
  <c r="Q914" i="1"/>
  <c r="U913" i="1"/>
  <c r="S912" i="1"/>
  <c r="U912" i="1" s="1"/>
  <c r="AW912" i="1" s="1"/>
  <c r="S911" i="1"/>
  <c r="Q911" i="1"/>
  <c r="U910" i="1"/>
  <c r="AW910" i="1" s="1"/>
  <c r="U909" i="1"/>
  <c r="S908" i="1"/>
  <c r="U908" i="1" s="1"/>
  <c r="AW908" i="1" s="1"/>
  <c r="AD938" i="1"/>
  <c r="AI938" i="1" s="1"/>
  <c r="T938" i="1"/>
  <c r="S938" i="1"/>
  <c r="AD937" i="1"/>
  <c r="AI937" i="1" s="1"/>
  <c r="T937" i="1"/>
  <c r="S937" i="1"/>
  <c r="AD936" i="1"/>
  <c r="AI936" i="1" s="1"/>
  <c r="T936" i="1"/>
  <c r="S936" i="1"/>
  <c r="U696" i="1"/>
  <c r="AW696" i="1" s="1"/>
  <c r="U695" i="1"/>
  <c r="U694" i="1"/>
  <c r="U921" i="1"/>
  <c r="AW921" i="1" s="1"/>
  <c r="U920" i="1"/>
  <c r="U919" i="1"/>
  <c r="U918" i="1"/>
  <c r="AW918" i="1" s="1"/>
  <c r="U917" i="1"/>
  <c r="U916" i="1"/>
  <c r="T679" i="1"/>
  <c r="S679" i="1"/>
  <c r="T678" i="1"/>
  <c r="S678" i="1"/>
  <c r="U1724" i="1"/>
  <c r="AW1724" i="1" s="1"/>
  <c r="U1723" i="1"/>
  <c r="U1722" i="1"/>
  <c r="U1721" i="1"/>
  <c r="AW1721" i="1" s="1"/>
  <c r="U1720" i="1"/>
  <c r="U592" i="1"/>
  <c r="U591" i="1"/>
  <c r="AW591" i="1" s="1"/>
  <c r="U1802" i="1"/>
  <c r="U1796" i="1"/>
  <c r="U1790" i="1"/>
  <c r="AW1790" i="1" s="1"/>
  <c r="U1329" i="1"/>
  <c r="U1327" i="1"/>
  <c r="U1325" i="1"/>
  <c r="AW1325" i="1" s="1"/>
  <c r="U1322" i="1"/>
  <c r="U1319" i="1"/>
  <c r="U1316" i="1"/>
  <c r="AW1316" i="1" s="1"/>
  <c r="U1313" i="1"/>
  <c r="U1055" i="1"/>
  <c r="J1055" i="1"/>
  <c r="U1054" i="1"/>
  <c r="AW1054" i="1" s="1"/>
  <c r="J1054" i="1"/>
  <c r="U504" i="1"/>
  <c r="AW504" i="1" s="1"/>
  <c r="J504" i="1"/>
  <c r="U501" i="1"/>
  <c r="AW501" i="1" s="1"/>
  <c r="J501" i="1"/>
  <c r="U498" i="1"/>
  <c r="AW498" i="1" s="1"/>
  <c r="J498" i="1"/>
  <c r="U495" i="1"/>
  <c r="AW495" i="1" s="1"/>
  <c r="J495" i="1"/>
  <c r="U490" i="1"/>
  <c r="AW490" i="1" s="1"/>
  <c r="J490" i="1"/>
  <c r="U485" i="1"/>
  <c r="AW485" i="1" s="1"/>
  <c r="J485" i="1"/>
  <c r="U481" i="1"/>
  <c r="AW481" i="1" s="1"/>
  <c r="J481" i="1"/>
  <c r="U477" i="1"/>
  <c r="AW477" i="1" s="1"/>
  <c r="J477" i="1"/>
  <c r="U474" i="1"/>
  <c r="AW474" i="1" s="1"/>
  <c r="J474" i="1"/>
  <c r="U471" i="1"/>
  <c r="AW471" i="1" s="1"/>
  <c r="J471" i="1"/>
  <c r="U468" i="1"/>
  <c r="AW468" i="1" s="1"/>
  <c r="J468" i="1"/>
  <c r="U465" i="1"/>
  <c r="AW465" i="1" s="1"/>
  <c r="J465" i="1"/>
  <c r="U462" i="1"/>
  <c r="AW462" i="1" s="1"/>
  <c r="J462" i="1"/>
  <c r="U457" i="1"/>
  <c r="AW457" i="1" s="1"/>
  <c r="J457" i="1"/>
  <c r="U451" i="1"/>
  <c r="AW451" i="1" s="1"/>
  <c r="J451" i="1"/>
  <c r="U447" i="1"/>
  <c r="AW447" i="1" s="1"/>
  <c r="J447" i="1"/>
  <c r="U443" i="1"/>
  <c r="AW443" i="1" s="1"/>
  <c r="J443" i="1"/>
  <c r="U1867" i="1"/>
  <c r="AW1867" i="1" s="1"/>
  <c r="U1864" i="1"/>
  <c r="U1861" i="1"/>
  <c r="U1858" i="1"/>
  <c r="AW1858" i="1" s="1"/>
  <c r="U1803" i="1"/>
  <c r="U1797" i="1"/>
  <c r="U1791" i="1"/>
  <c r="AW1791" i="1" s="1"/>
  <c r="U378" i="1"/>
  <c r="U377" i="1"/>
  <c r="U376" i="1"/>
  <c r="AW376" i="1" s="1"/>
  <c r="U1182" i="1"/>
  <c r="U2294" i="1"/>
  <c r="U2288" i="1"/>
  <c r="AW2288" i="1" s="1"/>
  <c r="U2282" i="1"/>
  <c r="U2276" i="1"/>
  <c r="U2270" i="1"/>
  <c r="U2267" i="1"/>
  <c r="U2264" i="1"/>
  <c r="U2259" i="1"/>
  <c r="U2253" i="1"/>
  <c r="U2247" i="1"/>
  <c r="U2241" i="1"/>
  <c r="U2235" i="1"/>
  <c r="U2229" i="1"/>
  <c r="U2223" i="1"/>
  <c r="U2217" i="1"/>
  <c r="U1841" i="1"/>
  <c r="U1204" i="1"/>
  <c r="U1189" i="1"/>
  <c r="U1346" i="1"/>
  <c r="U1065" i="1"/>
  <c r="U1064" i="1"/>
  <c r="U1063" i="1"/>
  <c r="U1062" i="1"/>
  <c r="U1061" i="1"/>
  <c r="U1060" i="1"/>
  <c r="U1059" i="1"/>
  <c r="U1058" i="1"/>
  <c r="U1057" i="1"/>
  <c r="U1056" i="1"/>
  <c r="U381" i="1"/>
  <c r="AW381" i="1" s="1"/>
  <c r="U380" i="1"/>
  <c r="U379" i="1"/>
  <c r="AW379" i="1" s="1"/>
  <c r="U1805" i="1"/>
  <c r="U1799" i="1"/>
  <c r="U1793" i="1"/>
  <c r="T28" i="1"/>
  <c r="S28" i="1"/>
  <c r="T27" i="1"/>
  <c r="S27" i="1"/>
  <c r="T26" i="1"/>
  <c r="S26" i="1"/>
  <c r="U984" i="1"/>
  <c r="U983" i="1"/>
  <c r="AW983" i="1" s="1"/>
  <c r="U982" i="1"/>
  <c r="AW982" i="1" s="1"/>
  <c r="U981" i="1"/>
  <c r="U980" i="1"/>
  <c r="U979" i="1"/>
  <c r="AW979" i="1" s="1"/>
  <c r="U978" i="1"/>
  <c r="U977" i="1"/>
  <c r="AW977" i="1" s="1"/>
  <c r="U976" i="1"/>
  <c r="U975" i="1"/>
  <c r="U974" i="1"/>
  <c r="AW974" i="1" s="1"/>
  <c r="U1425" i="1"/>
  <c r="U1424" i="1"/>
  <c r="U1423" i="1"/>
  <c r="AW1423" i="1" s="1"/>
  <c r="U1422" i="1"/>
  <c r="AW1422" i="1" s="1"/>
  <c r="U1421" i="1"/>
  <c r="U1420" i="1"/>
  <c r="AW1420" i="1" s="1"/>
  <c r="U1419" i="1"/>
  <c r="U1418" i="1"/>
  <c r="U1417" i="1"/>
  <c r="AW1417" i="1" s="1"/>
  <c r="U1416" i="1"/>
  <c r="AW1416" i="1" s="1"/>
  <c r="U1415" i="1"/>
  <c r="U1414" i="1"/>
  <c r="U1413" i="1"/>
  <c r="AW1413" i="1" s="1"/>
  <c r="U1412" i="1"/>
  <c r="U1411" i="1"/>
  <c r="AW1411" i="1" s="1"/>
  <c r="U229" i="1"/>
  <c r="U228" i="1"/>
  <c r="U227" i="1"/>
  <c r="AW227" i="1" s="1"/>
  <c r="U226" i="1"/>
  <c r="AW226" i="1" s="1"/>
  <c r="U225" i="1"/>
  <c r="U1915" i="1"/>
  <c r="AW1915" i="1" s="1"/>
  <c r="U1914" i="1"/>
  <c r="AW1914" i="1" s="1"/>
  <c r="U1913" i="1"/>
  <c r="U1912" i="1"/>
  <c r="U1911" i="1"/>
  <c r="U1910" i="1"/>
  <c r="U1804" i="1"/>
  <c r="U1798" i="1"/>
  <c r="AW1798" i="1" s="1"/>
  <c r="U1792" i="1"/>
  <c r="T37" i="1"/>
  <c r="S37" i="1"/>
  <c r="T36" i="1"/>
  <c r="S36" i="1"/>
  <c r="T35" i="1"/>
  <c r="S35" i="1"/>
  <c r="U1809" i="1"/>
  <c r="U677" i="1"/>
  <c r="AW677" i="1" s="1"/>
  <c r="U676" i="1"/>
  <c r="U675" i="1"/>
  <c r="AW675" i="1" s="1"/>
  <c r="U674" i="1"/>
  <c r="U673" i="1"/>
  <c r="U672" i="1"/>
  <c r="AW672" i="1" s="1"/>
  <c r="U1811" i="1"/>
  <c r="AW1811" i="1" s="1"/>
  <c r="U375" i="1"/>
  <c r="AW375" i="1" s="1"/>
  <c r="U374" i="1"/>
  <c r="AW374" i="1" s="1"/>
  <c r="U373" i="1"/>
  <c r="AW373" i="1" s="1"/>
  <c r="U2033" i="1"/>
  <c r="U2032" i="1"/>
  <c r="U2031" i="1"/>
  <c r="AW2031" i="1" s="1"/>
  <c r="U2030" i="1"/>
  <c r="AW2030" i="1" s="1"/>
  <c r="U2029" i="1"/>
  <c r="U2028" i="1"/>
  <c r="AW2028" i="1" s="1"/>
  <c r="U2027" i="1"/>
  <c r="AW2027" i="1" s="1"/>
  <c r="U2026" i="1"/>
  <c r="U2025" i="1"/>
  <c r="AW2025" i="1" s="1"/>
  <c r="U2024" i="1"/>
  <c r="U2023" i="1"/>
  <c r="U2022" i="1"/>
  <c r="U2021" i="1"/>
  <c r="AW2021" i="1" s="1"/>
  <c r="U2020" i="1"/>
  <c r="U2019" i="1"/>
  <c r="AW2019" i="1" s="1"/>
  <c r="U2018" i="1"/>
  <c r="AW2018" i="1" s="1"/>
  <c r="U1885" i="1"/>
  <c r="AW1885" i="1" s="1"/>
  <c r="U1884" i="1"/>
  <c r="AW1884" i="1" s="1"/>
  <c r="U1883" i="1"/>
  <c r="U1882" i="1"/>
  <c r="AW1882" i="1" s="1"/>
  <c r="U1881" i="1"/>
  <c r="U1880" i="1"/>
  <c r="U1879" i="1"/>
  <c r="AW1879" i="1" s="1"/>
  <c r="U1878" i="1"/>
  <c r="AW1878" i="1" s="1"/>
  <c r="U1344" i="1"/>
  <c r="U1135" i="1"/>
  <c r="U1132" i="1"/>
  <c r="AW1132" i="1" s="1"/>
  <c r="U1129" i="1"/>
  <c r="U1126" i="1"/>
  <c r="AW1126" i="1" s="1"/>
  <c r="U1123" i="1"/>
  <c r="U922" i="1"/>
  <c r="U366" i="1"/>
  <c r="AW366" i="1" s="1"/>
  <c r="U365" i="1"/>
  <c r="AW365" i="1" s="1"/>
  <c r="U364" i="1"/>
  <c r="AW364" i="1" s="1"/>
  <c r="U372" i="1"/>
  <c r="AW372" i="1" s="1"/>
  <c r="U371" i="1"/>
  <c r="AW371" i="1" s="1"/>
  <c r="U370" i="1"/>
  <c r="AW370" i="1" s="1"/>
  <c r="U923" i="1"/>
  <c r="U12" i="1"/>
  <c r="AW12" i="1" s="1"/>
  <c r="J12" i="1"/>
  <c r="U11" i="1"/>
  <c r="AW11" i="1" s="1"/>
  <c r="J11" i="1"/>
  <c r="U10" i="1"/>
  <c r="AW10" i="1" s="1"/>
  <c r="J10" i="1"/>
  <c r="U9" i="1"/>
  <c r="J9" i="1"/>
  <c r="U8" i="1"/>
  <c r="AW8" i="1" s="1"/>
  <c r="J8" i="1"/>
  <c r="U7" i="1"/>
  <c r="AW7" i="1" s="1"/>
  <c r="J7" i="1"/>
  <c r="U6" i="1"/>
  <c r="J6" i="1"/>
  <c r="U195" i="1"/>
  <c r="AW195" i="1" s="1"/>
  <c r="J195" i="1"/>
  <c r="T194" i="1"/>
  <c r="S194" i="1"/>
  <c r="J194" i="1"/>
  <c r="T193" i="1"/>
  <c r="S193" i="1"/>
  <c r="J193" i="1"/>
  <c r="T192" i="1"/>
  <c r="S192" i="1"/>
  <c r="J192" i="1"/>
  <c r="T191" i="1"/>
  <c r="S191" i="1"/>
  <c r="J191" i="1"/>
  <c r="T190" i="1"/>
  <c r="S190" i="1"/>
  <c r="J190" i="1"/>
  <c r="T189" i="1"/>
  <c r="S189" i="1"/>
  <c r="J189" i="1"/>
  <c r="T188" i="1"/>
  <c r="S188" i="1"/>
  <c r="J188" i="1"/>
  <c r="T187" i="1"/>
  <c r="S187" i="1"/>
  <c r="J187" i="1"/>
  <c r="T186" i="1"/>
  <c r="S186" i="1"/>
  <c r="J186" i="1"/>
  <c r="T185" i="1"/>
  <c r="S185" i="1"/>
  <c r="J185" i="1"/>
  <c r="T184" i="1"/>
  <c r="S184" i="1"/>
  <c r="J184" i="1"/>
  <c r="T183" i="1"/>
  <c r="S183" i="1"/>
  <c r="J183" i="1"/>
  <c r="T182" i="1"/>
  <c r="S182" i="1"/>
  <c r="J182" i="1"/>
  <c r="T181" i="1"/>
  <c r="S181" i="1"/>
  <c r="J181" i="1"/>
  <c r="T180" i="1"/>
  <c r="S180" i="1"/>
  <c r="J180" i="1"/>
  <c r="T179" i="1"/>
  <c r="S179" i="1"/>
  <c r="J179" i="1"/>
  <c r="T178" i="1"/>
  <c r="S178" i="1"/>
  <c r="J178" i="1"/>
  <c r="T177" i="1"/>
  <c r="S177" i="1"/>
  <c r="J177" i="1"/>
  <c r="T176" i="1"/>
  <c r="S176" i="1"/>
  <c r="J176" i="1"/>
  <c r="T175" i="1"/>
  <c r="S175" i="1"/>
  <c r="J175" i="1"/>
  <c r="T174" i="1"/>
  <c r="S174" i="1"/>
  <c r="J174" i="1"/>
  <c r="T173" i="1"/>
  <c r="S173" i="1"/>
  <c r="J173" i="1"/>
  <c r="T172" i="1"/>
  <c r="S172" i="1"/>
  <c r="J172" i="1"/>
  <c r="T171" i="1"/>
  <c r="S171" i="1"/>
  <c r="J171" i="1"/>
  <c r="T170" i="1"/>
  <c r="S170" i="1"/>
  <c r="J170" i="1"/>
  <c r="T169" i="1"/>
  <c r="S169" i="1"/>
  <c r="J169" i="1"/>
  <c r="T168" i="1"/>
  <c r="S168" i="1"/>
  <c r="J168" i="1"/>
  <c r="T167" i="1"/>
  <c r="S167" i="1"/>
  <c r="J167" i="1"/>
  <c r="T166" i="1"/>
  <c r="S166" i="1"/>
  <c r="J166" i="1"/>
  <c r="T165" i="1"/>
  <c r="S165" i="1"/>
  <c r="J165" i="1"/>
  <c r="AD941" i="1"/>
  <c r="AI941" i="1" s="1"/>
  <c r="T941" i="1"/>
  <c r="S941" i="1"/>
  <c r="AD940" i="1"/>
  <c r="AI940" i="1" s="1"/>
  <c r="T940" i="1"/>
  <c r="S940" i="1"/>
  <c r="AD939" i="1"/>
  <c r="AI939" i="1" s="1"/>
  <c r="T939" i="1"/>
  <c r="S939" i="1"/>
  <c r="U1455" i="1"/>
  <c r="AW1455" i="1" s="1"/>
  <c r="U1454" i="1"/>
  <c r="U1453" i="1"/>
  <c r="U1452" i="1"/>
  <c r="AW1452" i="1" s="1"/>
  <c r="U1451" i="1"/>
  <c r="U1450" i="1"/>
  <c r="U1449" i="1"/>
  <c r="AW1449" i="1" s="1"/>
  <c r="U1448" i="1"/>
  <c r="U1447" i="1"/>
  <c r="U1446" i="1"/>
  <c r="U1445" i="1"/>
  <c r="AW1445" i="1" s="1"/>
  <c r="U1444" i="1"/>
  <c r="U1443" i="1"/>
  <c r="AW1443" i="1" s="1"/>
  <c r="U1442" i="1"/>
  <c r="AW1442" i="1" s="1"/>
  <c r="U1441" i="1"/>
  <c r="U1380" i="1"/>
  <c r="AW1380" i="1" s="1"/>
  <c r="U1379" i="1"/>
  <c r="AW1379" i="1" s="1"/>
  <c r="U1378" i="1"/>
  <c r="U1377" i="1"/>
  <c r="AW1377" i="1" s="1"/>
  <c r="U1376" i="1"/>
  <c r="AW1376" i="1" s="1"/>
  <c r="U1375" i="1"/>
  <c r="U1374" i="1"/>
  <c r="AW1374" i="1" s="1"/>
  <c r="U1373" i="1"/>
  <c r="AW1373" i="1" s="1"/>
  <c r="U1372" i="1"/>
  <c r="U1371" i="1"/>
  <c r="AW1371" i="1" s="1"/>
  <c r="U1370" i="1"/>
  <c r="AW1370" i="1" s="1"/>
  <c r="U1369" i="1"/>
  <c r="U1368" i="1"/>
  <c r="AW1368" i="1" s="1"/>
  <c r="U1367" i="1"/>
  <c r="U1366" i="1"/>
  <c r="U1410" i="1"/>
  <c r="AW1410" i="1" s="1"/>
  <c r="U1409" i="1"/>
  <c r="U1408" i="1"/>
  <c r="U1407" i="1"/>
  <c r="U1406" i="1"/>
  <c r="U1405" i="1"/>
  <c r="U1404" i="1"/>
  <c r="U1403" i="1"/>
  <c r="AW1403" i="1" s="1"/>
  <c r="U1402" i="1"/>
  <c r="U1401" i="1"/>
  <c r="AW1401" i="1" s="1"/>
  <c r="U1400" i="1"/>
  <c r="AW1400" i="1" s="1"/>
  <c r="U1399" i="1"/>
  <c r="U1398" i="1"/>
  <c r="U1397" i="1"/>
  <c r="U1396" i="1"/>
  <c r="U868" i="1"/>
  <c r="AW868" i="1" s="1"/>
  <c r="U867" i="1"/>
  <c r="U1902" i="1"/>
  <c r="AW1902" i="1" s="1"/>
  <c r="U1901" i="1"/>
  <c r="U1900" i="1"/>
  <c r="AW1900" i="1" s="1"/>
  <c r="U387" i="1"/>
  <c r="U386" i="1"/>
  <c r="U385" i="1"/>
  <c r="AW385" i="1" s="1"/>
  <c r="S862" i="1"/>
  <c r="U862" i="1" s="1"/>
  <c r="S861" i="1"/>
  <c r="U861" i="1" s="1"/>
  <c r="AW861" i="1" s="1"/>
  <c r="S860" i="1"/>
  <c r="U860" i="1" s="1"/>
  <c r="S859" i="1"/>
  <c r="U859" i="1" s="1"/>
  <c r="AW859" i="1" s="1"/>
  <c r="S858" i="1"/>
  <c r="U858" i="1" s="1"/>
  <c r="U1134" i="1"/>
  <c r="U1131" i="1"/>
  <c r="U1128" i="1"/>
  <c r="U1125" i="1"/>
  <c r="U1122" i="1"/>
  <c r="AW1122" i="1" s="1"/>
  <c r="T2176" i="1"/>
  <c r="S2176" i="1"/>
  <c r="T2175" i="1"/>
  <c r="S2175" i="1"/>
  <c r="T2174" i="1"/>
  <c r="S2174" i="1"/>
  <c r="T2173" i="1"/>
  <c r="S2173" i="1"/>
  <c r="T2172" i="1"/>
  <c r="S2172" i="1"/>
  <c r="T2171" i="1"/>
  <c r="S2171" i="1"/>
  <c r="T2170" i="1"/>
  <c r="S2170" i="1"/>
  <c r="T2169" i="1"/>
  <c r="S2169" i="1"/>
  <c r="T2168" i="1"/>
  <c r="S2168" i="1"/>
  <c r="T2167" i="1"/>
  <c r="S2167" i="1"/>
  <c r="T2166" i="1"/>
  <c r="S2166" i="1"/>
  <c r="T2165" i="1"/>
  <c r="U2165" i="1" s="1"/>
  <c r="AW2165" i="1" s="1"/>
  <c r="T2164" i="1"/>
  <c r="S2164" i="1"/>
  <c r="T2163" i="1"/>
  <c r="S2163" i="1"/>
  <c r="T2162" i="1"/>
  <c r="S2162" i="1"/>
  <c r="T2161" i="1"/>
  <c r="S2161" i="1"/>
  <c r="T2160" i="1"/>
  <c r="S2160" i="1"/>
  <c r="T2159" i="1"/>
  <c r="S2159" i="1"/>
  <c r="T2158" i="1"/>
  <c r="U2158" i="1" s="1"/>
  <c r="AW2158" i="1" s="1"/>
  <c r="T2157" i="1"/>
  <c r="U2157" i="1" s="1"/>
  <c r="AW2157" i="1" s="1"/>
  <c r="T2156" i="1"/>
  <c r="S2156" i="1"/>
  <c r="T2155" i="1"/>
  <c r="S2155" i="1"/>
  <c r="T2154" i="1"/>
  <c r="S2154" i="1"/>
  <c r="U1150" i="1"/>
  <c r="AW1150" i="1" s="1"/>
  <c r="U1148" i="1"/>
  <c r="AW1148" i="1" s="1"/>
  <c r="U1143" i="1"/>
  <c r="U1142" i="1"/>
  <c r="AW1142" i="1" s="1"/>
  <c r="U1141" i="1"/>
  <c r="AW1141" i="1" s="1"/>
  <c r="U1140" i="1"/>
  <c r="AW1140" i="1" s="1"/>
  <c r="U1139" i="1"/>
  <c r="AW1139" i="1" s="1"/>
  <c r="U1137" i="1"/>
  <c r="AW1137" i="1" s="1"/>
  <c r="U1136" i="1"/>
  <c r="AW1136" i="1" s="1"/>
  <c r="U584" i="1"/>
  <c r="AW584" i="1" s="1"/>
  <c r="U583" i="1"/>
  <c r="AW583" i="1" s="1"/>
  <c r="U582" i="1"/>
  <c r="AW582" i="1" s="1"/>
  <c r="S163" i="1"/>
  <c r="U163" i="1" s="1"/>
  <c r="AW163" i="1" s="1"/>
  <c r="T159" i="1"/>
  <c r="S159" i="1"/>
  <c r="T158" i="1"/>
  <c r="S158" i="1"/>
  <c r="T157" i="1"/>
  <c r="S157" i="1"/>
  <c r="U215" i="1"/>
  <c r="AW215" i="1" s="1"/>
  <c r="U2216" i="1"/>
  <c r="U2215" i="1"/>
  <c r="AW2215" i="1" s="1"/>
  <c r="T2206" i="1"/>
  <c r="S2206" i="1"/>
  <c r="T2205" i="1"/>
  <c r="S2205" i="1"/>
  <c r="T2204" i="1"/>
  <c r="S2204" i="1"/>
  <c r="T2203" i="1"/>
  <c r="S2203" i="1"/>
  <c r="T2202" i="1"/>
  <c r="S2202" i="1"/>
  <c r="T2201" i="1"/>
  <c r="S2201" i="1"/>
  <c r="T2200" i="1"/>
  <c r="S2200" i="1"/>
  <c r="T2199" i="1"/>
  <c r="S2199" i="1"/>
  <c r="U1053" i="1"/>
  <c r="AW1053" i="1" s="1"/>
  <c r="U1052" i="1"/>
  <c r="AW1052" i="1" s="1"/>
  <c r="U1051" i="1"/>
  <c r="AW1051" i="1" s="1"/>
  <c r="U1050" i="1"/>
  <c r="AW1050" i="1" s="1"/>
  <c r="U506" i="1"/>
  <c r="U503" i="1"/>
  <c r="AW503" i="1" s="1"/>
  <c r="U500" i="1"/>
  <c r="AW500" i="1" s="1"/>
  <c r="U497" i="1"/>
  <c r="U494" i="1"/>
  <c r="AW494" i="1" s="1"/>
  <c r="U492" i="1"/>
  <c r="AW492" i="1" s="1"/>
  <c r="U487" i="1"/>
  <c r="U484" i="1"/>
  <c r="AW484" i="1" s="1"/>
  <c r="U483" i="1"/>
  <c r="AW483" i="1" s="1"/>
  <c r="U479" i="1"/>
  <c r="U476" i="1"/>
  <c r="AW476" i="1" s="1"/>
  <c r="U473" i="1"/>
  <c r="AW473" i="1" s="1"/>
  <c r="U470" i="1"/>
  <c r="U467" i="1"/>
  <c r="AW467" i="1" s="1"/>
  <c r="U464" i="1"/>
  <c r="AW464" i="1" s="1"/>
  <c r="U461" i="1"/>
  <c r="U459" i="1"/>
  <c r="AW459" i="1" s="1"/>
  <c r="U456" i="1"/>
  <c r="AW456" i="1" s="1"/>
  <c r="U453" i="1"/>
  <c r="U450" i="1"/>
  <c r="AW450" i="1" s="1"/>
  <c r="U449" i="1"/>
  <c r="AW449" i="1" s="1"/>
  <c r="U445" i="1"/>
  <c r="V240" i="1"/>
  <c r="U575" i="1"/>
  <c r="AW575" i="1" s="1"/>
  <c r="U570" i="1"/>
  <c r="U565" i="1"/>
  <c r="AW565" i="1" s="1"/>
  <c r="T2214" i="1"/>
  <c r="S2214" i="1"/>
  <c r="T2213" i="1"/>
  <c r="S2213" i="1"/>
  <c r="T2212" i="1"/>
  <c r="S2212" i="1"/>
  <c r="T2211" i="1"/>
  <c r="S2211" i="1"/>
  <c r="T2210" i="1"/>
  <c r="S2210" i="1"/>
  <c r="T2209" i="1"/>
  <c r="S2209" i="1"/>
  <c r="T2208" i="1"/>
  <c r="S2208" i="1"/>
  <c r="T2207" i="1"/>
  <c r="S2207" i="1"/>
  <c r="U1987" i="1"/>
  <c r="AW1987" i="1" s="1"/>
  <c r="U1984" i="1"/>
  <c r="U580" i="1"/>
  <c r="AW580" i="1" s="1"/>
  <c r="U1167" i="1"/>
  <c r="AW1167" i="1" s="1"/>
  <c r="U1166" i="1"/>
  <c r="AW1166" i="1" s="1"/>
  <c r="V1405" i="1" l="1"/>
  <c r="AW1405" i="1"/>
  <c r="V1720" i="1"/>
  <c r="AW1720" i="1"/>
  <c r="V296" i="1"/>
  <c r="AW296" i="1"/>
  <c r="V1682" i="1"/>
  <c r="AW1682" i="1"/>
  <c r="V2134" i="1"/>
  <c r="AW2134" i="1"/>
  <c r="V752" i="1"/>
  <c r="AW752" i="1"/>
  <c r="V2026" i="1"/>
  <c r="AW2026" i="1"/>
  <c r="V377" i="1"/>
  <c r="AW377" i="1"/>
  <c r="V920" i="1"/>
  <c r="AW920" i="1"/>
  <c r="V1609" i="1"/>
  <c r="AW1609" i="1"/>
  <c r="V2303" i="1"/>
  <c r="AW2303" i="1"/>
  <c r="V1968" i="1"/>
  <c r="AW1968" i="1"/>
  <c r="V1098" i="1"/>
  <c r="AW1098" i="1"/>
  <c r="V1734" i="1"/>
  <c r="AW1734" i="1"/>
  <c r="V1704" i="1"/>
  <c r="AW1704" i="1"/>
  <c r="V1312" i="1"/>
  <c r="AW1312" i="1"/>
  <c r="V1074" i="1"/>
  <c r="AW1074" i="1"/>
  <c r="V1241" i="1"/>
  <c r="AW1241" i="1"/>
  <c r="V1427" i="1"/>
  <c r="AW1427" i="1"/>
  <c r="V1389" i="1"/>
  <c r="AW1389" i="1"/>
  <c r="V533" i="1"/>
  <c r="AW533" i="1"/>
  <c r="V1611" i="1"/>
  <c r="AW1611" i="1"/>
  <c r="V922" i="1"/>
  <c r="AW922" i="1"/>
  <c r="V1064" i="1"/>
  <c r="AW1064" i="1"/>
  <c r="V1957" i="1"/>
  <c r="AW1957" i="1"/>
  <c r="V1087" i="1"/>
  <c r="AW1087" i="1"/>
  <c r="V784" i="1"/>
  <c r="AW784" i="1"/>
  <c r="V1479" i="1"/>
  <c r="AW1479" i="1"/>
  <c r="V206" i="1"/>
  <c r="AW206" i="1"/>
  <c r="V2284" i="1"/>
  <c r="AW2284" i="1"/>
  <c r="V1278" i="1"/>
  <c r="AW1278" i="1"/>
  <c r="V1428" i="1"/>
  <c r="AW1428" i="1"/>
  <c r="V1357" i="1"/>
  <c r="AW1357" i="1"/>
  <c r="V1390" i="1"/>
  <c r="AW1390" i="1"/>
  <c r="V807" i="1"/>
  <c r="AW807" i="1"/>
  <c r="V843" i="1"/>
  <c r="AW843" i="1"/>
  <c r="V585" i="1"/>
  <c r="AW585" i="1"/>
  <c r="V1896" i="1"/>
  <c r="AW1896" i="1"/>
  <c r="V1049" i="1"/>
  <c r="AW1049" i="1"/>
  <c r="V2141" i="1"/>
  <c r="AW2141" i="1"/>
  <c r="V2142" i="1"/>
  <c r="AW2142" i="1"/>
  <c r="V881" i="1"/>
  <c r="AW881" i="1"/>
  <c r="V438" i="1"/>
  <c r="AW438" i="1"/>
  <c r="V2232" i="1"/>
  <c r="AW2232" i="1"/>
  <c r="V1185" i="1"/>
  <c r="AW1185" i="1"/>
  <c r="V2227" i="1"/>
  <c r="AW2227" i="1"/>
  <c r="V1842" i="1"/>
  <c r="AW1842" i="1"/>
  <c r="V2078" i="1"/>
  <c r="AW2078" i="1"/>
  <c r="V730" i="1"/>
  <c r="AW730" i="1"/>
  <c r="V777" i="1"/>
  <c r="AW777" i="1"/>
  <c r="V1868" i="1"/>
  <c r="AW1868" i="1"/>
  <c r="V393" i="1"/>
  <c r="AW393" i="1"/>
  <c r="V1175" i="1"/>
  <c r="AW1175" i="1"/>
  <c r="V2234" i="1"/>
  <c r="AW2234" i="1"/>
  <c r="V1498" i="1"/>
  <c r="AW1498" i="1"/>
  <c r="V534" i="1"/>
  <c r="AW534" i="1"/>
  <c r="V116" i="1"/>
  <c r="AW116" i="1"/>
  <c r="V509" i="1"/>
  <c r="AW509" i="1"/>
  <c r="V550" i="1"/>
  <c r="AW550" i="1"/>
  <c r="V2283" i="1"/>
  <c r="AW2283" i="1"/>
  <c r="V1612" i="1"/>
  <c r="AW1612" i="1"/>
  <c r="V1396" i="1"/>
  <c r="AW1396" i="1"/>
  <c r="V1408" i="1"/>
  <c r="AW1408" i="1"/>
  <c r="V1375" i="1"/>
  <c r="AW1375" i="1"/>
  <c r="V1447" i="1"/>
  <c r="AW1447" i="1"/>
  <c r="V1123" i="1"/>
  <c r="AW1123" i="1"/>
  <c r="V674" i="1"/>
  <c r="AW674" i="1"/>
  <c r="V229" i="1"/>
  <c r="AW229" i="1"/>
  <c r="V1065" i="1"/>
  <c r="AW1065" i="1"/>
  <c r="V2259" i="1"/>
  <c r="AW2259" i="1"/>
  <c r="V1322" i="1"/>
  <c r="AW1322" i="1"/>
  <c r="V1723" i="1"/>
  <c r="AW1723" i="1"/>
  <c r="V694" i="1"/>
  <c r="AW694" i="1"/>
  <c r="V1650" i="1"/>
  <c r="AW1650" i="1"/>
  <c r="V1662" i="1"/>
  <c r="AW1662" i="1"/>
  <c r="V2302" i="1"/>
  <c r="AW2302" i="1"/>
  <c r="V2058" i="1"/>
  <c r="AW2058" i="1"/>
  <c r="V2061" i="1"/>
  <c r="AW2061" i="1"/>
  <c r="V1995" i="1"/>
  <c r="AW1995" i="1"/>
  <c r="V1130" i="1"/>
  <c r="AW1130" i="1"/>
  <c r="V452" i="1"/>
  <c r="AW452" i="1"/>
  <c r="V482" i="1"/>
  <c r="AW482" i="1"/>
  <c r="V990" i="1"/>
  <c r="AW990" i="1"/>
  <c r="V1002" i="1"/>
  <c r="AW1002" i="1"/>
  <c r="V2090" i="1"/>
  <c r="AW2090" i="1"/>
  <c r="V2305" i="1"/>
  <c r="AW2305" i="1"/>
  <c r="V1673" i="1"/>
  <c r="AW1673" i="1"/>
  <c r="V1685" i="1"/>
  <c r="AW1685" i="1"/>
  <c r="V1697" i="1"/>
  <c r="AW1697" i="1"/>
  <c r="V924" i="1"/>
  <c r="AW924" i="1"/>
  <c r="V1982" i="1"/>
  <c r="AW1982" i="1"/>
  <c r="V698" i="1"/>
  <c r="AW698" i="1"/>
  <c r="V270" i="1"/>
  <c r="AW270" i="1"/>
  <c r="V1112" i="1"/>
  <c r="AW1112" i="1"/>
  <c r="V43" i="1"/>
  <c r="AW43" i="1"/>
  <c r="V53" i="1"/>
  <c r="AW53" i="1"/>
  <c r="V1989" i="1"/>
  <c r="AW1989" i="1"/>
  <c r="V222" i="1"/>
  <c r="AW222" i="1"/>
  <c r="V1943" i="1"/>
  <c r="AW1943" i="1"/>
  <c r="V588" i="1"/>
  <c r="AW588" i="1"/>
  <c r="V717" i="1"/>
  <c r="AW717" i="1"/>
  <c r="V773" i="1"/>
  <c r="AW773" i="1"/>
  <c r="V278" i="1"/>
  <c r="AW278" i="1"/>
  <c r="V290" i="1"/>
  <c r="AW290" i="1"/>
  <c r="V1948" i="1"/>
  <c r="AW1948" i="1"/>
  <c r="V1537" i="1"/>
  <c r="AW1537" i="1"/>
  <c r="V1170" i="1"/>
  <c r="AW1170" i="1"/>
  <c r="V75" i="1"/>
  <c r="AW75" i="1"/>
  <c r="V2034" i="1"/>
  <c r="AW2034" i="1"/>
  <c r="V544" i="1"/>
  <c r="AW544" i="1"/>
  <c r="V931" i="1"/>
  <c r="AW931" i="1"/>
  <c r="V1318" i="1"/>
  <c r="AW1318" i="1"/>
  <c r="V723" i="1"/>
  <c r="AW723" i="1"/>
  <c r="V785" i="1"/>
  <c r="AW785" i="1"/>
  <c r="V315" i="1"/>
  <c r="AW315" i="1"/>
  <c r="V1492" i="1"/>
  <c r="AW1492" i="1"/>
  <c r="V2290" i="1"/>
  <c r="AW2290" i="1"/>
  <c r="V422" i="1"/>
  <c r="AW422" i="1"/>
  <c r="V865" i="1"/>
  <c r="AW865" i="1"/>
  <c r="V1219" i="1"/>
  <c r="AW1219" i="1"/>
  <c r="V1231" i="1"/>
  <c r="AW1231" i="1"/>
  <c r="V1243" i="1"/>
  <c r="AW1243" i="1"/>
  <c r="V1255" i="1"/>
  <c r="AW1255" i="1"/>
  <c r="V1267" i="1"/>
  <c r="AW1267" i="1"/>
  <c r="V1279" i="1"/>
  <c r="AW1279" i="1"/>
  <c r="V1291" i="1"/>
  <c r="AW1291" i="1"/>
  <c r="V1429" i="1"/>
  <c r="AW1429" i="1"/>
  <c r="V1041" i="1"/>
  <c r="AW1041" i="1"/>
  <c r="V65" i="1"/>
  <c r="AW65" i="1"/>
  <c r="V572" i="1"/>
  <c r="AW572" i="1"/>
  <c r="V579" i="1"/>
  <c r="AW579" i="1"/>
  <c r="V808" i="1"/>
  <c r="AW808" i="1"/>
  <c r="V832" i="1"/>
  <c r="AW832" i="1"/>
  <c r="V586" i="1"/>
  <c r="AW586" i="1"/>
  <c r="V1897" i="1"/>
  <c r="AW1897" i="1"/>
  <c r="V2146" i="1"/>
  <c r="AW2146" i="1"/>
  <c r="V96" i="1"/>
  <c r="AW96" i="1"/>
  <c r="V2149" i="1"/>
  <c r="AW2149" i="1"/>
  <c r="V882" i="1"/>
  <c r="AW882" i="1"/>
  <c r="V894" i="1"/>
  <c r="AW894" i="1"/>
  <c r="V906" i="1"/>
  <c r="AW906" i="1"/>
  <c r="V2238" i="1"/>
  <c r="AW2238" i="1"/>
  <c r="V2233" i="1"/>
  <c r="AW2233" i="1"/>
  <c r="V2055" i="1"/>
  <c r="AW2055" i="1"/>
  <c r="V1184" i="1"/>
  <c r="AW1184" i="1"/>
  <c r="V394" i="1"/>
  <c r="AW394" i="1"/>
  <c r="V2240" i="1"/>
  <c r="AW2240" i="1"/>
  <c r="V117" i="1"/>
  <c r="AW117" i="1"/>
  <c r="V551" i="1"/>
  <c r="AW551" i="1"/>
  <c r="V2289" i="1"/>
  <c r="AW2289" i="1"/>
  <c r="V2188" i="1"/>
  <c r="AW2188" i="1"/>
  <c r="V1984" i="1"/>
  <c r="AW1984" i="1"/>
  <c r="V1372" i="1"/>
  <c r="AW1372" i="1"/>
  <c r="V1881" i="1"/>
  <c r="AW1881" i="1"/>
  <c r="V1062" i="1"/>
  <c r="AW1062" i="1"/>
  <c r="V1659" i="1"/>
  <c r="AW1659" i="1"/>
  <c r="V1670" i="1"/>
  <c r="AW1670" i="1"/>
  <c r="V367" i="1"/>
  <c r="AW367" i="1"/>
  <c r="V2138" i="1"/>
  <c r="AW2138" i="1"/>
  <c r="V1288" i="1"/>
  <c r="AW1288" i="1"/>
  <c r="V1047" i="1"/>
  <c r="AW1047" i="1"/>
  <c r="V879" i="1"/>
  <c r="AW879" i="1"/>
  <c r="V2220" i="1"/>
  <c r="AW2220" i="1"/>
  <c r="V867" i="1"/>
  <c r="AW867" i="1"/>
  <c r="V1597" i="1"/>
  <c r="AW1597" i="1"/>
  <c r="V658" i="1"/>
  <c r="AW658" i="1"/>
  <c r="V1000" i="1"/>
  <c r="AW1000" i="1"/>
  <c r="V1717" i="1"/>
  <c r="AW1717" i="1"/>
  <c r="V2143" i="1"/>
  <c r="AW2143" i="1"/>
  <c r="V761" i="1"/>
  <c r="AW761" i="1"/>
  <c r="V1827" i="1"/>
  <c r="AW1827" i="1"/>
  <c r="V2152" i="1"/>
  <c r="AW2152" i="1"/>
  <c r="V1217" i="1"/>
  <c r="AW1217" i="1"/>
  <c r="V1439" i="1"/>
  <c r="AW1439" i="1"/>
  <c r="V981" i="1"/>
  <c r="AW981" i="1"/>
  <c r="V1574" i="1"/>
  <c r="AW1574" i="1"/>
  <c r="V405" i="1"/>
  <c r="AW405" i="1"/>
  <c r="V1735" i="1"/>
  <c r="AW1735" i="1"/>
  <c r="V722" i="1"/>
  <c r="AW722" i="1"/>
  <c r="V1019" i="1"/>
  <c r="AW1019" i="1"/>
  <c r="V1491" i="1"/>
  <c r="AW1491" i="1"/>
  <c r="V2153" i="1"/>
  <c r="AW2153" i="1"/>
  <c r="V1075" i="1"/>
  <c r="AW1075" i="1"/>
  <c r="V705" i="1"/>
  <c r="AW705" i="1"/>
  <c r="V64" i="1"/>
  <c r="AW64" i="1"/>
  <c r="V819" i="1"/>
  <c r="AW819" i="1"/>
  <c r="V461" i="1"/>
  <c r="AW461" i="1"/>
  <c r="V497" i="1"/>
  <c r="AW497" i="1"/>
  <c r="V860" i="1"/>
  <c r="AW860" i="1"/>
  <c r="V1397" i="1"/>
  <c r="AW1397" i="1"/>
  <c r="V1409" i="1"/>
  <c r="AW1409" i="1"/>
  <c r="V1448" i="1"/>
  <c r="AW1448" i="1"/>
  <c r="V2029" i="1"/>
  <c r="AW2029" i="1"/>
  <c r="V1804" i="1"/>
  <c r="AW1804" i="1"/>
  <c r="V380" i="1"/>
  <c r="AW380" i="1"/>
  <c r="V1346" i="1"/>
  <c r="AW1346" i="1"/>
  <c r="V2264" i="1"/>
  <c r="AW2264" i="1"/>
  <c r="V1797" i="1"/>
  <c r="AW1797" i="1"/>
  <c r="V695" i="1"/>
  <c r="AW695" i="1"/>
  <c r="V909" i="1"/>
  <c r="AW909" i="1"/>
  <c r="V1588" i="1"/>
  <c r="AW1588" i="1"/>
  <c r="V1600" i="1"/>
  <c r="AW1600" i="1"/>
  <c r="V407" i="1"/>
  <c r="AW407" i="1"/>
  <c r="V711" i="1"/>
  <c r="AW711" i="1"/>
  <c r="V792" i="1"/>
  <c r="AW792" i="1"/>
  <c r="V2060" i="1"/>
  <c r="AW2060" i="1"/>
  <c r="V2063" i="1"/>
  <c r="AW2063" i="1"/>
  <c r="V991" i="1"/>
  <c r="AW991" i="1"/>
  <c r="V1003" i="1"/>
  <c r="AW1003" i="1"/>
  <c r="V2091" i="1"/>
  <c r="AW2091" i="1"/>
  <c r="V2306" i="1"/>
  <c r="AW2306" i="1"/>
  <c r="V1674" i="1"/>
  <c r="AW1674" i="1"/>
  <c r="V1686" i="1"/>
  <c r="AW1686" i="1"/>
  <c r="V1698" i="1"/>
  <c r="AW1698" i="1"/>
  <c r="V1872" i="1"/>
  <c r="AW1872" i="1"/>
  <c r="V1959" i="1"/>
  <c r="AW1959" i="1"/>
  <c r="V1971" i="1"/>
  <c r="AW1971" i="1"/>
  <c r="V1983" i="1"/>
  <c r="AW1983" i="1"/>
  <c r="V699" i="1"/>
  <c r="AW699" i="1"/>
  <c r="V595" i="1"/>
  <c r="AW595" i="1"/>
  <c r="V62" i="1"/>
  <c r="AW62" i="1"/>
  <c r="V652" i="1"/>
  <c r="AW652" i="1"/>
  <c r="V1866" i="1"/>
  <c r="AW1866" i="1"/>
  <c r="V57" i="1"/>
  <c r="AW57" i="1"/>
  <c r="V739" i="1"/>
  <c r="AW739" i="1"/>
  <c r="V279" i="1"/>
  <c r="AW279" i="1"/>
  <c r="V415" i="1"/>
  <c r="AW415" i="1"/>
  <c r="V1538" i="1"/>
  <c r="AW1538" i="1"/>
  <c r="V1171" i="1"/>
  <c r="AW1171" i="1"/>
  <c r="V107" i="1"/>
  <c r="AW107" i="1"/>
  <c r="V328" i="1"/>
  <c r="AW328" i="1"/>
  <c r="V340" i="1"/>
  <c r="AW340" i="1"/>
  <c r="V76" i="1"/>
  <c r="AW76" i="1"/>
  <c r="V2037" i="1"/>
  <c r="AW2037" i="1"/>
  <c r="V545" i="1"/>
  <c r="AW545" i="1"/>
  <c r="V927" i="1"/>
  <c r="AW927" i="1"/>
  <c r="V1321" i="1"/>
  <c r="AW1321" i="1"/>
  <c r="V724" i="1"/>
  <c r="AW724" i="1"/>
  <c r="V786" i="1"/>
  <c r="AW786" i="1"/>
  <c r="V1869" i="1"/>
  <c r="AW1869" i="1"/>
  <c r="V1180" i="1"/>
  <c r="AW1180" i="1"/>
  <c r="V1493" i="1"/>
  <c r="AW1493" i="1"/>
  <c r="V208" i="1"/>
  <c r="AW208" i="1"/>
  <c r="V2225" i="1"/>
  <c r="AW2225" i="1"/>
  <c r="V2296" i="1"/>
  <c r="AW2296" i="1"/>
  <c r="V1077" i="1"/>
  <c r="AW1077" i="1"/>
  <c r="V593" i="1"/>
  <c r="AW593" i="1"/>
  <c r="V1220" i="1"/>
  <c r="AW1220" i="1"/>
  <c r="V1232" i="1"/>
  <c r="AW1232" i="1"/>
  <c r="V1244" i="1"/>
  <c r="AW1244" i="1"/>
  <c r="V1256" i="1"/>
  <c r="AW1256" i="1"/>
  <c r="V1268" i="1"/>
  <c r="AW1268" i="1"/>
  <c r="V1280" i="1"/>
  <c r="AW1280" i="1"/>
  <c r="V1292" i="1"/>
  <c r="AW1292" i="1"/>
  <c r="V1304" i="1"/>
  <c r="AW1304" i="1"/>
  <c r="V1430" i="1"/>
  <c r="AW1430" i="1"/>
  <c r="V1359" i="1"/>
  <c r="AW1359" i="1"/>
  <c r="V66" i="1"/>
  <c r="AW66" i="1"/>
  <c r="V1898" i="1"/>
  <c r="AW1898" i="1"/>
  <c r="V660" i="1"/>
  <c r="AW660" i="1"/>
  <c r="V614" i="1"/>
  <c r="AW614" i="1"/>
  <c r="V2100" i="1"/>
  <c r="AW2100" i="1"/>
  <c r="V97" i="1"/>
  <c r="AW97" i="1"/>
  <c r="V2244" i="1"/>
  <c r="AW2244" i="1"/>
  <c r="V2080" i="1"/>
  <c r="AW2080" i="1"/>
  <c r="V302" i="1"/>
  <c r="AW302" i="1"/>
  <c r="V1614" i="1"/>
  <c r="AW1614" i="1"/>
  <c r="V1444" i="1"/>
  <c r="AW1444" i="1"/>
  <c r="V9" i="1"/>
  <c r="AW9" i="1"/>
  <c r="V919" i="1"/>
  <c r="AW919" i="1"/>
  <c r="V2087" i="1"/>
  <c r="AW2087" i="1"/>
  <c r="V1955" i="1"/>
  <c r="AW1955" i="1"/>
  <c r="V1634" i="1"/>
  <c r="AW1634" i="1"/>
  <c r="V2017" i="1"/>
  <c r="AW2017" i="1"/>
  <c r="V1240" i="1"/>
  <c r="AW1240" i="1"/>
  <c r="V1438" i="1"/>
  <c r="AW1438" i="1"/>
  <c r="V960" i="1"/>
  <c r="AW960" i="1"/>
  <c r="V829" i="1"/>
  <c r="AW829" i="1"/>
  <c r="V1894" i="1"/>
  <c r="AW1894" i="1"/>
  <c r="V728" i="1"/>
  <c r="AW728" i="1"/>
  <c r="V391" i="1"/>
  <c r="AW391" i="1"/>
  <c r="V519" i="1"/>
  <c r="AW519" i="1"/>
  <c r="V980" i="1"/>
  <c r="AW980" i="1"/>
  <c r="V1671" i="1"/>
  <c r="AW1671" i="1"/>
  <c r="V1701" i="1"/>
  <c r="AW1701" i="1"/>
  <c r="V1110" i="1"/>
  <c r="AW1110" i="1"/>
  <c r="V946" i="1"/>
  <c r="AW946" i="1"/>
  <c r="V276" i="1"/>
  <c r="AW276" i="1"/>
  <c r="V721" i="1"/>
  <c r="AW721" i="1"/>
  <c r="V1177" i="1"/>
  <c r="AW1177" i="1"/>
  <c r="V1277" i="1"/>
  <c r="AW1277" i="1"/>
  <c r="V949" i="1"/>
  <c r="AW949" i="1"/>
  <c r="V1446" i="1"/>
  <c r="AW1446" i="1"/>
  <c r="V1792" i="1"/>
  <c r="AW1792" i="1"/>
  <c r="V378" i="1"/>
  <c r="AW378" i="1"/>
  <c r="V1969" i="1"/>
  <c r="AW1969" i="1"/>
  <c r="V1111" i="1"/>
  <c r="AW1111" i="1"/>
  <c r="V772" i="1"/>
  <c r="AW772" i="1"/>
  <c r="V686" i="1"/>
  <c r="AW686" i="1"/>
  <c r="V543" i="1"/>
  <c r="AW543" i="1"/>
  <c r="V1856" i="1"/>
  <c r="AW1856" i="1"/>
  <c r="V2216" i="1"/>
  <c r="AW2216" i="1"/>
  <c r="V1398" i="1"/>
  <c r="AW1398" i="1"/>
  <c r="V1412" i="1"/>
  <c r="AW1412" i="1"/>
  <c r="V1189" i="1"/>
  <c r="AW1189" i="1"/>
  <c r="V1589" i="1"/>
  <c r="AW1589" i="1"/>
  <c r="V653" i="1"/>
  <c r="AW653" i="1"/>
  <c r="V108" i="1"/>
  <c r="AW108" i="1"/>
  <c r="V2038" i="1"/>
  <c r="AW2038" i="1"/>
  <c r="V725" i="1"/>
  <c r="AW725" i="1"/>
  <c r="V1181" i="1"/>
  <c r="AW1181" i="1"/>
  <c r="V1494" i="1"/>
  <c r="AW1494" i="1"/>
  <c r="V1431" i="1"/>
  <c r="AW1431" i="1"/>
  <c r="V846" i="1"/>
  <c r="AW846" i="1"/>
  <c r="V1042" i="1"/>
  <c r="AW1042" i="1"/>
  <c r="V1711" i="1"/>
  <c r="AW1711" i="1"/>
  <c r="V2105" i="1"/>
  <c r="AW2105" i="1"/>
  <c r="V164" i="1"/>
  <c r="AW164" i="1"/>
  <c r="V1033" i="1"/>
  <c r="AW1033" i="1"/>
  <c r="V745" i="1"/>
  <c r="AW745" i="1"/>
  <c r="V780" i="1"/>
  <c r="AW780" i="1"/>
  <c r="V1523" i="1"/>
  <c r="AW1523" i="1"/>
  <c r="V2039" i="1"/>
  <c r="AW2039" i="1"/>
  <c r="V537" i="1"/>
  <c r="AW537" i="1"/>
  <c r="V559" i="1"/>
  <c r="AW559" i="1"/>
  <c r="V2230" i="1"/>
  <c r="AW2230" i="1"/>
  <c r="V2190" i="1"/>
  <c r="AW2190" i="1"/>
  <c r="V862" i="1"/>
  <c r="AW862" i="1"/>
  <c r="V1399" i="1"/>
  <c r="AW1399" i="1"/>
  <c r="V1366" i="1"/>
  <c r="AW1366" i="1"/>
  <c r="V1378" i="1"/>
  <c r="AW1378" i="1"/>
  <c r="V1450" i="1"/>
  <c r="AW1450" i="1"/>
  <c r="V6" i="1"/>
  <c r="AW6" i="1"/>
  <c r="V1911" i="1"/>
  <c r="AW1911" i="1"/>
  <c r="V1425" i="1"/>
  <c r="AW1425" i="1"/>
  <c r="V1056" i="1"/>
  <c r="AW1056" i="1"/>
  <c r="V1204" i="1"/>
  <c r="AW1204" i="1"/>
  <c r="V2270" i="1"/>
  <c r="AW2270" i="1"/>
  <c r="V1329" i="1"/>
  <c r="AW1329" i="1"/>
  <c r="V1653" i="1"/>
  <c r="AW1653" i="1"/>
  <c r="V1665" i="1"/>
  <c r="AW1665" i="1"/>
  <c r="V800" i="1"/>
  <c r="AW800" i="1"/>
  <c r="V969" i="1"/>
  <c r="AW969" i="1"/>
  <c r="V2065" i="1"/>
  <c r="AW2065" i="1"/>
  <c r="V489" i="1"/>
  <c r="AW489" i="1"/>
  <c r="V993" i="1"/>
  <c r="AW993" i="1"/>
  <c r="V1005" i="1"/>
  <c r="AW1005" i="1"/>
  <c r="V2093" i="1"/>
  <c r="AW2093" i="1"/>
  <c r="V2308" i="1"/>
  <c r="AW2308" i="1"/>
  <c r="V1676" i="1"/>
  <c r="AW1676" i="1"/>
  <c r="V1688" i="1"/>
  <c r="AW1688" i="1"/>
  <c r="V1874" i="1"/>
  <c r="AW1874" i="1"/>
  <c r="V1973" i="1"/>
  <c r="AW1973" i="1"/>
  <c r="V1186" i="1"/>
  <c r="AW1186" i="1"/>
  <c r="V1776" i="1"/>
  <c r="AW1776" i="1"/>
  <c r="V654" i="1"/>
  <c r="AW654" i="1"/>
  <c r="V656" i="1"/>
  <c r="AW656" i="1"/>
  <c r="V1161" i="1"/>
  <c r="AW1161" i="1"/>
  <c r="V1550" i="1"/>
  <c r="AW1550" i="1"/>
  <c r="V1949" i="1"/>
  <c r="AW1949" i="1"/>
  <c r="V1770" i="1"/>
  <c r="AW1770" i="1"/>
  <c r="V720" i="1"/>
  <c r="AW720" i="1"/>
  <c r="V741" i="1"/>
  <c r="AW741" i="1"/>
  <c r="V31" i="1"/>
  <c r="AW31" i="1"/>
  <c r="V1027" i="1"/>
  <c r="AW1027" i="1"/>
  <c r="V1540" i="1"/>
  <c r="AW1540" i="1"/>
  <c r="V1705" i="1"/>
  <c r="AW1705" i="1"/>
  <c r="V2108" i="1"/>
  <c r="AW2108" i="1"/>
  <c r="V520" i="1"/>
  <c r="AW520" i="1"/>
  <c r="V547" i="1"/>
  <c r="AW547" i="1"/>
  <c r="V933" i="1"/>
  <c r="AW933" i="1"/>
  <c r="V1326" i="1"/>
  <c r="AW1326" i="1"/>
  <c r="V726" i="1"/>
  <c r="AW726" i="1"/>
  <c r="V788" i="1"/>
  <c r="AW788" i="1"/>
  <c r="V1871" i="1"/>
  <c r="AW1871" i="1"/>
  <c r="V964" i="1"/>
  <c r="AW964" i="1"/>
  <c r="V616" i="1"/>
  <c r="AW616" i="1"/>
  <c r="V1079" i="1"/>
  <c r="AW1079" i="1"/>
  <c r="V425" i="1"/>
  <c r="AW425" i="1"/>
  <c r="V599" i="1"/>
  <c r="AW599" i="1"/>
  <c r="V325" i="1"/>
  <c r="AW325" i="1"/>
  <c r="V1222" i="1"/>
  <c r="AW1222" i="1"/>
  <c r="V1234" i="1"/>
  <c r="AW1234" i="1"/>
  <c r="V1246" i="1"/>
  <c r="AW1246" i="1"/>
  <c r="V1258" i="1"/>
  <c r="AW1258" i="1"/>
  <c r="V1270" i="1"/>
  <c r="AW1270" i="1"/>
  <c r="V1282" i="1"/>
  <c r="AW1282" i="1"/>
  <c r="V1294" i="1"/>
  <c r="AW1294" i="1"/>
  <c r="V1432" i="1"/>
  <c r="AW1432" i="1"/>
  <c r="V954" i="1"/>
  <c r="AW954" i="1"/>
  <c r="V1382" i="1"/>
  <c r="AW1382" i="1"/>
  <c r="V1394" i="1"/>
  <c r="AW1394" i="1"/>
  <c r="V811" i="1"/>
  <c r="AW811" i="1"/>
  <c r="V823" i="1"/>
  <c r="AW823" i="1"/>
  <c r="V847" i="1"/>
  <c r="AW847" i="1"/>
  <c r="V1985" i="1"/>
  <c r="AW1985" i="1"/>
  <c r="V1155" i="1"/>
  <c r="AW1155" i="1"/>
  <c r="V1144" i="1"/>
  <c r="AW1144" i="1"/>
  <c r="V87" i="1"/>
  <c r="AW87" i="1"/>
  <c r="V2104" i="1"/>
  <c r="AW2104" i="1"/>
  <c r="V873" i="1"/>
  <c r="AW873" i="1"/>
  <c r="V885" i="1"/>
  <c r="AW885" i="1"/>
  <c r="V897" i="1"/>
  <c r="AW897" i="1"/>
  <c r="V1801" i="1"/>
  <c r="AW1801" i="1"/>
  <c r="V442" i="1"/>
  <c r="AW442" i="1"/>
  <c r="V1838" i="1"/>
  <c r="AW1838" i="1"/>
  <c r="V2082" i="1"/>
  <c r="AW2082" i="1"/>
  <c r="V781" i="1"/>
  <c r="AW781" i="1"/>
  <c r="V1840" i="1"/>
  <c r="AW1840" i="1"/>
  <c r="V2258" i="1"/>
  <c r="AW2258" i="1"/>
  <c r="V926" i="1"/>
  <c r="AW926" i="1"/>
  <c r="V1619" i="1"/>
  <c r="AW1619" i="1"/>
  <c r="V1847" i="1"/>
  <c r="AW1847" i="1"/>
  <c r="V1300" i="1"/>
  <c r="AW1300" i="1"/>
  <c r="V1808" i="1"/>
  <c r="AW1808" i="1"/>
  <c r="V93" i="1"/>
  <c r="AW93" i="1"/>
  <c r="V1862" i="1"/>
  <c r="AW1862" i="1"/>
  <c r="V1547" i="1"/>
  <c r="AW1547" i="1"/>
  <c r="V453" i="1"/>
  <c r="AW453" i="1"/>
  <c r="V610" i="1"/>
  <c r="AW610" i="1"/>
  <c r="V1683" i="1"/>
  <c r="AW1683" i="1"/>
  <c r="V1500" i="1"/>
  <c r="AW1500" i="1"/>
  <c r="V1635" i="1"/>
  <c r="AW1635" i="1"/>
  <c r="V715" i="1"/>
  <c r="AW715" i="1"/>
  <c r="V1535" i="1"/>
  <c r="AW1535" i="1"/>
  <c r="V925" i="1"/>
  <c r="AW925" i="1"/>
  <c r="V313" i="1"/>
  <c r="AW313" i="1"/>
  <c r="V1490" i="1"/>
  <c r="AW1490" i="1"/>
  <c r="V691" i="1"/>
  <c r="AW691" i="1"/>
  <c r="V1301" i="1"/>
  <c r="AW1301" i="1"/>
  <c r="V2136" i="1"/>
  <c r="AW2136" i="1"/>
  <c r="V228" i="1"/>
  <c r="AW228" i="1"/>
  <c r="V1319" i="1"/>
  <c r="AW1319" i="1"/>
  <c r="V1586" i="1"/>
  <c r="AW1586" i="1"/>
  <c r="V1981" i="1"/>
  <c r="AW1981" i="1"/>
  <c r="V1099" i="1"/>
  <c r="AW1099" i="1"/>
  <c r="V1860" i="1"/>
  <c r="AW1860" i="1"/>
  <c r="V1640" i="1"/>
  <c r="AW1640" i="1"/>
  <c r="V277" i="1"/>
  <c r="AW277" i="1"/>
  <c r="V338" i="1"/>
  <c r="AW338" i="1"/>
  <c r="V1330" i="1"/>
  <c r="AW1330" i="1"/>
  <c r="V1178" i="1"/>
  <c r="AW1178" i="1"/>
  <c r="V1467" i="1"/>
  <c r="AW1467" i="1"/>
  <c r="V1302" i="1"/>
  <c r="AW1302" i="1"/>
  <c r="V984" i="1"/>
  <c r="AW984" i="1"/>
  <c r="V1577" i="1"/>
  <c r="AW1577" i="1"/>
  <c r="V455" i="1"/>
  <c r="AW455" i="1"/>
  <c r="V1960" i="1"/>
  <c r="AW1960" i="1"/>
  <c r="V1504" i="1"/>
  <c r="AW1504" i="1"/>
  <c r="V30" i="1"/>
  <c r="AW30" i="1"/>
  <c r="V1324" i="1"/>
  <c r="AW1324" i="1"/>
  <c r="V963" i="1"/>
  <c r="AW963" i="1"/>
  <c r="V1482" i="1"/>
  <c r="AW1482" i="1"/>
  <c r="V2231" i="1"/>
  <c r="AW2231" i="1"/>
  <c r="V708" i="1"/>
  <c r="AW708" i="1"/>
  <c r="V1233" i="1"/>
  <c r="AW1233" i="1"/>
  <c r="V1293" i="1"/>
  <c r="AW1293" i="1"/>
  <c r="V1360" i="1"/>
  <c r="AW1360" i="1"/>
  <c r="V1899" i="1"/>
  <c r="AW1899" i="1"/>
  <c r="V615" i="1"/>
  <c r="AW615" i="1"/>
  <c r="V1138" i="1"/>
  <c r="AW1138" i="1"/>
  <c r="V2250" i="1"/>
  <c r="AW2250" i="1"/>
  <c r="V2081" i="1"/>
  <c r="AW2081" i="1"/>
  <c r="V396" i="1"/>
  <c r="AW396" i="1"/>
  <c r="V2252" i="1"/>
  <c r="AW2252" i="1"/>
  <c r="V119" i="1"/>
  <c r="AW119" i="1"/>
  <c r="V512" i="1"/>
  <c r="AW512" i="1"/>
  <c r="V1191" i="1"/>
  <c r="AW1191" i="1"/>
  <c r="V570" i="1"/>
  <c r="AW570" i="1"/>
  <c r="V470" i="1"/>
  <c r="AW470" i="1"/>
  <c r="V506" i="1"/>
  <c r="AW506" i="1"/>
  <c r="V1367" i="1"/>
  <c r="AW1367" i="1"/>
  <c r="V1451" i="1"/>
  <c r="AW1451" i="1"/>
  <c r="V923" i="1"/>
  <c r="AW923" i="1"/>
  <c r="V1135" i="1"/>
  <c r="AW1135" i="1"/>
  <c r="V2020" i="1"/>
  <c r="AW2020" i="1"/>
  <c r="V2032" i="1"/>
  <c r="AW2032" i="1"/>
  <c r="V1809" i="1"/>
  <c r="AW1809" i="1"/>
  <c r="V1912" i="1"/>
  <c r="AW1912" i="1"/>
  <c r="V1414" i="1"/>
  <c r="AW1414" i="1"/>
  <c r="V1057" i="1"/>
  <c r="AW1057" i="1"/>
  <c r="V1841" i="1"/>
  <c r="AW1841" i="1"/>
  <c r="V2276" i="1"/>
  <c r="AW2276" i="1"/>
  <c r="V1861" i="1"/>
  <c r="AW1861" i="1"/>
  <c r="V1531" i="1"/>
  <c r="AW1531" i="1"/>
  <c r="V1342" i="1"/>
  <c r="AW1342" i="1"/>
  <c r="V714" i="1"/>
  <c r="AW714" i="1"/>
  <c r="V973" i="1"/>
  <c r="AW973" i="1"/>
  <c r="V2066" i="1"/>
  <c r="AW2066" i="1"/>
  <c r="V460" i="1"/>
  <c r="AW460" i="1"/>
  <c r="V491" i="1"/>
  <c r="AW491" i="1"/>
  <c r="V994" i="1"/>
  <c r="AW994" i="1"/>
  <c r="V1006" i="1"/>
  <c r="AW1006" i="1"/>
  <c r="V2094" i="1"/>
  <c r="AW2094" i="1"/>
  <c r="V2309" i="1"/>
  <c r="AW2309" i="1"/>
  <c r="V1677" i="1"/>
  <c r="AW1677" i="1"/>
  <c r="V1689" i="1"/>
  <c r="AW1689" i="1"/>
  <c r="V1875" i="1"/>
  <c r="AW1875" i="1"/>
  <c r="V1962" i="1"/>
  <c r="AW1962" i="1"/>
  <c r="V1974" i="1"/>
  <c r="AW1974" i="1"/>
  <c r="V1188" i="1"/>
  <c r="AW1188" i="1"/>
  <c r="V702" i="1"/>
  <c r="AW702" i="1"/>
  <c r="V24" i="1"/>
  <c r="AW24" i="1"/>
  <c r="V1777" i="1"/>
  <c r="AW1777" i="1"/>
  <c r="V1506" i="1"/>
  <c r="AW1506" i="1"/>
  <c r="V1771" i="1"/>
  <c r="AW1771" i="1"/>
  <c r="V1116" i="1"/>
  <c r="AW1116" i="1"/>
  <c r="V604" i="1"/>
  <c r="AW604" i="1"/>
  <c r="V643" i="1"/>
  <c r="AW643" i="1"/>
  <c r="V869" i="1"/>
  <c r="AW869" i="1"/>
  <c r="V1622" i="1"/>
  <c r="AW1622" i="1"/>
  <c r="V40" i="1"/>
  <c r="AW40" i="1"/>
  <c r="V600" i="1"/>
  <c r="AW600" i="1"/>
  <c r="V1551" i="1"/>
  <c r="AW1551" i="1"/>
  <c r="V1645" i="1"/>
  <c r="AW1645" i="1"/>
  <c r="V1773" i="1"/>
  <c r="AW1773" i="1"/>
  <c r="V793" i="1"/>
  <c r="AW793" i="1"/>
  <c r="V282" i="1"/>
  <c r="AW282" i="1"/>
  <c r="V1192" i="1"/>
  <c r="AW1192" i="1"/>
  <c r="V418" i="1"/>
  <c r="AW418" i="1"/>
  <c r="V1541" i="1"/>
  <c r="AW1541" i="1"/>
  <c r="V1706" i="1"/>
  <c r="AW1706" i="1"/>
  <c r="V110" i="1"/>
  <c r="AW110" i="1"/>
  <c r="V331" i="1"/>
  <c r="AW331" i="1"/>
  <c r="V1348" i="1"/>
  <c r="AW1348" i="1"/>
  <c r="V2113" i="1"/>
  <c r="AW2113" i="1"/>
  <c r="V79" i="1"/>
  <c r="AW79" i="1"/>
  <c r="V521" i="1"/>
  <c r="AW521" i="1"/>
  <c r="V548" i="1"/>
  <c r="AW548" i="1"/>
  <c r="V1939" i="1"/>
  <c r="AW1939" i="1"/>
  <c r="V1328" i="1"/>
  <c r="AW1328" i="1"/>
  <c r="V789" i="1"/>
  <c r="AW789" i="1"/>
  <c r="V1821" i="1"/>
  <c r="AW1821" i="1"/>
  <c r="V1484" i="1"/>
  <c r="AW1484" i="1"/>
  <c r="V1496" i="1"/>
  <c r="AW1496" i="1"/>
  <c r="V211" i="1"/>
  <c r="AW211" i="1"/>
  <c r="V2243" i="1"/>
  <c r="AW2243" i="1"/>
  <c r="V1068" i="1"/>
  <c r="AW1068" i="1"/>
  <c r="V1080" i="1"/>
  <c r="AW1080" i="1"/>
  <c r="V1887" i="1"/>
  <c r="AW1887" i="1"/>
  <c r="V602" i="1"/>
  <c r="AW602" i="1"/>
  <c r="V1223" i="1"/>
  <c r="AW1223" i="1"/>
  <c r="V1235" i="1"/>
  <c r="AW1235" i="1"/>
  <c r="V1247" i="1"/>
  <c r="AW1247" i="1"/>
  <c r="V1259" i="1"/>
  <c r="AW1259" i="1"/>
  <c r="V1271" i="1"/>
  <c r="AW1271" i="1"/>
  <c r="V1283" i="1"/>
  <c r="AW1283" i="1"/>
  <c r="V1295" i="1"/>
  <c r="AW1295" i="1"/>
  <c r="V1307" i="1"/>
  <c r="AW1307" i="1"/>
  <c r="V1433" i="1"/>
  <c r="AW1433" i="1"/>
  <c r="V1351" i="1"/>
  <c r="AW1351" i="1"/>
  <c r="V1362" i="1"/>
  <c r="AW1362" i="1"/>
  <c r="V955" i="1"/>
  <c r="AW955" i="1"/>
  <c r="V69" i="1"/>
  <c r="AW69" i="1"/>
  <c r="V1988" i="1"/>
  <c r="AW1988" i="1"/>
  <c r="V58" i="1"/>
  <c r="AW58" i="1"/>
  <c r="V2106" i="1"/>
  <c r="AW2106" i="1"/>
  <c r="V2107" i="1"/>
  <c r="AW2107" i="1"/>
  <c r="V2115" i="1"/>
  <c r="AW2115" i="1"/>
  <c r="V88" i="1"/>
  <c r="AW88" i="1"/>
  <c r="V874" i="1"/>
  <c r="AW874" i="1"/>
  <c r="V886" i="1"/>
  <c r="AW886" i="1"/>
  <c r="V898" i="1"/>
  <c r="AW898" i="1"/>
  <c r="V507" i="1"/>
  <c r="AW507" i="1"/>
  <c r="V1712" i="1"/>
  <c r="AW1712" i="1"/>
  <c r="V398" i="1"/>
  <c r="AW398" i="1"/>
  <c r="V526" i="1"/>
  <c r="AW526" i="1"/>
  <c r="V638" i="1"/>
  <c r="AW638" i="1"/>
  <c r="V1419" i="1"/>
  <c r="AW1419" i="1"/>
  <c r="V475" i="1"/>
  <c r="AW475" i="1"/>
  <c r="V1694" i="1"/>
  <c r="AW1694" i="1"/>
  <c r="V41" i="1"/>
  <c r="AW41" i="1"/>
  <c r="V760" i="1"/>
  <c r="AW760" i="1"/>
  <c r="V1228" i="1"/>
  <c r="AW1228" i="1"/>
  <c r="V564" i="1"/>
  <c r="AW564" i="1"/>
  <c r="V1406" i="1"/>
  <c r="AW1406" i="1"/>
  <c r="V1063" i="1"/>
  <c r="AW1063" i="1"/>
  <c r="V478" i="1"/>
  <c r="AW478" i="1"/>
  <c r="V1956" i="1"/>
  <c r="AW1956" i="1"/>
  <c r="V1512" i="1"/>
  <c r="AW1512" i="1"/>
  <c r="V649" i="1"/>
  <c r="AW649" i="1"/>
  <c r="V1839" i="1"/>
  <c r="AW1839" i="1"/>
  <c r="V2050" i="1"/>
  <c r="AW2050" i="1"/>
  <c r="V205" i="1"/>
  <c r="AW205" i="1"/>
  <c r="V1229" i="1"/>
  <c r="AW1229" i="1"/>
  <c r="V858" i="1"/>
  <c r="AW858" i="1"/>
  <c r="V1883" i="1"/>
  <c r="AW1883" i="1"/>
  <c r="V688" i="1"/>
  <c r="AW688" i="1"/>
  <c r="V1556" i="1"/>
  <c r="AW1556" i="1"/>
  <c r="V1501" i="1"/>
  <c r="AW1501" i="1"/>
  <c r="V289" i="1"/>
  <c r="AW289" i="1"/>
  <c r="V1169" i="1"/>
  <c r="AW1169" i="1"/>
  <c r="V1910" i="1"/>
  <c r="AW1910" i="1"/>
  <c r="V1652" i="1"/>
  <c r="AW1652" i="1"/>
  <c r="V1090" i="1"/>
  <c r="AW1090" i="1"/>
  <c r="V641" i="1"/>
  <c r="AW641" i="1"/>
  <c r="V594" i="1"/>
  <c r="AW594" i="1"/>
  <c r="V1172" i="1"/>
  <c r="AW1172" i="1"/>
  <c r="V341" i="1"/>
  <c r="AW341" i="1"/>
  <c r="V546" i="1"/>
  <c r="AW546" i="1"/>
  <c r="V1870" i="1"/>
  <c r="AW1870" i="1"/>
  <c r="V1010" i="1"/>
  <c r="AW1010" i="1"/>
  <c r="V1066" i="1"/>
  <c r="AW1066" i="1"/>
  <c r="V596" i="1"/>
  <c r="AW596" i="1"/>
  <c r="V953" i="1"/>
  <c r="AW953" i="1"/>
  <c r="V1913" i="1"/>
  <c r="AW1913" i="1"/>
  <c r="V2217" i="1"/>
  <c r="AW2217" i="1"/>
  <c r="V1568" i="1"/>
  <c r="AW1568" i="1"/>
  <c r="V1592" i="1"/>
  <c r="AW1592" i="1"/>
  <c r="V1655" i="1"/>
  <c r="AW1655" i="1"/>
  <c r="V1030" i="1"/>
  <c r="AW1030" i="1"/>
  <c r="V1562" i="1"/>
  <c r="AW1562" i="1"/>
  <c r="V2000" i="1"/>
  <c r="AW2000" i="1"/>
  <c r="V493" i="1"/>
  <c r="AW493" i="1"/>
  <c r="V1876" i="1"/>
  <c r="AW1876" i="1"/>
  <c r="V1963" i="1"/>
  <c r="AW1963" i="1"/>
  <c r="V1975" i="1"/>
  <c r="AW1975" i="1"/>
  <c r="V1200" i="1"/>
  <c r="AW1200" i="1"/>
  <c r="V1347" i="1"/>
  <c r="AW1347" i="1"/>
  <c r="V2049" i="1"/>
  <c r="AW2049" i="1"/>
  <c r="V1778" i="1"/>
  <c r="AW1778" i="1"/>
  <c r="V1507" i="1"/>
  <c r="AW1507" i="1"/>
  <c r="V1774" i="1"/>
  <c r="AW1774" i="1"/>
  <c r="V1093" i="1"/>
  <c r="AW1093" i="1"/>
  <c r="V1105" i="1"/>
  <c r="AW1105" i="1"/>
  <c r="V1117" i="1"/>
  <c r="AW1117" i="1"/>
  <c r="V1729" i="1"/>
  <c r="AW1729" i="1"/>
  <c r="V644" i="1"/>
  <c r="AW644" i="1"/>
  <c r="V1850" i="1"/>
  <c r="AW1850" i="1"/>
  <c r="V44" i="1"/>
  <c r="AW44" i="1"/>
  <c r="V603" i="1"/>
  <c r="AW603" i="1"/>
  <c r="V1043" i="1"/>
  <c r="AW1043" i="1"/>
  <c r="V1646" i="1"/>
  <c r="AW1646" i="1"/>
  <c r="V1615" i="1"/>
  <c r="AW1615" i="1"/>
  <c r="V743" i="1"/>
  <c r="AW743" i="1"/>
  <c r="V795" i="1"/>
  <c r="AW795" i="1"/>
  <c r="V419" i="1"/>
  <c r="AW419" i="1"/>
  <c r="V1542" i="1"/>
  <c r="AW1542" i="1"/>
  <c r="V1707" i="1"/>
  <c r="AW1707" i="1"/>
  <c r="V111" i="1"/>
  <c r="AW111" i="1"/>
  <c r="V332" i="1"/>
  <c r="AW332" i="1"/>
  <c r="V1349" i="1"/>
  <c r="AW1349" i="1"/>
  <c r="V522" i="1"/>
  <c r="AW522" i="1"/>
  <c r="V549" i="1"/>
  <c r="AW549" i="1"/>
  <c r="V1940" i="1"/>
  <c r="AW1940" i="1"/>
  <c r="V1848" i="1"/>
  <c r="AW1848" i="1"/>
  <c r="V966" i="1"/>
  <c r="AW966" i="1"/>
  <c r="V618" i="1"/>
  <c r="AW618" i="1"/>
  <c r="V1822" i="1"/>
  <c r="AW1822" i="1"/>
  <c r="V1013" i="1"/>
  <c r="AW1013" i="1"/>
  <c r="V1461" i="1"/>
  <c r="AW1461" i="1"/>
  <c r="V1473" i="1"/>
  <c r="AW1473" i="1"/>
  <c r="V1485" i="1"/>
  <c r="AW1485" i="1"/>
  <c r="V1187" i="1"/>
  <c r="AW1187" i="1"/>
  <c r="V212" i="1"/>
  <c r="AW212" i="1"/>
  <c r="V2249" i="1"/>
  <c r="AW2249" i="1"/>
  <c r="V1069" i="1"/>
  <c r="AW1069" i="1"/>
  <c r="V1081" i="1"/>
  <c r="AW1081" i="1"/>
  <c r="V605" i="1"/>
  <c r="AW605" i="1"/>
  <c r="V1224" i="1"/>
  <c r="AW1224" i="1"/>
  <c r="V1260" i="1"/>
  <c r="AW1260" i="1"/>
  <c r="V1272" i="1"/>
  <c r="AW1272" i="1"/>
  <c r="V1308" i="1"/>
  <c r="AW1308" i="1"/>
  <c r="V1434" i="1"/>
  <c r="AW1434" i="1"/>
  <c r="V1363" i="1"/>
  <c r="AW1363" i="1"/>
  <c r="V70" i="1"/>
  <c r="AW70" i="1"/>
  <c r="V801" i="1"/>
  <c r="AW801" i="1"/>
  <c r="V813" i="1"/>
  <c r="AW813" i="1"/>
  <c r="V1157" i="1"/>
  <c r="AW1157" i="1"/>
  <c r="V59" i="1"/>
  <c r="AW59" i="1"/>
  <c r="V2111" i="1"/>
  <c r="AW2111" i="1"/>
  <c r="V2112" i="1"/>
  <c r="AW2112" i="1"/>
  <c r="V89" i="1"/>
  <c r="AW89" i="1"/>
  <c r="V2114" i="1"/>
  <c r="AW2114" i="1"/>
  <c r="V899" i="1"/>
  <c r="AW899" i="1"/>
  <c r="V2269" i="1"/>
  <c r="AW2269" i="1"/>
  <c r="V1714" i="1"/>
  <c r="AW1714" i="1"/>
  <c r="V2274" i="1"/>
  <c r="AW2274" i="1"/>
  <c r="V1036" i="1"/>
  <c r="AW1036" i="1"/>
  <c r="V2084" i="1"/>
  <c r="AW2084" i="1"/>
  <c r="V748" i="1"/>
  <c r="AW748" i="1"/>
  <c r="V783" i="1"/>
  <c r="AW783" i="1"/>
  <c r="V1843" i="1"/>
  <c r="AW1843" i="1"/>
  <c r="V1526" i="1"/>
  <c r="AW1526" i="1"/>
  <c r="V2266" i="1"/>
  <c r="AW2266" i="1"/>
  <c r="V515" i="1"/>
  <c r="AW515" i="1"/>
  <c r="V540" i="1"/>
  <c r="AW540" i="1"/>
  <c r="V527" i="1"/>
  <c r="AW527" i="1"/>
  <c r="V932" i="1"/>
  <c r="AW932" i="1"/>
  <c r="V2248" i="1"/>
  <c r="AW2248" i="1"/>
  <c r="V1341" i="1"/>
  <c r="AW1341" i="1"/>
  <c r="V1991" i="1"/>
  <c r="AW1991" i="1"/>
  <c r="V2241" i="1"/>
  <c r="AW2241" i="1"/>
  <c r="V1638" i="1"/>
  <c r="AW1638" i="1"/>
  <c r="V1154" i="1"/>
  <c r="AW1154" i="1"/>
  <c r="V541" i="1"/>
  <c r="AW541" i="1"/>
  <c r="V312" i="1"/>
  <c r="AW312" i="1"/>
  <c r="V431" i="1"/>
  <c r="AW431" i="1"/>
  <c r="V1264" i="1"/>
  <c r="AW1264" i="1"/>
  <c r="V903" i="1"/>
  <c r="AW903" i="1"/>
  <c r="V1134" i="1"/>
  <c r="AW1134" i="1"/>
  <c r="V767" i="1"/>
  <c r="AW767" i="1"/>
  <c r="V446" i="1"/>
  <c r="AW446" i="1"/>
  <c r="V1695" i="1"/>
  <c r="AW1695" i="1"/>
  <c r="V685" i="1"/>
  <c r="AW685" i="1"/>
  <c r="V1323" i="1"/>
  <c r="AW1323" i="1"/>
  <c r="V2278" i="1"/>
  <c r="AW2278" i="1"/>
  <c r="V1253" i="1"/>
  <c r="AW1253" i="1"/>
  <c r="V2137" i="1"/>
  <c r="AW2137" i="1"/>
  <c r="V1407" i="1"/>
  <c r="AW1407" i="1"/>
  <c r="V673" i="1"/>
  <c r="AW673" i="1"/>
  <c r="V2253" i="1"/>
  <c r="AW2253" i="1"/>
  <c r="V1039" i="1"/>
  <c r="AW1039" i="1"/>
  <c r="V1513" i="1"/>
  <c r="AW1513" i="1"/>
  <c r="V2052" i="1"/>
  <c r="AW2052" i="1"/>
  <c r="V1315" i="1"/>
  <c r="AW1315" i="1"/>
  <c r="V1832" i="1"/>
  <c r="AW1832" i="1"/>
  <c r="V1218" i="1"/>
  <c r="AW1218" i="1"/>
  <c r="V676" i="1"/>
  <c r="AW676" i="1"/>
  <c r="V2267" i="1"/>
  <c r="AW2267" i="1"/>
  <c r="V1601" i="1"/>
  <c r="AW1601" i="1"/>
  <c r="V1664" i="1"/>
  <c r="AW1664" i="1"/>
  <c r="V488" i="1"/>
  <c r="AW488" i="1"/>
  <c r="V1873" i="1"/>
  <c r="AW1873" i="1"/>
  <c r="V1516" i="1"/>
  <c r="AW1516" i="1"/>
  <c r="V775" i="1"/>
  <c r="AW775" i="1"/>
  <c r="V1539" i="1"/>
  <c r="AW1539" i="1"/>
  <c r="V1458" i="1"/>
  <c r="AW1458" i="1"/>
  <c r="V209" i="1"/>
  <c r="AW209" i="1"/>
  <c r="V1245" i="1"/>
  <c r="AW1245" i="1"/>
  <c r="V1305" i="1"/>
  <c r="AW1305" i="1"/>
  <c r="V1208" i="1"/>
  <c r="AW1208" i="1"/>
  <c r="V386" i="1"/>
  <c r="AW386" i="1"/>
  <c r="V1344" i="1"/>
  <c r="AW1344" i="1"/>
  <c r="V1415" i="1"/>
  <c r="AW1415" i="1"/>
  <c r="V1864" i="1"/>
  <c r="AW1864" i="1"/>
  <c r="V399" i="1"/>
  <c r="AW399" i="1"/>
  <c r="V387" i="1"/>
  <c r="AW387" i="1"/>
  <c r="V1402" i="1"/>
  <c r="AW1402" i="1"/>
  <c r="V1369" i="1"/>
  <c r="AW1369" i="1"/>
  <c r="V1441" i="1"/>
  <c r="AW1441" i="1"/>
  <c r="V1453" i="1"/>
  <c r="AW1453" i="1"/>
  <c r="V2022" i="1"/>
  <c r="AW2022" i="1"/>
  <c r="V976" i="1"/>
  <c r="AW976" i="1"/>
  <c r="V1059" i="1"/>
  <c r="AW1059" i="1"/>
  <c r="V2223" i="1"/>
  <c r="AW2223" i="1"/>
  <c r="V1802" i="1"/>
  <c r="AW1802" i="1"/>
  <c r="V916" i="1"/>
  <c r="AW916" i="1"/>
  <c r="V913" i="1"/>
  <c r="AW913" i="1"/>
  <c r="V1520" i="1"/>
  <c r="AW1520" i="1"/>
  <c r="V1656" i="1"/>
  <c r="AW1656" i="1"/>
  <c r="V293" i="1"/>
  <c r="AW293" i="1"/>
  <c r="V2001" i="1"/>
  <c r="AW2001" i="1"/>
  <c r="V1024" i="1"/>
  <c r="AW1024" i="1"/>
  <c r="V996" i="1"/>
  <c r="AW996" i="1"/>
  <c r="V1008" i="1"/>
  <c r="AW1008" i="1"/>
  <c r="V2096" i="1"/>
  <c r="AW2096" i="1"/>
  <c r="V2311" i="1"/>
  <c r="AW2311" i="1"/>
  <c r="V1679" i="1"/>
  <c r="AW1679" i="1"/>
  <c r="V1691" i="1"/>
  <c r="AW1691" i="1"/>
  <c r="V1877" i="1"/>
  <c r="AW1877" i="1"/>
  <c r="V1964" i="1"/>
  <c r="AW1964" i="1"/>
  <c r="V1203" i="1"/>
  <c r="AW1203" i="1"/>
  <c r="V945" i="1"/>
  <c r="AW945" i="1"/>
  <c r="V48" i="1"/>
  <c r="AW48" i="1"/>
  <c r="V1183" i="1"/>
  <c r="AW1183" i="1"/>
  <c r="V1044" i="1"/>
  <c r="AW1044" i="1"/>
  <c r="V1647" i="1"/>
  <c r="AW1647" i="1"/>
  <c r="V1616" i="1"/>
  <c r="AW1616" i="1"/>
  <c r="V1781" i="1"/>
  <c r="AW1781" i="1"/>
  <c r="V284" i="1"/>
  <c r="AW284" i="1"/>
  <c r="V1794" i="1"/>
  <c r="AW1794" i="1"/>
  <c r="V1818" i="1"/>
  <c r="AW1818" i="1"/>
  <c r="V2123" i="1"/>
  <c r="AW2123" i="1"/>
  <c r="V81" i="1"/>
  <c r="AW81" i="1"/>
  <c r="V523" i="1"/>
  <c r="AW523" i="1"/>
  <c r="V556" i="1"/>
  <c r="AW556" i="1"/>
  <c r="V1941" i="1"/>
  <c r="AW1941" i="1"/>
  <c r="V1851" i="1"/>
  <c r="AW1851" i="1"/>
  <c r="V757" i="1"/>
  <c r="AW757" i="1"/>
  <c r="V799" i="1"/>
  <c r="AW799" i="1"/>
  <c r="V1823" i="1"/>
  <c r="AW1823" i="1"/>
  <c r="V1486" i="1"/>
  <c r="AW1486" i="1"/>
  <c r="V2255" i="1"/>
  <c r="AW2255" i="1"/>
  <c r="V1889" i="1"/>
  <c r="AW1889" i="1"/>
  <c r="V428" i="1"/>
  <c r="AW428" i="1"/>
  <c r="V1213" i="1"/>
  <c r="AW1213" i="1"/>
  <c r="V1225" i="1"/>
  <c r="AW1225" i="1"/>
  <c r="V1237" i="1"/>
  <c r="AW1237" i="1"/>
  <c r="V1249" i="1"/>
  <c r="AW1249" i="1"/>
  <c r="V1261" i="1"/>
  <c r="AW1261" i="1"/>
  <c r="V1273" i="1"/>
  <c r="AW1273" i="1"/>
  <c r="V1285" i="1"/>
  <c r="AW1285" i="1"/>
  <c r="V1297" i="1"/>
  <c r="AW1297" i="1"/>
  <c r="V1435" i="1"/>
  <c r="AW1435" i="1"/>
  <c r="V1385" i="1"/>
  <c r="AW1385" i="1"/>
  <c r="V814" i="1"/>
  <c r="AW814" i="1"/>
  <c r="V826" i="1"/>
  <c r="AW826" i="1"/>
  <c r="V850" i="1"/>
  <c r="AW850" i="1"/>
  <c r="V1158" i="1"/>
  <c r="AW1158" i="1"/>
  <c r="V1147" i="1"/>
  <c r="AW1147" i="1"/>
  <c r="V90" i="1"/>
  <c r="AW90" i="1"/>
  <c r="V2119" i="1"/>
  <c r="AW2119" i="1"/>
  <c r="V876" i="1"/>
  <c r="AW876" i="1"/>
  <c r="V888" i="1"/>
  <c r="AW888" i="1"/>
  <c r="V900" i="1"/>
  <c r="AW900" i="1"/>
  <c r="V433" i="1"/>
  <c r="AW433" i="1"/>
  <c r="V2273" i="1"/>
  <c r="AW2273" i="1"/>
  <c r="V1716" i="1"/>
  <c r="AW1716" i="1"/>
  <c r="V2280" i="1"/>
  <c r="AW2280" i="1"/>
  <c r="V1037" i="1"/>
  <c r="AW1037" i="1"/>
  <c r="V2085" i="1"/>
  <c r="AW2085" i="1"/>
  <c r="V2254" i="1"/>
  <c r="AW2254" i="1"/>
  <c r="V1990" i="1"/>
  <c r="AW1990" i="1"/>
  <c r="V1131" i="1"/>
  <c r="AW1131" i="1"/>
  <c r="V1793" i="1"/>
  <c r="AW1793" i="1"/>
  <c r="V1810" i="1"/>
  <c r="AW1810" i="1"/>
  <c r="V999" i="1"/>
  <c r="AW999" i="1"/>
  <c r="V1784" i="1"/>
  <c r="AW1784" i="1"/>
  <c r="V1320" i="1"/>
  <c r="AW1320" i="1"/>
  <c r="V1830" i="1"/>
  <c r="AW1830" i="1"/>
  <c r="V1216" i="1"/>
  <c r="AW1216" i="1"/>
  <c r="V1276" i="1"/>
  <c r="AW1276" i="1"/>
  <c r="V2041" i="1"/>
  <c r="AW2041" i="1"/>
  <c r="V487" i="1"/>
  <c r="AW487" i="1"/>
  <c r="V1799" i="1"/>
  <c r="AW1799" i="1"/>
  <c r="V1833" i="1"/>
  <c r="AW1833" i="1"/>
  <c r="V2088" i="1"/>
  <c r="AW2088" i="1"/>
  <c r="V1980" i="1"/>
  <c r="AW1980" i="1"/>
  <c r="V1789" i="1"/>
  <c r="AW1789" i="1"/>
  <c r="V337" i="1"/>
  <c r="AW337" i="1"/>
  <c r="V1289" i="1"/>
  <c r="AW1289" i="1"/>
  <c r="V63" i="1"/>
  <c r="AW63" i="1"/>
  <c r="V2077" i="1"/>
  <c r="AW2077" i="1"/>
  <c r="V1865" i="1"/>
  <c r="AW1865" i="1"/>
  <c r="V1421" i="1"/>
  <c r="AW1421" i="1"/>
  <c r="V1722" i="1"/>
  <c r="AW1722" i="1"/>
  <c r="V1719" i="1"/>
  <c r="AW1719" i="1"/>
  <c r="V1636" i="1"/>
  <c r="AW1636" i="1"/>
  <c r="V737" i="1"/>
  <c r="AW737" i="1"/>
  <c r="V1536" i="1"/>
  <c r="AW1536" i="1"/>
  <c r="V928" i="1"/>
  <c r="AW928" i="1"/>
  <c r="V1828" i="1"/>
  <c r="AW1828" i="1"/>
  <c r="V1129" i="1"/>
  <c r="AW1129" i="1"/>
  <c r="V1803" i="1"/>
  <c r="AW1803" i="1"/>
  <c r="V1327" i="1"/>
  <c r="AW1327" i="1"/>
  <c r="V1559" i="1"/>
  <c r="AW1559" i="1"/>
  <c r="V1102" i="1"/>
  <c r="AW1102" i="1"/>
  <c r="V1160" i="1"/>
  <c r="AW1160" i="1"/>
  <c r="V1945" i="1"/>
  <c r="AW1945" i="1"/>
  <c r="V740" i="1"/>
  <c r="AW740" i="1"/>
  <c r="V416" i="1"/>
  <c r="AW416" i="1"/>
  <c r="V329" i="1"/>
  <c r="AW329" i="1"/>
  <c r="V1165" i="1"/>
  <c r="AW1165" i="1"/>
  <c r="V1470" i="1"/>
  <c r="AW1470" i="1"/>
  <c r="V1078" i="1"/>
  <c r="AW1078" i="1"/>
  <c r="V1269" i="1"/>
  <c r="AW1269" i="1"/>
  <c r="V1381" i="1"/>
  <c r="AW1381" i="1"/>
  <c r="V568" i="1"/>
  <c r="AW568" i="1"/>
  <c r="V834" i="1"/>
  <c r="AW834" i="1"/>
  <c r="V2245" i="1"/>
  <c r="AW2245" i="1"/>
  <c r="V2033" i="1"/>
  <c r="AW2033" i="1"/>
  <c r="V1058" i="1"/>
  <c r="AW1058" i="1"/>
  <c r="V445" i="1"/>
  <c r="AW445" i="1"/>
  <c r="V479" i="1"/>
  <c r="AW479" i="1"/>
  <c r="V1125" i="1"/>
  <c r="AW1125" i="1"/>
  <c r="V1454" i="1"/>
  <c r="AW1454" i="1"/>
  <c r="V2023" i="1"/>
  <c r="AW2023" i="1"/>
  <c r="V1060" i="1"/>
  <c r="AW1060" i="1"/>
  <c r="V2229" i="1"/>
  <c r="AW2229" i="1"/>
  <c r="V2294" i="1"/>
  <c r="AW2294" i="1"/>
  <c r="V917" i="1"/>
  <c r="AW917" i="1"/>
  <c r="V1534" i="1"/>
  <c r="AW1534" i="1"/>
  <c r="V1726" i="1"/>
  <c r="AW1726" i="1"/>
  <c r="V764" i="1"/>
  <c r="AW764" i="1"/>
  <c r="V971" i="1"/>
  <c r="AW971" i="1"/>
  <c r="V2069" i="1"/>
  <c r="AW2069" i="1"/>
  <c r="V997" i="1"/>
  <c r="AW997" i="1"/>
  <c r="V2097" i="1"/>
  <c r="AW2097" i="1"/>
  <c r="V1668" i="1"/>
  <c r="AW1668" i="1"/>
  <c r="V1680" i="1"/>
  <c r="AW1680" i="1"/>
  <c r="V1692" i="1"/>
  <c r="AW1692" i="1"/>
  <c r="V1953" i="1"/>
  <c r="AW1953" i="1"/>
  <c r="V1965" i="1"/>
  <c r="AW1965" i="1"/>
  <c r="V1977" i="1"/>
  <c r="AW1977" i="1"/>
  <c r="V2053" i="1"/>
  <c r="AW2053" i="1"/>
  <c r="V1916" i="1"/>
  <c r="AW1916" i="1"/>
  <c r="V1731" i="1"/>
  <c r="AW1731" i="1"/>
  <c r="V646" i="1"/>
  <c r="AW646" i="1"/>
  <c r="V1625" i="1"/>
  <c r="AW1625" i="1"/>
  <c r="V1194" i="1"/>
  <c r="AW1194" i="1"/>
  <c r="V1554" i="1"/>
  <c r="AW1554" i="1"/>
  <c r="V1617" i="1"/>
  <c r="AW1617" i="1"/>
  <c r="V273" i="1"/>
  <c r="AW273" i="1"/>
  <c r="V285" i="1"/>
  <c r="AW285" i="1"/>
  <c r="V1152" i="1"/>
  <c r="AW1152" i="1"/>
  <c r="V1819" i="1"/>
  <c r="AW1819" i="1"/>
  <c r="V1709" i="1"/>
  <c r="AW1709" i="1"/>
  <c r="V113" i="1"/>
  <c r="AW113" i="1"/>
  <c r="V334" i="1"/>
  <c r="AW334" i="1"/>
  <c r="V1031" i="1"/>
  <c r="AW1031" i="1"/>
  <c r="V2128" i="1"/>
  <c r="AW2128" i="1"/>
  <c r="V524" i="1"/>
  <c r="AW524" i="1"/>
  <c r="V557" i="1"/>
  <c r="AW557" i="1"/>
  <c r="V1942" i="1"/>
  <c r="AW1942" i="1"/>
  <c r="V1314" i="1"/>
  <c r="AW1314" i="1"/>
  <c r="V758" i="1"/>
  <c r="AW758" i="1"/>
  <c r="V310" i="1"/>
  <c r="AW310" i="1"/>
  <c r="V968" i="1"/>
  <c r="AW968" i="1"/>
  <c r="V620" i="1"/>
  <c r="AW620" i="1"/>
  <c r="V1824" i="1"/>
  <c r="AW1824" i="1"/>
  <c r="V1487" i="1"/>
  <c r="AW1487" i="1"/>
  <c r="V1201" i="1"/>
  <c r="AW1201" i="1"/>
  <c r="V214" i="1"/>
  <c r="AW214" i="1"/>
  <c r="V2261" i="1"/>
  <c r="AW2261" i="1"/>
  <c r="V1071" i="1"/>
  <c r="AW1071" i="1"/>
  <c r="V1190" i="1"/>
  <c r="AW1190" i="1"/>
  <c r="V1214" i="1"/>
  <c r="AW1214" i="1"/>
  <c r="V1226" i="1"/>
  <c r="AW1226" i="1"/>
  <c r="V1238" i="1"/>
  <c r="AW1238" i="1"/>
  <c r="V1250" i="1"/>
  <c r="AW1250" i="1"/>
  <c r="V1262" i="1"/>
  <c r="AW1262" i="1"/>
  <c r="V1274" i="1"/>
  <c r="AW1274" i="1"/>
  <c r="V1286" i="1"/>
  <c r="AW1286" i="1"/>
  <c r="V1298" i="1"/>
  <c r="AW1298" i="1"/>
  <c r="V1310" i="1"/>
  <c r="AW1310" i="1"/>
  <c r="V1436" i="1"/>
  <c r="AW1436" i="1"/>
  <c r="V1365" i="1"/>
  <c r="AW1365" i="1"/>
  <c r="V2121" i="1"/>
  <c r="AW2121" i="1"/>
  <c r="V2122" i="1"/>
  <c r="AW2122" i="1"/>
  <c r="V1151" i="1"/>
  <c r="AW1151" i="1"/>
  <c r="V91" i="1"/>
  <c r="AW91" i="1"/>
  <c r="V2124" i="1"/>
  <c r="AW2124" i="1"/>
  <c r="V877" i="1"/>
  <c r="AW877" i="1"/>
  <c r="V889" i="1"/>
  <c r="AW889" i="1"/>
  <c r="V901" i="1"/>
  <c r="AW901" i="1"/>
  <c r="V434" i="1"/>
  <c r="AW434" i="1"/>
  <c r="V2279" i="1"/>
  <c r="AW2279" i="1"/>
  <c r="V2074" i="1"/>
  <c r="AW2074" i="1"/>
  <c r="V2086" i="1"/>
  <c r="AW2086" i="1"/>
  <c r="V750" i="1"/>
  <c r="AW750" i="1"/>
  <c r="V389" i="1"/>
  <c r="AW389" i="1"/>
  <c r="V1313" i="1"/>
  <c r="AW1313" i="1"/>
  <c r="V766" i="1"/>
  <c r="AW766" i="1"/>
  <c r="V2099" i="1"/>
  <c r="AW2099" i="1"/>
  <c r="V1703" i="1"/>
  <c r="AW1703" i="1"/>
  <c r="V561" i="1"/>
  <c r="AW561" i="1"/>
  <c r="V1489" i="1"/>
  <c r="AW1489" i="1"/>
  <c r="V1892" i="1"/>
  <c r="AW1892" i="1"/>
  <c r="V1252" i="1"/>
  <c r="AW1252" i="1"/>
  <c r="V1356" i="1"/>
  <c r="AW1356" i="1"/>
  <c r="V74" i="1"/>
  <c r="AW74" i="1"/>
  <c r="V891" i="1"/>
  <c r="AW891" i="1"/>
  <c r="V2194" i="1"/>
  <c r="AW2194" i="1"/>
  <c r="V2247" i="1"/>
  <c r="AW2247" i="1"/>
  <c r="V2057" i="1"/>
  <c r="AW2057" i="1"/>
  <c r="V988" i="1"/>
  <c r="AW988" i="1"/>
  <c r="V412" i="1"/>
  <c r="AW412" i="1"/>
  <c r="V542" i="1"/>
  <c r="AW542" i="1"/>
  <c r="V1265" i="1"/>
  <c r="AW1265" i="1"/>
  <c r="V201" i="1"/>
  <c r="AW201" i="1"/>
  <c r="V1895" i="1"/>
  <c r="AW1895" i="1"/>
  <c r="V1805" i="1"/>
  <c r="AW1805" i="1"/>
  <c r="V1598" i="1"/>
  <c r="AW1598" i="1"/>
  <c r="V1702" i="1"/>
  <c r="AW1702" i="1"/>
  <c r="V650" i="1"/>
  <c r="AW650" i="1"/>
  <c r="V413" i="1"/>
  <c r="AW413" i="1"/>
  <c r="V1242" i="1"/>
  <c r="AW1242" i="1"/>
  <c r="V1424" i="1"/>
  <c r="AW1424" i="1"/>
  <c r="V1565" i="1"/>
  <c r="AW1565" i="1"/>
  <c r="V1972" i="1"/>
  <c r="AW1972" i="1"/>
  <c r="V1775" i="1"/>
  <c r="AW1775" i="1"/>
  <c r="V1114" i="1"/>
  <c r="AW1114" i="1"/>
  <c r="V930" i="1"/>
  <c r="AW930" i="1"/>
  <c r="V975" i="1"/>
  <c r="AW975" i="1"/>
  <c r="V2282" i="1"/>
  <c r="AW2282" i="1"/>
  <c r="V1796" i="1"/>
  <c r="AW1796" i="1"/>
  <c r="V1580" i="1"/>
  <c r="AW1580" i="1"/>
  <c r="V1604" i="1"/>
  <c r="AW1604" i="1"/>
  <c r="V1143" i="1"/>
  <c r="AW1143" i="1"/>
  <c r="V1128" i="1"/>
  <c r="AW1128" i="1"/>
  <c r="V1901" i="1"/>
  <c r="AW1901" i="1"/>
  <c r="V1404" i="1"/>
  <c r="AW1404" i="1"/>
  <c r="V1880" i="1"/>
  <c r="AW1880" i="1"/>
  <c r="V2024" i="1"/>
  <c r="AW2024" i="1"/>
  <c r="V225" i="1"/>
  <c r="AW225" i="1"/>
  <c r="V1418" i="1"/>
  <c r="AW1418" i="1"/>
  <c r="V978" i="1"/>
  <c r="AW978" i="1"/>
  <c r="V1061" i="1"/>
  <c r="AW1061" i="1"/>
  <c r="V2235" i="1"/>
  <c r="AW2235" i="1"/>
  <c r="V1182" i="1"/>
  <c r="AW1182" i="1"/>
  <c r="V1055" i="1"/>
  <c r="AW1055" i="1"/>
  <c r="V592" i="1"/>
  <c r="AW592" i="1"/>
  <c r="V1571" i="1"/>
  <c r="AW1571" i="1"/>
  <c r="V1583" i="1"/>
  <c r="AW1583" i="1"/>
  <c r="V1595" i="1"/>
  <c r="AW1595" i="1"/>
  <c r="V1607" i="1"/>
  <c r="AW1607" i="1"/>
  <c r="V402" i="1"/>
  <c r="AW402" i="1"/>
  <c r="V1727" i="1"/>
  <c r="AW1727" i="1"/>
  <c r="V1954" i="1"/>
  <c r="AW1954" i="1"/>
  <c r="V1966" i="1"/>
  <c r="AW1966" i="1"/>
  <c r="V1978" i="1"/>
  <c r="AW1978" i="1"/>
  <c r="V1699" i="1"/>
  <c r="AW1699" i="1"/>
  <c r="V1713" i="1"/>
  <c r="AW1713" i="1"/>
  <c r="V1917" i="1"/>
  <c r="AW1917" i="1"/>
  <c r="V1510" i="1"/>
  <c r="AW1510" i="1"/>
  <c r="V1787" i="1"/>
  <c r="AW1787" i="1"/>
  <c r="V1096" i="1"/>
  <c r="AW1096" i="1"/>
  <c r="V1108" i="1"/>
  <c r="AW1108" i="1"/>
  <c r="V1120" i="1"/>
  <c r="AW1120" i="1"/>
  <c r="V1732" i="1"/>
  <c r="AW1732" i="1"/>
  <c r="V647" i="1"/>
  <c r="AW647" i="1"/>
  <c r="V1197" i="1"/>
  <c r="AW1197" i="1"/>
  <c r="V1618" i="1"/>
  <c r="AW1618" i="1"/>
  <c r="V734" i="1"/>
  <c r="AW734" i="1"/>
  <c r="V769" i="1"/>
  <c r="AW769" i="1"/>
  <c r="V286" i="1"/>
  <c r="AW286" i="1"/>
  <c r="V410" i="1"/>
  <c r="AW410" i="1"/>
  <c r="V1153" i="1"/>
  <c r="AW1153" i="1"/>
  <c r="V1820" i="1"/>
  <c r="AW1820" i="1"/>
  <c r="V1710" i="1"/>
  <c r="AW1710" i="1"/>
  <c r="V114" i="1"/>
  <c r="AW114" i="1"/>
  <c r="V335" i="1"/>
  <c r="AW335" i="1"/>
  <c r="V2133" i="1"/>
  <c r="AW2133" i="1"/>
  <c r="V83" i="1"/>
  <c r="AW83" i="1"/>
  <c r="V525" i="1"/>
  <c r="AW525" i="1"/>
  <c r="V558" i="1"/>
  <c r="AW558" i="1"/>
  <c r="V1849" i="1"/>
  <c r="AW1849" i="1"/>
  <c r="V1317" i="1"/>
  <c r="AW1317" i="1"/>
  <c r="V759" i="1"/>
  <c r="AW759" i="1"/>
  <c r="V311" i="1"/>
  <c r="AW311" i="1"/>
  <c r="V1829" i="1"/>
  <c r="AW1829" i="1"/>
  <c r="V1853" i="1"/>
  <c r="AW1853" i="1"/>
  <c r="V2016" i="1"/>
  <c r="AW2016" i="1"/>
  <c r="V1825" i="1"/>
  <c r="AW1825" i="1"/>
  <c r="V1016" i="1"/>
  <c r="AW1016" i="1"/>
  <c r="V1464" i="1"/>
  <c r="AW1464" i="1"/>
  <c r="V1476" i="1"/>
  <c r="AW1476" i="1"/>
  <c r="V1488" i="1"/>
  <c r="AW1488" i="1"/>
  <c r="V1210" i="1"/>
  <c r="AW1210" i="1"/>
  <c r="V2150" i="1"/>
  <c r="AW2150" i="1"/>
  <c r="V2265" i="1"/>
  <c r="AW2265" i="1"/>
  <c r="V1072" i="1"/>
  <c r="AW1072" i="1"/>
  <c r="V1205" i="1"/>
  <c r="AW1205" i="1"/>
  <c r="V318" i="1"/>
  <c r="AW318" i="1"/>
  <c r="V1215" i="1"/>
  <c r="AW1215" i="1"/>
  <c r="V1251" i="1"/>
  <c r="AW1251" i="1"/>
  <c r="V1287" i="1"/>
  <c r="AW1287" i="1"/>
  <c r="V1311" i="1"/>
  <c r="AW1311" i="1"/>
  <c r="V1437" i="1"/>
  <c r="AW1437" i="1"/>
  <c r="V1355" i="1"/>
  <c r="AW1355" i="1"/>
  <c r="V959" i="1"/>
  <c r="AW959" i="1"/>
  <c r="V1387" i="1"/>
  <c r="AW1387" i="1"/>
  <c r="V828" i="1"/>
  <c r="AW828" i="1"/>
  <c r="V840" i="1"/>
  <c r="AW840" i="1"/>
  <c r="V1893" i="1"/>
  <c r="AW1893" i="1"/>
  <c r="V1046" i="1"/>
  <c r="AW1046" i="1"/>
  <c r="V2126" i="1"/>
  <c r="AW2126" i="1"/>
  <c r="V2127" i="1"/>
  <c r="AW2127" i="1"/>
  <c r="V223" i="1"/>
  <c r="AW223" i="1"/>
  <c r="V92" i="1"/>
  <c r="AW92" i="1"/>
  <c r="V2129" i="1"/>
  <c r="AW2129" i="1"/>
  <c r="V2285" i="1"/>
  <c r="AW2285" i="1"/>
  <c r="V1196" i="1"/>
  <c r="AW1196" i="1"/>
  <c r="V2292" i="1"/>
  <c r="AW2292" i="1"/>
  <c r="V2075" i="1"/>
  <c r="AW2075" i="1"/>
  <c r="V727" i="1"/>
  <c r="AW727" i="1"/>
  <c r="V751" i="1"/>
  <c r="AW751" i="1"/>
  <c r="V1859" i="1"/>
  <c r="AW1859" i="1"/>
  <c r="V1529" i="1"/>
  <c r="AW1529" i="1"/>
  <c r="V2287" i="1"/>
  <c r="AW2287" i="1"/>
  <c r="V518" i="1"/>
  <c r="AW518" i="1"/>
  <c r="V555" i="1"/>
  <c r="AW555" i="1"/>
  <c r="V2036" i="1"/>
  <c r="AW2036" i="1"/>
  <c r="V530" i="1"/>
  <c r="AW530" i="1"/>
  <c r="V1168" i="1"/>
  <c r="AW1168" i="1"/>
  <c r="V2268" i="1"/>
  <c r="AW2268" i="1"/>
  <c r="V1546" i="1"/>
  <c r="AW1546" i="1"/>
  <c r="V987" i="1"/>
  <c r="V1009" i="1"/>
  <c r="V2157" i="1"/>
  <c r="U162" i="1"/>
  <c r="AW162" i="1" s="1"/>
  <c r="U200" i="1"/>
  <c r="AW200" i="1" s="1"/>
  <c r="V1337" i="1"/>
  <c r="V1339" i="1"/>
  <c r="V1340" i="1"/>
  <c r="V1338" i="1"/>
  <c r="V1331" i="1"/>
  <c r="V1332" i="1"/>
  <c r="V1333" i="1"/>
  <c r="V1334" i="1"/>
  <c r="V1335" i="1"/>
  <c r="V1336" i="1"/>
  <c r="V1126" i="1"/>
  <c r="V503" i="1"/>
  <c r="V582" i="1"/>
  <c r="V1141" i="1"/>
  <c r="V1902" i="1"/>
  <c r="V1403" i="1"/>
  <c r="V1370" i="1"/>
  <c r="V1442" i="1"/>
  <c r="V1879" i="1"/>
  <c r="V974" i="1"/>
  <c r="V912" i="1"/>
  <c r="V1852" i="1"/>
  <c r="V613" i="1"/>
  <c r="V1654" i="1"/>
  <c r="V1666" i="1"/>
  <c r="V1560" i="1"/>
  <c r="V1836" i="1"/>
  <c r="V2068" i="1"/>
  <c r="V2013" i="1"/>
  <c r="V496" i="1"/>
  <c r="V700" i="1"/>
  <c r="V683" i="1"/>
  <c r="V1772" i="1"/>
  <c r="V1503" i="1"/>
  <c r="V1515" i="1"/>
  <c r="V1089" i="1"/>
  <c r="V1101" i="1"/>
  <c r="V1113" i="1"/>
  <c r="V1627" i="1"/>
  <c r="V1950" i="1"/>
  <c r="V742" i="1"/>
  <c r="V1800" i="1"/>
  <c r="V1610" i="1"/>
  <c r="V787" i="1"/>
  <c r="V703" i="1"/>
  <c r="V1890" i="1"/>
  <c r="V1309" i="1"/>
  <c r="V1352" i="1"/>
  <c r="V956" i="1"/>
  <c r="V1384" i="1"/>
  <c r="V566" i="1"/>
  <c r="V825" i="1"/>
  <c r="V837" i="1"/>
  <c r="V849" i="1"/>
  <c r="V2120" i="1"/>
  <c r="V436" i="1"/>
  <c r="V732" i="1"/>
  <c r="V779" i="1"/>
  <c r="V1528" i="1"/>
  <c r="V2281" i="1"/>
  <c r="V517" i="1"/>
  <c r="V554" i="1"/>
  <c r="V1028" i="1"/>
  <c r="V529" i="1"/>
  <c r="V2073" i="1"/>
  <c r="V2260" i="1"/>
  <c r="V1545" i="1"/>
  <c r="V1885" i="1"/>
  <c r="V2019" i="1"/>
  <c r="V1443" i="1"/>
  <c r="V1867" i="1"/>
  <c r="V1054" i="1"/>
  <c r="V1569" i="1"/>
  <c r="V1581" i="1"/>
  <c r="V1593" i="1"/>
  <c r="V1605" i="1"/>
  <c r="V1532" i="1"/>
  <c r="V1561" i="1"/>
  <c r="V765" i="1"/>
  <c r="V2002" i="1"/>
  <c r="V2014" i="1"/>
  <c r="V1025" i="1"/>
  <c r="V499" i="1"/>
  <c r="V1976" i="1"/>
  <c r="V701" i="1"/>
  <c r="V598" i="1"/>
  <c r="V1628" i="1"/>
  <c r="V1209" i="1"/>
  <c r="V1552" i="1"/>
  <c r="V1780" i="1"/>
  <c r="V1806" i="1"/>
  <c r="V82" i="1"/>
  <c r="V1846" i="1"/>
  <c r="V1011" i="1"/>
  <c r="V1459" i="1"/>
  <c r="V1471" i="1"/>
  <c r="V1483" i="1"/>
  <c r="V1495" i="1"/>
  <c r="V2237" i="1"/>
  <c r="V1067" i="1"/>
  <c r="V704" i="1"/>
  <c r="V1891" i="1"/>
  <c r="V1353" i="1"/>
  <c r="V1364" i="1"/>
  <c r="V957" i="1"/>
  <c r="V71" i="1"/>
  <c r="V571" i="1"/>
  <c r="V802" i="1"/>
  <c r="V838" i="1"/>
  <c r="V2116" i="1"/>
  <c r="V2117" i="1"/>
  <c r="V2125" i="1"/>
  <c r="V94" i="1"/>
  <c r="V2139" i="1"/>
  <c r="V880" i="1"/>
  <c r="V892" i="1"/>
  <c r="V904" i="1"/>
  <c r="V437" i="1"/>
  <c r="V2291" i="1"/>
  <c r="V1211" i="1"/>
  <c r="V2298" i="1"/>
  <c r="V2076" i="1"/>
  <c r="V2031" i="1"/>
  <c r="V583" i="1"/>
  <c r="V1914" i="1"/>
  <c r="V1416" i="1"/>
  <c r="V591" i="1"/>
  <c r="V1570" i="1"/>
  <c r="V1582" i="1"/>
  <c r="V1594" i="1"/>
  <c r="V1606" i="1"/>
  <c r="V1533" i="1"/>
  <c r="V972" i="1"/>
  <c r="V2070" i="1"/>
  <c r="V2003" i="1"/>
  <c r="V2015" i="1"/>
  <c r="V1026" i="1"/>
  <c r="V502" i="1"/>
  <c r="V998" i="1"/>
  <c r="V2072" i="1"/>
  <c r="V2098" i="1"/>
  <c r="V1669" i="1"/>
  <c r="V1681" i="1"/>
  <c r="V1693" i="1"/>
  <c r="V1505" i="1"/>
  <c r="V1517" i="1"/>
  <c r="V1091" i="1"/>
  <c r="V1103" i="1"/>
  <c r="V1115" i="1"/>
  <c r="V601" i="1"/>
  <c r="V642" i="1"/>
  <c r="V1629" i="1"/>
  <c r="V1553" i="1"/>
  <c r="V744" i="1"/>
  <c r="V684" i="1"/>
  <c r="V2048" i="1"/>
  <c r="V965" i="1"/>
  <c r="V617" i="1"/>
  <c r="V1012" i="1"/>
  <c r="V1460" i="1"/>
  <c r="V1472" i="1"/>
  <c r="V1227" i="1"/>
  <c r="V1239" i="1"/>
  <c r="V1263" i="1"/>
  <c r="V1275" i="1"/>
  <c r="V1299" i="1"/>
  <c r="V1354" i="1"/>
  <c r="V958" i="1"/>
  <c r="V72" i="1"/>
  <c r="V1386" i="1"/>
  <c r="V576" i="1"/>
  <c r="V803" i="1"/>
  <c r="V815" i="1"/>
  <c r="V827" i="1"/>
  <c r="V839" i="1"/>
  <c r="V851" i="1"/>
  <c r="V1045" i="1"/>
  <c r="V2130" i="1"/>
  <c r="V95" i="1"/>
  <c r="V2144" i="1"/>
  <c r="V893" i="1"/>
  <c r="V905" i="1"/>
  <c r="V2226" i="1"/>
  <c r="V2297" i="1"/>
  <c r="V2221" i="1"/>
  <c r="V1837" i="1"/>
  <c r="V746" i="1"/>
  <c r="V1198" i="1"/>
  <c r="V1173" i="1"/>
  <c r="V2222" i="1"/>
  <c r="V2293" i="1"/>
  <c r="V560" i="1"/>
  <c r="V531" i="1"/>
  <c r="V985" i="1"/>
  <c r="V2271" i="1"/>
  <c r="V2195" i="1"/>
  <c r="V1122" i="1"/>
  <c r="V1166" i="1"/>
  <c r="V1139" i="1"/>
  <c r="V1142" i="1"/>
  <c r="V1455" i="1"/>
  <c r="V859" i="1"/>
  <c r="V1373" i="1"/>
  <c r="V1882" i="1"/>
  <c r="V1915" i="1"/>
  <c r="V918" i="1"/>
  <c r="V1518" i="1"/>
  <c r="V1657" i="1"/>
  <c r="V1725" i="1"/>
  <c r="V970" i="1"/>
  <c r="V2071" i="1"/>
  <c r="V1992" i="1"/>
  <c r="V2004" i="1"/>
  <c r="V1121" i="1"/>
  <c r="V444" i="1"/>
  <c r="V505" i="1"/>
  <c r="V1092" i="1"/>
  <c r="V1104" i="1"/>
  <c r="V1630" i="1"/>
  <c r="V1986" i="1"/>
  <c r="V1648" i="1"/>
  <c r="V1782" i="1"/>
  <c r="V768" i="1"/>
  <c r="V1946" i="1"/>
  <c r="V84" i="1"/>
  <c r="V756" i="1"/>
  <c r="V797" i="1"/>
  <c r="V706" i="1"/>
  <c r="V1038" i="1"/>
  <c r="V863" i="1"/>
  <c r="V1426" i="1"/>
  <c r="V947" i="1"/>
  <c r="V73" i="1"/>
  <c r="V581" i="1"/>
  <c r="V804" i="1"/>
  <c r="V816" i="1"/>
  <c r="V852" i="1"/>
  <c r="V2135" i="1"/>
  <c r="V439" i="1"/>
  <c r="V747" i="1"/>
  <c r="V782" i="1"/>
  <c r="V1202" i="1"/>
  <c r="V1174" i="1"/>
  <c r="V2228" i="1"/>
  <c r="V2299" i="1"/>
  <c r="V2042" i="1"/>
  <c r="V532" i="1"/>
  <c r="V986" i="1"/>
  <c r="V2277" i="1"/>
  <c r="V2187" i="1"/>
  <c r="V2196" i="1"/>
  <c r="V1613" i="1"/>
  <c r="V1400" i="1"/>
  <c r="V2215" i="1"/>
  <c r="V1167" i="1"/>
  <c r="V1371" i="1"/>
  <c r="V2288" i="1"/>
  <c r="V584" i="1"/>
  <c r="V1051" i="1"/>
  <c r="V868" i="1"/>
  <c r="V1445" i="1"/>
  <c r="V2025" i="1"/>
  <c r="V1417" i="1"/>
  <c r="V977" i="1"/>
  <c r="V1987" i="1"/>
  <c r="V1052" i="1"/>
  <c r="V1150" i="1"/>
  <c r="V1374" i="1"/>
  <c r="V1572" i="1"/>
  <c r="V1584" i="1"/>
  <c r="V1596" i="1"/>
  <c r="V1608" i="1"/>
  <c r="V1519" i="1"/>
  <c r="V1658" i="1"/>
  <c r="V709" i="1"/>
  <c r="V790" i="1"/>
  <c r="V1993" i="1"/>
  <c r="V2005" i="1"/>
  <c r="V1124" i="1"/>
  <c r="V1967" i="1"/>
  <c r="V1979" i="1"/>
  <c r="V870" i="1"/>
  <c r="V1631" i="1"/>
  <c r="V1555" i="1"/>
  <c r="V1649" i="1"/>
  <c r="V1783" i="1"/>
  <c r="V1947" i="1"/>
  <c r="V85" i="1"/>
  <c r="V967" i="1"/>
  <c r="V619" i="1"/>
  <c r="V1014" i="1"/>
  <c r="V1462" i="1"/>
  <c r="V1474" i="1"/>
  <c r="V1195" i="1"/>
  <c r="V1070" i="1"/>
  <c r="V1082" i="1"/>
  <c r="V707" i="1"/>
  <c r="V864" i="1"/>
  <c r="V692" i="1"/>
  <c r="V948" i="1"/>
  <c r="V1388" i="1"/>
  <c r="V805" i="1"/>
  <c r="V817" i="1"/>
  <c r="V841" i="1"/>
  <c r="V853" i="1"/>
  <c r="V2131" i="1"/>
  <c r="V2132" i="1"/>
  <c r="V2140" i="1"/>
  <c r="V1145" i="1"/>
  <c r="V871" i="1"/>
  <c r="V883" i="1"/>
  <c r="V895" i="1"/>
  <c r="V907" i="1"/>
  <c r="V440" i="1"/>
  <c r="V1193" i="1"/>
  <c r="V2079" i="1"/>
  <c r="V2197" i="1"/>
  <c r="V565" i="1"/>
  <c r="V580" i="1"/>
  <c r="V1050" i="1"/>
  <c r="V1148" i="1"/>
  <c r="V1811" i="1"/>
  <c r="V443" i="1"/>
  <c r="V449" i="1"/>
  <c r="V1053" i="1"/>
  <c r="V861" i="1"/>
  <c r="V1884" i="1"/>
  <c r="V2027" i="1"/>
  <c r="V672" i="1"/>
  <c r="V979" i="1"/>
  <c r="V447" i="1"/>
  <c r="V495" i="1"/>
  <c r="V1316" i="1"/>
  <c r="V1721" i="1"/>
  <c r="V1573" i="1"/>
  <c r="V1585" i="1"/>
  <c r="V710" i="1"/>
  <c r="V791" i="1"/>
  <c r="V1835" i="1"/>
  <c r="V2059" i="1"/>
  <c r="V1994" i="1"/>
  <c r="V2006" i="1"/>
  <c r="V1127" i="1"/>
  <c r="V448" i="1"/>
  <c r="V989" i="1"/>
  <c r="V1001" i="1"/>
  <c r="V2089" i="1"/>
  <c r="V2304" i="1"/>
  <c r="V1672" i="1"/>
  <c r="V1684" i="1"/>
  <c r="V1696" i="1"/>
  <c r="V2051" i="1"/>
  <c r="V1779" i="1"/>
  <c r="V1508" i="1"/>
  <c r="V1785" i="1"/>
  <c r="V1094" i="1"/>
  <c r="V1106" i="1"/>
  <c r="V1118" i="1"/>
  <c r="V1730" i="1"/>
  <c r="V645" i="1"/>
  <c r="V655" i="1"/>
  <c r="V1632" i="1"/>
  <c r="V2300" i="1"/>
  <c r="V735" i="1"/>
  <c r="V770" i="1"/>
  <c r="V687" i="1"/>
  <c r="V2148" i="1"/>
  <c r="V86" i="1"/>
  <c r="V1015" i="1"/>
  <c r="V1463" i="1"/>
  <c r="V1475" i="1"/>
  <c r="V693" i="1"/>
  <c r="V1230" i="1"/>
  <c r="V1254" i="1"/>
  <c r="V1266" i="1"/>
  <c r="V1290" i="1"/>
  <c r="V1440" i="1"/>
  <c r="V562" i="1"/>
  <c r="V569" i="1"/>
  <c r="V806" i="1"/>
  <c r="V818" i="1"/>
  <c r="V830" i="1"/>
  <c r="V842" i="1"/>
  <c r="V854" i="1"/>
  <c r="V1149" i="1"/>
  <c r="V1048" i="1"/>
  <c r="V2145" i="1"/>
  <c r="V2043" i="1"/>
  <c r="V1146" i="1"/>
  <c r="V98" i="1"/>
  <c r="V872" i="1"/>
  <c r="V884" i="1"/>
  <c r="V896" i="1"/>
  <c r="V1795" i="1"/>
  <c r="V441" i="1"/>
  <c r="V1199" i="1"/>
  <c r="V2239" i="1"/>
  <c r="V2056" i="1"/>
  <c r="V749" i="1"/>
  <c r="V794" i="1"/>
  <c r="V1176" i="1"/>
  <c r="V1499" i="1"/>
  <c r="V535" i="1"/>
  <c r="V510" i="1"/>
  <c r="V2218" i="1"/>
  <c r="V2189" i="1"/>
  <c r="V2198" i="1"/>
  <c r="V934" i="1"/>
  <c r="V657" i="1"/>
  <c r="V2007" i="1"/>
  <c r="V1509" i="1"/>
  <c r="V1786" i="1"/>
  <c r="V1095" i="1"/>
  <c r="V1107" i="1"/>
  <c r="V1119" i="1"/>
  <c r="V1633" i="1"/>
  <c r="V1159" i="1"/>
  <c r="V1639" i="1"/>
  <c r="V1620" i="1"/>
  <c r="V736" i="1"/>
  <c r="V771" i="1"/>
  <c r="V1951" i="1"/>
  <c r="V1343" i="1"/>
  <c r="V866" i="1"/>
  <c r="V1303" i="1"/>
  <c r="V950" i="1"/>
  <c r="V567" i="1"/>
  <c r="V574" i="1"/>
  <c r="V831" i="1"/>
  <c r="V855" i="1"/>
  <c r="V2044" i="1"/>
  <c r="V796" i="1"/>
  <c r="V1522" i="1"/>
  <c r="V2246" i="1"/>
  <c r="V2035" i="1"/>
  <c r="V536" i="1"/>
  <c r="V511" i="1"/>
  <c r="V552" i="1"/>
  <c r="V2224" i="1"/>
  <c r="V2295" i="1"/>
  <c r="V1728" i="1"/>
  <c r="V1377" i="1"/>
  <c r="V1791" i="1"/>
  <c r="V498" i="1"/>
  <c r="V908" i="1"/>
  <c r="V1563" i="1"/>
  <c r="V1575" i="1"/>
  <c r="V1587" i="1"/>
  <c r="V1599" i="1"/>
  <c r="V2054" i="1"/>
  <c r="V935" i="1"/>
  <c r="V1661" i="1"/>
  <c r="V1040" i="1"/>
  <c r="V712" i="1"/>
  <c r="V798" i="1"/>
  <c r="V1996" i="1"/>
  <c r="V2008" i="1"/>
  <c r="V1133" i="1"/>
  <c r="V1958" i="1"/>
  <c r="V1970" i="1"/>
  <c r="V597" i="1"/>
  <c r="V1621" i="1"/>
  <c r="V716" i="1"/>
  <c r="V1952" i="1"/>
  <c r="V1854" i="1"/>
  <c r="V1826" i="1"/>
  <c r="V1017" i="1"/>
  <c r="V1465" i="1"/>
  <c r="V1477" i="1"/>
  <c r="V2151" i="1"/>
  <c r="V2272" i="1"/>
  <c r="V1073" i="1"/>
  <c r="V1886" i="1"/>
  <c r="V1358" i="1"/>
  <c r="V951" i="1"/>
  <c r="V1391" i="1"/>
  <c r="V820" i="1"/>
  <c r="V844" i="1"/>
  <c r="V856" i="1"/>
  <c r="V659" i="1"/>
  <c r="V2147" i="1"/>
  <c r="V2045" i="1"/>
  <c r="V2109" i="1"/>
  <c r="V2256" i="1"/>
  <c r="V2251" i="1"/>
  <c r="V1034" i="1"/>
  <c r="V1420" i="1"/>
  <c r="V921" i="1"/>
  <c r="V1521" i="1"/>
  <c r="V1660" i="1"/>
  <c r="V1410" i="1"/>
  <c r="V1449" i="1"/>
  <c r="V1136" i="1"/>
  <c r="V1132" i="1"/>
  <c r="V2018" i="1"/>
  <c r="V2030" i="1"/>
  <c r="V675" i="1"/>
  <c r="V1798" i="1"/>
  <c r="V1422" i="1"/>
  <c r="V982" i="1"/>
  <c r="V1325" i="1"/>
  <c r="V1724" i="1"/>
  <c r="V1564" i="1"/>
  <c r="V1576" i="1"/>
  <c r="V609" i="1"/>
  <c r="V2301" i="1"/>
  <c r="V713" i="1"/>
  <c r="V2062" i="1"/>
  <c r="V2064" i="1"/>
  <c r="V1997" i="1"/>
  <c r="V2009" i="1"/>
  <c r="V1020" i="1"/>
  <c r="V992" i="1"/>
  <c r="V1004" i="1"/>
  <c r="V2092" i="1"/>
  <c r="V2307" i="1"/>
  <c r="V1675" i="1"/>
  <c r="V1687" i="1"/>
  <c r="V1700" i="1"/>
  <c r="V1715" i="1"/>
  <c r="V1918" i="1"/>
  <c r="V1511" i="1"/>
  <c r="V1788" i="1"/>
  <c r="V1097" i="1"/>
  <c r="V1109" i="1"/>
  <c r="V1733" i="1"/>
  <c r="V648" i="1"/>
  <c r="V1623" i="1"/>
  <c r="V1641" i="1"/>
  <c r="V738" i="1"/>
  <c r="V2103" i="1"/>
  <c r="V77" i="1"/>
  <c r="V1831" i="1"/>
  <c r="V1855" i="1"/>
  <c r="V1018" i="1"/>
  <c r="V1466" i="1"/>
  <c r="V1478" i="1"/>
  <c r="V1221" i="1"/>
  <c r="V1257" i="1"/>
  <c r="V1281" i="1"/>
  <c r="V952" i="1"/>
  <c r="V577" i="1"/>
  <c r="V1392" i="1"/>
  <c r="V563" i="1"/>
  <c r="V809" i="1"/>
  <c r="V821" i="1"/>
  <c r="V833" i="1"/>
  <c r="V845" i="1"/>
  <c r="V857" i="1"/>
  <c r="V587" i="1"/>
  <c r="V2046" i="1"/>
  <c r="V875" i="1"/>
  <c r="V887" i="1"/>
  <c r="V2262" i="1"/>
  <c r="V2257" i="1"/>
  <c r="V1035" i="1"/>
  <c r="V2083" i="1"/>
  <c r="V1524" i="1"/>
  <c r="V2040" i="1"/>
  <c r="V538" i="1"/>
  <c r="V513" i="1"/>
  <c r="V2236" i="1"/>
  <c r="V1206" i="1"/>
  <c r="V450" i="1"/>
  <c r="V2028" i="1"/>
  <c r="V2158" i="1"/>
  <c r="V1411" i="1"/>
  <c r="V983" i="1"/>
  <c r="V501" i="1"/>
  <c r="V696" i="1"/>
  <c r="V910" i="1"/>
  <c r="V1651" i="1"/>
  <c r="V1663" i="1"/>
  <c r="V1557" i="1"/>
  <c r="V1998" i="1"/>
  <c r="V2010" i="1"/>
  <c r="V1021" i="1"/>
  <c r="V697" i="1"/>
  <c r="V1857" i="1"/>
  <c r="V1624" i="1"/>
  <c r="V1162" i="1"/>
  <c r="V1548" i="1"/>
  <c r="V1642" i="1"/>
  <c r="V1944" i="1"/>
  <c r="V589" i="1"/>
  <c r="V718" i="1"/>
  <c r="V774" i="1"/>
  <c r="V78" i="1"/>
  <c r="V1888" i="1"/>
  <c r="V1306" i="1"/>
  <c r="V1393" i="1"/>
  <c r="V810" i="1"/>
  <c r="V822" i="1"/>
  <c r="V2047" i="1"/>
  <c r="V729" i="1"/>
  <c r="V753" i="1"/>
  <c r="V1844" i="1"/>
  <c r="V1525" i="1"/>
  <c r="V2263" i="1"/>
  <c r="V514" i="1"/>
  <c r="V539" i="1"/>
  <c r="V929" i="1"/>
  <c r="V2242" i="1"/>
  <c r="V1029" i="1"/>
  <c r="V1376" i="1"/>
  <c r="V1379" i="1"/>
  <c r="V1423" i="1"/>
  <c r="V2165" i="1"/>
  <c r="V1900" i="1"/>
  <c r="V1401" i="1"/>
  <c r="V1368" i="1"/>
  <c r="V1380" i="1"/>
  <c r="V1452" i="1"/>
  <c r="V677" i="1"/>
  <c r="V1858" i="1"/>
  <c r="V1566" i="1"/>
  <c r="V1578" i="1"/>
  <c r="V1590" i="1"/>
  <c r="V1602" i="1"/>
  <c r="V611" i="1"/>
  <c r="V1667" i="1"/>
  <c r="V1558" i="1"/>
  <c r="V762" i="1"/>
  <c r="V1999" i="1"/>
  <c r="V2011" i="1"/>
  <c r="V1022" i="1"/>
  <c r="V1961" i="1"/>
  <c r="V508" i="1"/>
  <c r="V1549" i="1"/>
  <c r="V1643" i="1"/>
  <c r="V590" i="1"/>
  <c r="V719" i="1"/>
  <c r="V1207" i="1"/>
  <c r="V754" i="1"/>
  <c r="V1163" i="1"/>
  <c r="V1179" i="1"/>
  <c r="V1456" i="1"/>
  <c r="V1468" i="1"/>
  <c r="V1480" i="1"/>
  <c r="V2219" i="1"/>
  <c r="V1076" i="1"/>
  <c r="V1361" i="1"/>
  <c r="V68" i="1"/>
  <c r="V573" i="1"/>
  <c r="V835" i="1"/>
  <c r="V1345" i="1"/>
  <c r="V2101" i="1"/>
  <c r="V2102" i="1"/>
  <c r="V2110" i="1"/>
  <c r="V1845" i="1"/>
  <c r="V1137" i="1"/>
  <c r="V575" i="1"/>
  <c r="V500" i="1"/>
  <c r="V1140" i="1"/>
  <c r="V1878" i="1"/>
  <c r="V2021" i="1"/>
  <c r="V1413" i="1"/>
  <c r="V504" i="1"/>
  <c r="V1790" i="1"/>
  <c r="V1567" i="1"/>
  <c r="V1579" i="1"/>
  <c r="V1591" i="1"/>
  <c r="V1603" i="1"/>
  <c r="V1497" i="1"/>
  <c r="V612" i="1"/>
  <c r="V1530" i="1"/>
  <c r="V606" i="1"/>
  <c r="V763" i="1"/>
  <c r="V1834" i="1"/>
  <c r="V2067" i="1"/>
  <c r="V2012" i="1"/>
  <c r="V1023" i="1"/>
  <c r="V995" i="1"/>
  <c r="V1007" i="1"/>
  <c r="V2095" i="1"/>
  <c r="V2310" i="1"/>
  <c r="V1678" i="1"/>
  <c r="V1690" i="1"/>
  <c r="V682" i="1"/>
  <c r="V1769" i="1"/>
  <c r="V1502" i="1"/>
  <c r="V1514" i="1"/>
  <c r="V1088" i="1"/>
  <c r="V1100" i="1"/>
  <c r="V1637" i="1"/>
  <c r="V651" i="1"/>
  <c r="V1863" i="1"/>
  <c r="V1626" i="1"/>
  <c r="V1644" i="1"/>
  <c r="V776" i="1"/>
  <c r="V1708" i="1"/>
  <c r="V1350" i="1"/>
  <c r="V2118" i="1"/>
  <c r="V80" i="1"/>
  <c r="V962" i="1"/>
  <c r="V1164" i="1"/>
  <c r="V1807" i="1"/>
  <c r="V1457" i="1"/>
  <c r="V1469" i="1"/>
  <c r="V1481" i="1"/>
  <c r="V1212" i="1"/>
  <c r="V1236" i="1"/>
  <c r="V1248" i="1"/>
  <c r="V1284" i="1"/>
  <c r="V1296" i="1"/>
  <c r="V1383" i="1"/>
  <c r="V1395" i="1"/>
  <c r="V578" i="1"/>
  <c r="V812" i="1"/>
  <c r="V824" i="1"/>
  <c r="V836" i="1"/>
  <c r="V848" i="1"/>
  <c r="V1156" i="1"/>
  <c r="V878" i="1"/>
  <c r="V890" i="1"/>
  <c r="V902" i="1"/>
  <c r="V1718" i="1"/>
  <c r="V2286" i="1"/>
  <c r="V731" i="1"/>
  <c r="V778" i="1"/>
  <c r="V1527" i="1"/>
  <c r="V2275" i="1"/>
  <c r="V516" i="1"/>
  <c r="V553" i="1"/>
  <c r="V1544" i="1"/>
  <c r="V528" i="1"/>
  <c r="V1032" i="1"/>
  <c r="V1543" i="1"/>
  <c r="U640" i="1"/>
  <c r="U148" i="1"/>
  <c r="AW148" i="1" s="1"/>
  <c r="U2168" i="1"/>
  <c r="AW2168" i="1" s="1"/>
  <c r="U2172" i="1"/>
  <c r="AW2172" i="1" s="1"/>
  <c r="U944" i="1"/>
  <c r="U624" i="1"/>
  <c r="U143" i="1"/>
  <c r="U2154" i="1"/>
  <c r="AW2154" i="1" s="1"/>
  <c r="U153" i="1"/>
  <c r="AW153" i="1" s="1"/>
  <c r="U2178" i="1"/>
  <c r="U264" i="1"/>
  <c r="U182" i="1"/>
  <c r="AW182" i="1" s="1"/>
  <c r="U196" i="1"/>
  <c r="U165" i="1"/>
  <c r="AW165" i="1" s="1"/>
  <c r="U168" i="1"/>
  <c r="U177" i="1"/>
  <c r="U180" i="1"/>
  <c r="AW180" i="1" s="1"/>
  <c r="U186" i="1"/>
  <c r="U151" i="1"/>
  <c r="AW151" i="1" s="1"/>
  <c r="U628" i="1"/>
  <c r="U269" i="1"/>
  <c r="AW269" i="1" s="1"/>
  <c r="U178" i="1"/>
  <c r="U181" i="1"/>
  <c r="AW181" i="1" s="1"/>
  <c r="U160" i="1"/>
  <c r="AW160" i="1" s="1"/>
  <c r="U5" i="1"/>
  <c r="U349" i="1"/>
  <c r="U161" i="1"/>
  <c r="AW161" i="1" s="1"/>
  <c r="U147" i="1"/>
  <c r="AW147" i="1" s="1"/>
  <c r="U155" i="1"/>
  <c r="AW155" i="1" s="1"/>
  <c r="U2180" i="1"/>
  <c r="U347" i="1"/>
  <c r="AW347" i="1" s="1"/>
  <c r="U260" i="1"/>
  <c r="U141" i="1"/>
  <c r="U145" i="1"/>
  <c r="U2208" i="1"/>
  <c r="AW2208" i="1" s="1"/>
  <c r="U2212" i="1"/>
  <c r="U36" i="1"/>
  <c r="U936" i="1"/>
  <c r="AW936" i="1" s="1"/>
  <c r="U352" i="1"/>
  <c r="U133" i="1"/>
  <c r="AW133" i="1" s="1"/>
  <c r="U137" i="1"/>
  <c r="AW137" i="1" s="1"/>
  <c r="U2166" i="1"/>
  <c r="AW2166" i="1" s="1"/>
  <c r="U2170" i="1"/>
  <c r="AW2170" i="1" s="1"/>
  <c r="U193" i="1"/>
  <c r="U679" i="1"/>
  <c r="AW679" i="1" s="1"/>
  <c r="U198" i="1"/>
  <c r="U128" i="1"/>
  <c r="AW128" i="1" s="1"/>
  <c r="U941" i="1"/>
  <c r="AW941" i="1" s="1"/>
  <c r="U354" i="1"/>
  <c r="AW354" i="1" s="1"/>
  <c r="U357" i="1"/>
  <c r="U267" i="1"/>
  <c r="U140" i="1"/>
  <c r="U144" i="1"/>
  <c r="U129" i="1"/>
  <c r="U942" i="1"/>
  <c r="AW942" i="1" s="1"/>
  <c r="U2169" i="1"/>
  <c r="AW2169" i="1" s="1"/>
  <c r="U171" i="1"/>
  <c r="AW171" i="1" s="1"/>
  <c r="U174" i="1"/>
  <c r="AW174" i="1" s="1"/>
  <c r="U183" i="1"/>
  <c r="AW183" i="1" s="1"/>
  <c r="U938" i="1"/>
  <c r="AW938" i="1" s="1"/>
  <c r="V608" i="1"/>
  <c r="U127" i="1"/>
  <c r="U197" i="1"/>
  <c r="AW197" i="1" s="1"/>
  <c r="U202" i="1"/>
  <c r="AW202" i="1" s="1"/>
  <c r="U189" i="1"/>
  <c r="U192" i="1"/>
  <c r="AW192" i="1" s="1"/>
  <c r="U2185" i="1"/>
  <c r="U2179" i="1"/>
  <c r="U351" i="1"/>
  <c r="AW351" i="1" s="1"/>
  <c r="U32" i="1"/>
  <c r="U139" i="1"/>
  <c r="U943" i="1"/>
  <c r="U169" i="1"/>
  <c r="U184" i="1"/>
  <c r="U678" i="1"/>
  <c r="AW678" i="1" s="1"/>
  <c r="U680" i="1"/>
  <c r="AW680" i="1" s="1"/>
  <c r="U344" i="1"/>
  <c r="AW344" i="1" s="1"/>
  <c r="U124" i="1"/>
  <c r="U2200" i="1"/>
  <c r="AW2200" i="1" s="1"/>
  <c r="U2204" i="1"/>
  <c r="AW2204" i="1" s="1"/>
  <c r="U2167" i="1"/>
  <c r="AW2167" i="1" s="1"/>
  <c r="U2171" i="1"/>
  <c r="AW2171" i="1" s="1"/>
  <c r="U190" i="1"/>
  <c r="U914" i="1"/>
  <c r="AW914" i="1" s="1"/>
  <c r="U360" i="1"/>
  <c r="U2183" i="1"/>
  <c r="AW2183" i="1" s="1"/>
  <c r="U167" i="1"/>
  <c r="AW167" i="1" s="1"/>
  <c r="U170" i="1"/>
  <c r="AW170" i="1" s="1"/>
  <c r="U173" i="1"/>
  <c r="U185" i="1"/>
  <c r="U937" i="1"/>
  <c r="U915" i="1"/>
  <c r="AW915" i="1" s="1"/>
  <c r="U156" i="1"/>
  <c r="AW156" i="1" s="1"/>
  <c r="U2177" i="1"/>
  <c r="U2191" i="1"/>
  <c r="U353" i="1"/>
  <c r="AW353" i="1" s="1"/>
  <c r="U265" i="1"/>
  <c r="U939" i="1"/>
  <c r="U194" i="1"/>
  <c r="U911" i="1"/>
  <c r="AW911" i="1" s="1"/>
  <c r="U149" i="1"/>
  <c r="AW149" i="1" s="1"/>
  <c r="U2184" i="1"/>
  <c r="U363" i="1"/>
  <c r="AW363" i="1" s="1"/>
  <c r="U261" i="1"/>
  <c r="AW261" i="1" s="1"/>
  <c r="U126" i="1"/>
  <c r="AW126" i="1" s="1"/>
  <c r="U130" i="1"/>
  <c r="U99" i="1"/>
  <c r="U359" i="1"/>
  <c r="AW359" i="1" s="1"/>
  <c r="U26" i="1"/>
  <c r="U361" i="1"/>
  <c r="AW361" i="1" s="1"/>
  <c r="U2159" i="1"/>
  <c r="AW2159" i="1" s="1"/>
  <c r="U2163" i="1"/>
  <c r="AW2163" i="1" s="1"/>
  <c r="U2175" i="1"/>
  <c r="AW2175" i="1" s="1"/>
  <c r="U940" i="1"/>
  <c r="U191" i="1"/>
  <c r="AW191" i="1" s="1"/>
  <c r="U134" i="1"/>
  <c r="AW134" i="1" s="1"/>
  <c r="U138" i="1"/>
  <c r="AW138" i="1" s="1"/>
  <c r="U639" i="1"/>
  <c r="AW639" i="1" s="1"/>
  <c r="U2193" i="1"/>
  <c r="AW2193" i="1" s="1"/>
  <c r="U2214" i="1"/>
  <c r="AW2214" i="1" s="1"/>
  <c r="U4" i="1"/>
  <c r="AW4" i="1" s="1"/>
  <c r="U2211" i="1"/>
  <c r="AW2211" i="1" s="1"/>
  <c r="U2201" i="1"/>
  <c r="AW2201" i="1" s="1"/>
  <c r="U2205" i="1"/>
  <c r="AW2205" i="1" s="1"/>
  <c r="U157" i="1"/>
  <c r="AW157" i="1" s="1"/>
  <c r="U166" i="1"/>
  <c r="AW166" i="1" s="1"/>
  <c r="U150" i="1"/>
  <c r="AW150" i="1" s="1"/>
  <c r="U362" i="1"/>
  <c r="AW362" i="1" s="1"/>
  <c r="U131" i="1"/>
  <c r="AW131" i="1" s="1"/>
  <c r="U135" i="1"/>
  <c r="AW135" i="1" s="1"/>
  <c r="U632" i="1"/>
  <c r="U2210" i="1"/>
  <c r="AW2210" i="1" s="1"/>
  <c r="U2160" i="1"/>
  <c r="AW2160" i="1" s="1"/>
  <c r="U2164" i="1"/>
  <c r="AW2164" i="1" s="1"/>
  <c r="U2176" i="1"/>
  <c r="AW2176" i="1" s="1"/>
  <c r="U258" i="1"/>
  <c r="AW258" i="1" s="1"/>
  <c r="U266" i="1"/>
  <c r="AW266" i="1" s="1"/>
  <c r="U253" i="1"/>
  <c r="AW253" i="1" s="1"/>
  <c r="U2207" i="1"/>
  <c r="AW2207" i="1" s="1"/>
  <c r="U2202" i="1"/>
  <c r="AW2202" i="1" s="1"/>
  <c r="U2206" i="1"/>
  <c r="AW2206" i="1" s="1"/>
  <c r="U158" i="1"/>
  <c r="AW158" i="1" s="1"/>
  <c r="U175" i="1"/>
  <c r="AW175" i="1" s="1"/>
  <c r="U154" i="1"/>
  <c r="U350" i="1"/>
  <c r="U263" i="1"/>
  <c r="U28" i="1"/>
  <c r="U348" i="1"/>
  <c r="AW348" i="1" s="1"/>
  <c r="U355" i="1"/>
  <c r="AW355" i="1" s="1"/>
  <c r="U2161" i="1"/>
  <c r="AW2161" i="1" s="1"/>
  <c r="U2173" i="1"/>
  <c r="AW2173" i="1" s="1"/>
  <c r="U681" i="1"/>
  <c r="AW681" i="1" s="1"/>
  <c r="U142" i="1"/>
  <c r="U132" i="1"/>
  <c r="AW132" i="1" s="1"/>
  <c r="U136" i="1"/>
  <c r="AW136" i="1" s="1"/>
  <c r="U259" i="1"/>
  <c r="U2186" i="1"/>
  <c r="U2209" i="1"/>
  <c r="AW2209" i="1" s="1"/>
  <c r="U2213" i="1"/>
  <c r="AW2213" i="1" s="1"/>
  <c r="U2199" i="1"/>
  <c r="AW2199" i="1" s="1"/>
  <c r="U2203" i="1"/>
  <c r="AW2203" i="1" s="1"/>
  <c r="U159" i="1"/>
  <c r="AW159" i="1" s="1"/>
  <c r="U176" i="1"/>
  <c r="AW176" i="1" s="1"/>
  <c r="U179" i="1"/>
  <c r="AW179" i="1" s="1"/>
  <c r="U187" i="1"/>
  <c r="AW187" i="1" s="1"/>
  <c r="U2182" i="1"/>
  <c r="AW2182" i="1" s="1"/>
  <c r="U22" i="1"/>
  <c r="AW22" i="1" s="1"/>
  <c r="U146" i="1"/>
  <c r="U199" i="1"/>
  <c r="AW199" i="1" s="1"/>
  <c r="U2192" i="1"/>
  <c r="U2162" i="1"/>
  <c r="AW2162" i="1" s="1"/>
  <c r="U2174" i="1"/>
  <c r="AW2174" i="1" s="1"/>
  <c r="U152" i="1"/>
  <c r="AW152" i="1" s="1"/>
  <c r="U356" i="1"/>
  <c r="AW356" i="1" s="1"/>
  <c r="U262" i="1"/>
  <c r="AW262" i="1" s="1"/>
  <c r="V67" i="1"/>
  <c r="V246" i="1"/>
  <c r="V301" i="1"/>
  <c r="V477" i="1"/>
  <c r="V244" i="1"/>
  <c r="V281" i="1"/>
  <c r="V210" i="1"/>
  <c r="V430" i="1"/>
  <c r="V238" i="1"/>
  <c r="V472" i="1"/>
  <c r="V307" i="1"/>
  <c r="V321" i="1"/>
  <c r="V280" i="1"/>
  <c r="U621" i="1"/>
  <c r="U625" i="1"/>
  <c r="U629" i="1"/>
  <c r="U633" i="1"/>
  <c r="U637" i="1"/>
  <c r="U27" i="1"/>
  <c r="V375" i="1"/>
  <c r="U33" i="1"/>
  <c r="V421" i="1"/>
  <c r="U622" i="1"/>
  <c r="U626" i="1"/>
  <c r="U630" i="1"/>
  <c r="AW630" i="1" s="1"/>
  <c r="U634" i="1"/>
  <c r="V272" i="1"/>
  <c r="U34" i="1"/>
  <c r="U623" i="1"/>
  <c r="U627" i="1"/>
  <c r="U631" i="1"/>
  <c r="U635" i="1"/>
  <c r="V471" i="1"/>
  <c r="V56" i="1"/>
  <c r="V299" i="1"/>
  <c r="V458" i="1"/>
  <c r="V314" i="1"/>
  <c r="V323" i="1"/>
  <c r="V486" i="1"/>
  <c r="V435" i="1"/>
  <c r="V219" i="1"/>
  <c r="V373" i="1"/>
  <c r="V305" i="1"/>
  <c r="V395" i="1"/>
  <c r="V476" i="1"/>
  <c r="V385" i="1"/>
  <c r="V47" i="1"/>
  <c r="V274" i="1"/>
  <c r="V365" i="1"/>
  <c r="V466" i="1"/>
  <c r="V427" i="1"/>
  <c r="V294" i="1"/>
  <c r="V463" i="1"/>
  <c r="V226" i="1"/>
  <c r="V457" i="1"/>
  <c r="V401" i="1"/>
  <c r="V51" i="1"/>
  <c r="V52" i="1"/>
  <c r="V103" i="1"/>
  <c r="V382" i="1"/>
  <c r="V320" i="1"/>
  <c r="V203" i="1"/>
  <c r="V308" i="1"/>
  <c r="V494" i="1"/>
  <c r="V247" i="1"/>
  <c r="V368" i="1"/>
  <c r="V424" i="1"/>
  <c r="V10" i="1"/>
  <c r="V366" i="1"/>
  <c r="V485" i="1"/>
  <c r="V465" i="1"/>
  <c r="V319" i="1"/>
  <c r="V404" i="1"/>
  <c r="V469" i="1"/>
  <c r="V61" i="1"/>
  <c r="V236" i="1"/>
  <c r="V125" i="1"/>
  <c r="V102" i="1"/>
  <c r="V215" i="1"/>
  <c r="V480" i="1"/>
  <c r="V239" i="1"/>
  <c r="V456" i="1"/>
  <c r="V467" i="1"/>
  <c r="V492" i="1"/>
  <c r="V249" i="1"/>
  <c r="V372" i="1"/>
  <c r="V287" i="1"/>
  <c r="V381" i="1"/>
  <c r="V39" i="1"/>
  <c r="V207" i="1"/>
  <c r="V459" i="1"/>
  <c r="V483" i="1"/>
  <c r="V7" i="1"/>
  <c r="V408" i="1"/>
  <c r="V105" i="1"/>
  <c r="V241" i="1"/>
  <c r="V473" i="1"/>
  <c r="V484" i="1"/>
  <c r="V8" i="1"/>
  <c r="V227" i="1"/>
  <c r="V250" i="1"/>
  <c r="V242" i="1"/>
  <c r="V464" i="1"/>
  <c r="V11" i="1"/>
  <c r="V371" i="1"/>
  <c r="V234" i="1"/>
  <c r="V118" i="1"/>
  <c r="V390" i="1"/>
  <c r="V369" i="1"/>
  <c r="V46" i="1"/>
  <c r="V204" i="1"/>
  <c r="V292" i="1"/>
  <c r="V384" i="1"/>
  <c r="V298" i="1"/>
  <c r="V122" i="1"/>
  <c r="V316" i="1"/>
  <c r="V322" i="1"/>
  <c r="V220" i="1"/>
  <c r="V115" i="1"/>
  <c r="V217" i="1"/>
  <c r="V392" i="1"/>
  <c r="V120" i="1"/>
  <c r="V213" i="1"/>
  <c r="V423" i="1"/>
  <c r="V426" i="1"/>
  <c r="V429" i="1"/>
  <c r="V106" i="1"/>
  <c r="V432" i="1"/>
  <c r="V121" i="1"/>
  <c r="V364" i="1"/>
  <c r="V104" i="1"/>
  <c r="V195" i="1"/>
  <c r="U2155" i="1"/>
  <c r="AW2155" i="1" s="1"/>
  <c r="V370" i="1"/>
  <c r="V374" i="1"/>
  <c r="V163" i="1"/>
  <c r="V248" i="1"/>
  <c r="U188" i="1"/>
  <c r="AW188" i="1" s="1"/>
  <c r="U37" i="1"/>
  <c r="AW37" i="1" s="1"/>
  <c r="U172" i="1"/>
  <c r="AW172" i="1" s="1"/>
  <c r="U2156" i="1"/>
  <c r="AW2156" i="1" s="1"/>
  <c r="V12" i="1"/>
  <c r="U35" i="1"/>
  <c r="AW35" i="1" s="1"/>
  <c r="V379" i="1"/>
  <c r="V451" i="1"/>
  <c r="V462" i="1"/>
  <c r="V468" i="1"/>
  <c r="V474" i="1"/>
  <c r="V481" i="1"/>
  <c r="V490" i="1"/>
  <c r="V295" i="1"/>
  <c r="V383" i="1"/>
  <c r="V454" i="1"/>
  <c r="U345" i="1"/>
  <c r="AW345" i="1" s="1"/>
  <c r="U251" i="1"/>
  <c r="AW251" i="1" s="1"/>
  <c r="V49" i="1"/>
  <c r="U346" i="1"/>
  <c r="AW346" i="1" s="1"/>
  <c r="U358" i="1"/>
  <c r="AW358" i="1" s="1"/>
  <c r="U2181" i="1"/>
  <c r="U257" i="1"/>
  <c r="AW257" i="1" s="1"/>
  <c r="V376" i="1"/>
  <c r="V400" i="1"/>
  <c r="V403" i="1"/>
  <c r="V406" i="1"/>
  <c r="V409" i="1"/>
  <c r="V25" i="1"/>
  <c r="V291" i="1"/>
  <c r="U343" i="1"/>
  <c r="AW343" i="1" s="1"/>
  <c r="U255" i="1"/>
  <c r="AW255" i="1" s="1"/>
  <c r="U252" i="1"/>
  <c r="AW252" i="1" s="1"/>
  <c r="V271" i="1"/>
  <c r="V232" i="1"/>
  <c r="V42" i="1"/>
  <c r="V283" i="1"/>
  <c r="V55" i="1"/>
  <c r="V233" i="1"/>
  <c r="U268" i="1"/>
  <c r="AW268" i="1" s="1"/>
  <c r="V23" i="1"/>
  <c r="V237" i="1"/>
  <c r="U254" i="1"/>
  <c r="AW254" i="1" s="1"/>
  <c r="V288" i="1"/>
  <c r="V230" i="1"/>
  <c r="V29" i="1"/>
  <c r="V231" i="1"/>
  <c r="V54" i="1"/>
  <c r="U256" i="1"/>
  <c r="AW256" i="1" s="1"/>
  <c r="V235" i="1"/>
  <c r="V317" i="1"/>
  <c r="V15" i="1"/>
  <c r="V20" i="1"/>
  <c r="V16" i="1"/>
  <c r="V221" i="1"/>
  <c r="V38" i="1"/>
  <c r="V50" i="1"/>
  <c r="V45" i="1"/>
  <c r="V21" i="1"/>
  <c r="V417" i="1"/>
  <c r="V17" i="1"/>
  <c r="V13" i="1"/>
  <c r="V414" i="1"/>
  <c r="V18" i="1"/>
  <c r="U733" i="1"/>
  <c r="V14" i="1"/>
  <c r="V19" i="1"/>
  <c r="V411" i="1"/>
  <c r="V420" i="1"/>
  <c r="V326" i="1"/>
  <c r="V324" i="1"/>
  <c r="V109" i="1"/>
  <c r="V112" i="1"/>
  <c r="V327" i="1"/>
  <c r="V330" i="1"/>
  <c r="V333" i="1"/>
  <c r="V336" i="1"/>
  <c r="V339" i="1"/>
  <c r="V342" i="1"/>
  <c r="U123" i="1"/>
  <c r="AW123" i="1" s="1"/>
  <c r="V60" i="1"/>
  <c r="V243" i="1"/>
  <c r="V245" i="1"/>
  <c r="V218" i="1"/>
  <c r="V297" i="1"/>
  <c r="V388" i="1"/>
  <c r="V309" i="1"/>
  <c r="V216" i="1"/>
  <c r="U636" i="1"/>
  <c r="V306" i="1"/>
  <c r="V224" i="1"/>
  <c r="V303" i="1"/>
  <c r="V397" i="1"/>
  <c r="V300" i="1"/>
  <c r="V2192" i="1" l="1"/>
  <c r="AW2192" i="1"/>
  <c r="V939" i="1"/>
  <c r="AW939" i="1"/>
  <c r="V349" i="1"/>
  <c r="AW349" i="1"/>
  <c r="V635" i="1"/>
  <c r="AW635" i="1"/>
  <c r="V28" i="1"/>
  <c r="AW28" i="1"/>
  <c r="V194" i="1"/>
  <c r="AW194" i="1"/>
  <c r="V267" i="1"/>
  <c r="AW267" i="1"/>
  <c r="V352" i="1"/>
  <c r="AW352" i="1"/>
  <c r="V168" i="1"/>
  <c r="AW168" i="1"/>
  <c r="V357" i="1"/>
  <c r="AW357" i="1"/>
  <c r="V2186" i="1"/>
  <c r="AW2186" i="1"/>
  <c r="V5" i="1"/>
  <c r="AW5" i="1"/>
  <c r="V623" i="1"/>
  <c r="AW623" i="1"/>
  <c r="V633" i="1"/>
  <c r="AW633" i="1"/>
  <c r="V146" i="1"/>
  <c r="AW146" i="1"/>
  <c r="V259" i="1"/>
  <c r="AW259" i="1"/>
  <c r="V154" i="1"/>
  <c r="AW154" i="1"/>
  <c r="V943" i="1"/>
  <c r="AW943" i="1"/>
  <c r="V2212" i="1"/>
  <c r="AW2212" i="1"/>
  <c r="V265" i="1"/>
  <c r="AW265" i="1"/>
  <c r="V632" i="1"/>
  <c r="AW632" i="1"/>
  <c r="V99" i="1"/>
  <c r="AW99" i="1"/>
  <c r="V264" i="1"/>
  <c r="AW264" i="1"/>
  <c r="V263" i="1"/>
  <c r="AW263" i="1"/>
  <c r="V184" i="1"/>
  <c r="AW184" i="1"/>
  <c r="V26" i="1"/>
  <c r="AW26" i="1"/>
  <c r="V34" i="1"/>
  <c r="AW34" i="1"/>
  <c r="V629" i="1"/>
  <c r="AW629" i="1"/>
  <c r="V2191" i="1"/>
  <c r="AW2191" i="1"/>
  <c r="V190" i="1"/>
  <c r="AW190" i="1"/>
  <c r="V139" i="1"/>
  <c r="AW139" i="1"/>
  <c r="V2181" i="1"/>
  <c r="AW2181" i="1"/>
  <c r="V625" i="1"/>
  <c r="AW625" i="1"/>
  <c r="V130" i="1"/>
  <c r="AW130" i="1"/>
  <c r="V2177" i="1"/>
  <c r="AW2177" i="1"/>
  <c r="V32" i="1"/>
  <c r="AW32" i="1"/>
  <c r="V198" i="1"/>
  <c r="AW198" i="1"/>
  <c r="V145" i="1"/>
  <c r="AW145" i="1"/>
  <c r="V178" i="1"/>
  <c r="AW178" i="1"/>
  <c r="V2178" i="1"/>
  <c r="AW2178" i="1"/>
  <c r="V627" i="1"/>
  <c r="AW627" i="1"/>
  <c r="V169" i="1"/>
  <c r="AW169" i="1"/>
  <c r="V621" i="1"/>
  <c r="AW621" i="1"/>
  <c r="V27" i="1"/>
  <c r="AW27" i="1"/>
  <c r="V640" i="1"/>
  <c r="AW640" i="1"/>
  <c r="V141" i="1"/>
  <c r="AW141" i="1"/>
  <c r="V2179" i="1"/>
  <c r="AW2179" i="1"/>
  <c r="V193" i="1"/>
  <c r="AW193" i="1"/>
  <c r="V260" i="1"/>
  <c r="AW260" i="1"/>
  <c r="V628" i="1"/>
  <c r="AW628" i="1"/>
  <c r="V142" i="1"/>
  <c r="AW142" i="1"/>
  <c r="V143" i="1"/>
  <c r="AW143" i="1"/>
  <c r="V127" i="1"/>
  <c r="AW127" i="1"/>
  <c r="V637" i="1"/>
  <c r="AW637" i="1"/>
  <c r="V360" i="1"/>
  <c r="AW360" i="1"/>
  <c r="V626" i="1"/>
  <c r="AW626" i="1"/>
  <c r="V937" i="1"/>
  <c r="AW937" i="1"/>
  <c r="V2185" i="1"/>
  <c r="AW2185" i="1"/>
  <c r="V622" i="1"/>
  <c r="AW622" i="1"/>
  <c r="V940" i="1"/>
  <c r="AW940" i="1"/>
  <c r="V2184" i="1"/>
  <c r="AW2184" i="1"/>
  <c r="V185" i="1"/>
  <c r="AW185" i="1"/>
  <c r="V124" i="1"/>
  <c r="AW124" i="1"/>
  <c r="V129" i="1"/>
  <c r="AW129" i="1"/>
  <c r="V2180" i="1"/>
  <c r="AW2180" i="1"/>
  <c r="V186" i="1"/>
  <c r="AW186" i="1"/>
  <c r="V624" i="1"/>
  <c r="AW624" i="1"/>
  <c r="V631" i="1"/>
  <c r="AW631" i="1"/>
  <c r="V350" i="1"/>
  <c r="AW350" i="1"/>
  <c r="V36" i="1"/>
  <c r="AW36" i="1"/>
  <c r="V733" i="1"/>
  <c r="AW733" i="1"/>
  <c r="V196" i="1"/>
  <c r="AW196" i="1"/>
  <c r="V634" i="1"/>
  <c r="AW634" i="1"/>
  <c r="V636" i="1"/>
  <c r="AW636" i="1"/>
  <c r="V173" i="1"/>
  <c r="AW173" i="1"/>
  <c r="V189" i="1"/>
  <c r="AW189" i="1"/>
  <c r="V144" i="1"/>
  <c r="AW144" i="1"/>
  <c r="V944" i="1"/>
  <c r="AW944" i="1"/>
  <c r="V33" i="1"/>
  <c r="AW33" i="1"/>
  <c r="V140" i="1"/>
  <c r="AW140" i="1"/>
  <c r="V177" i="1"/>
  <c r="AW177" i="1"/>
  <c r="V162" i="1"/>
  <c r="V2156" i="1"/>
  <c r="V2168" i="1"/>
  <c r="V2155" i="1"/>
  <c r="V200" i="1"/>
  <c r="V197" i="1"/>
  <c r="V161" i="1"/>
  <c r="V126" i="1"/>
  <c r="V133" i="1"/>
  <c r="V147" i="1"/>
  <c r="V151" i="1"/>
  <c r="V354" i="1"/>
  <c r="V180" i="1"/>
  <c r="V2161" i="1"/>
  <c r="V2200" i="1"/>
  <c r="V2169" i="1"/>
  <c r="V2174" i="1"/>
  <c r="V2203" i="1"/>
  <c r="V2175" i="1"/>
  <c r="V607" i="1"/>
  <c r="V942" i="1"/>
  <c r="V2170" i="1"/>
  <c r="V2162" i="1"/>
  <c r="V2199" i="1"/>
  <c r="V2205" i="1"/>
  <c r="V2163" i="1"/>
  <c r="V2166" i="1"/>
  <c r="V2154" i="1"/>
  <c r="V2213" i="1"/>
  <c r="V2176" i="1"/>
  <c r="V2201" i="1"/>
  <c r="V2159" i="1"/>
  <c r="V911" i="1"/>
  <c r="V680" i="1"/>
  <c r="V2209" i="1"/>
  <c r="V2164" i="1"/>
  <c r="V2211" i="1"/>
  <c r="V678" i="1"/>
  <c r="V630" i="1"/>
  <c r="V2160" i="1"/>
  <c r="V2183" i="1"/>
  <c r="V2210" i="1"/>
  <c r="V2214" i="1"/>
  <c r="V936" i="1"/>
  <c r="V2172" i="1"/>
  <c r="V2182" i="1"/>
  <c r="V2193" i="1"/>
  <c r="V914" i="1"/>
  <c r="V639" i="1"/>
  <c r="V938" i="1"/>
  <c r="V941" i="1"/>
  <c r="V2206" i="1"/>
  <c r="V2171" i="1"/>
  <c r="V2208" i="1"/>
  <c r="V681" i="1"/>
  <c r="V2202" i="1"/>
  <c r="V2167" i="1"/>
  <c r="V2173" i="1"/>
  <c r="V2207" i="1"/>
  <c r="V915" i="1"/>
  <c r="V2204" i="1"/>
  <c r="V679" i="1"/>
  <c r="V166" i="1"/>
  <c r="V155" i="1"/>
  <c r="V150" i="1"/>
  <c r="V134" i="1"/>
  <c r="V261" i="1"/>
  <c r="V156" i="1"/>
  <c r="V363" i="1"/>
  <c r="V191" i="1"/>
  <c r="V269" i="1"/>
  <c r="V148" i="1"/>
  <c r="V137" i="1"/>
  <c r="V153" i="1"/>
  <c r="V181" i="1"/>
  <c r="V160" i="1"/>
  <c r="V182" i="1"/>
  <c r="V174" i="1"/>
  <c r="V165" i="1"/>
  <c r="V136" i="1"/>
  <c r="V157" i="1"/>
  <c r="V359" i="1"/>
  <c r="V347" i="1"/>
  <c r="V176" i="1"/>
  <c r="V356" i="1"/>
  <c r="V171" i="1"/>
  <c r="V152" i="1"/>
  <c r="V361" i="1"/>
  <c r="V135" i="1"/>
  <c r="V159" i="1"/>
  <c r="V4" i="1"/>
  <c r="V170" i="1"/>
  <c r="V167" i="1"/>
  <c r="V351" i="1"/>
  <c r="V149" i="1"/>
  <c r="V175" i="1"/>
  <c r="V183" i="1"/>
  <c r="V132" i="1"/>
  <c r="V158" i="1"/>
  <c r="V128" i="1"/>
  <c r="V179" i="1"/>
  <c r="V344" i="1"/>
  <c r="V353" i="1"/>
  <c r="V202" i="1"/>
  <c r="V192" i="1"/>
  <c r="V199" i="1"/>
  <c r="V22" i="1"/>
  <c r="V258" i="1"/>
  <c r="V138" i="1"/>
  <c r="V187" i="1"/>
  <c r="V262" i="1"/>
  <c r="V131" i="1"/>
  <c r="V348" i="1"/>
  <c r="V362" i="1"/>
  <c r="V253" i="1"/>
  <c r="V355" i="1"/>
  <c r="V266" i="1"/>
  <c r="V346" i="1"/>
  <c r="V256" i="1"/>
  <c r="V268" i="1"/>
  <c r="V255" i="1"/>
  <c r="V358" i="1"/>
  <c r="V345" i="1"/>
  <c r="V37" i="1"/>
  <c r="V172" i="1"/>
  <c r="V257" i="1"/>
  <c r="V343" i="1"/>
  <c r="V35" i="1"/>
  <c r="V123" i="1"/>
  <c r="V252" i="1"/>
  <c r="V254" i="1"/>
  <c r="V188" i="1"/>
  <c r="V251" i="1"/>
  <c r="AH1928" i="1"/>
  <c r="AI1928" i="1" s="1"/>
  <c r="AH1929" i="1"/>
  <c r="AI1929" i="1" s="1"/>
  <c r="AH1934" i="1"/>
  <c r="AI1934" i="1" s="1"/>
  <c r="AH1927" i="1"/>
  <c r="AI1927" i="1" s="1"/>
  <c r="AH1935" i="1"/>
  <c r="AI1935" i="1" s="1"/>
  <c r="AH1936" i="1"/>
  <c r="AI1936" i="1" s="1"/>
  <c r="AH1931" i="1"/>
  <c r="AI1931" i="1" s="1"/>
  <c r="AH1937" i="1"/>
  <c r="AI1937" i="1" s="1"/>
  <c r="AH1938" i="1"/>
  <c r="AI1938" i="1" s="1"/>
</calcChain>
</file>

<file path=xl/sharedStrings.xml><?xml version="1.0" encoding="utf-8"?>
<sst xmlns="http://schemas.openxmlformats.org/spreadsheetml/2006/main" count="53332" uniqueCount="2871">
  <si>
    <t>ID</t>
  </si>
  <si>
    <t>Country</t>
  </si>
  <si>
    <t>Reserve</t>
  </si>
  <si>
    <t>MPA_network</t>
  </si>
  <si>
    <t>Reserve_habitat</t>
  </si>
  <si>
    <t>Substrate</t>
  </si>
  <si>
    <t>Depth</t>
  </si>
  <si>
    <t>Ocean</t>
  </si>
  <si>
    <t>Temp_Trop</t>
  </si>
  <si>
    <t>Reserve_size_km2</t>
  </si>
  <si>
    <t>MPA_Atlas_Reserve_size_km2</t>
  </si>
  <si>
    <t>Organism_name</t>
  </si>
  <si>
    <t>Common_name</t>
  </si>
  <si>
    <t>Var_recorded</t>
  </si>
  <si>
    <t>Var_measurment</t>
  </si>
  <si>
    <t>BO</t>
  </si>
  <si>
    <t>BI</t>
  </si>
  <si>
    <t>AO</t>
  </si>
  <si>
    <t>AI</t>
  </si>
  <si>
    <t>Response_ratio</t>
  </si>
  <si>
    <t>Percent_change</t>
  </si>
  <si>
    <t>PC (old)</t>
  </si>
  <si>
    <t>Aggregated_data_areas</t>
  </si>
  <si>
    <t>Aggregation_spatial_scale_km</t>
  </si>
  <si>
    <t>Aggregated_data_time</t>
  </si>
  <si>
    <t>Study_type</t>
  </si>
  <si>
    <t>Study_start</t>
  </si>
  <si>
    <t>Study_length_yrs</t>
  </si>
  <si>
    <t>Study_length_mnts</t>
  </si>
  <si>
    <t>Duration_study_yrs (old)</t>
  </si>
  <si>
    <t>Res_start</t>
  </si>
  <si>
    <t>Res_age_start</t>
  </si>
  <si>
    <t>Res_age_end</t>
  </si>
  <si>
    <t>Reserve age at end of study (old)</t>
  </si>
  <si>
    <t>Time_series_data</t>
  </si>
  <si>
    <t>Source_athr</t>
  </si>
  <si>
    <t>Source_yr</t>
  </si>
  <si>
    <t>Source_jrnl</t>
  </si>
  <si>
    <t>Repeat_study </t>
  </si>
  <si>
    <t>Related_studies</t>
  </si>
  <si>
    <t>In_Lester_analysis</t>
  </si>
  <si>
    <t>In_Zotero</t>
  </si>
  <si>
    <t>Read_by</t>
  </si>
  <si>
    <t>Data_source</t>
  </si>
  <si>
    <t>Notes</t>
  </si>
  <si>
    <t>Duplicate check</t>
  </si>
  <si>
    <t>New Caledonia</t>
  </si>
  <si>
    <t>Abore reef reserve</t>
  </si>
  <si>
    <t>Noumea Lagoon</t>
  </si>
  <si>
    <t>offshore</t>
  </si>
  <si>
    <t>hard</t>
  </si>
  <si>
    <t>shallow</t>
  </si>
  <si>
    <t>South Pacific</t>
  </si>
  <si>
    <t>Temperate</t>
  </si>
  <si>
    <t>Fish</t>
  </si>
  <si>
    <t>richness</t>
  </si>
  <si>
    <t>N</t>
  </si>
  <si>
    <t>IO</t>
  </si>
  <si>
    <t>Y</t>
  </si>
  <si>
    <t>Preuss</t>
  </si>
  <si>
    <t>Oxford Journals</t>
  </si>
  <si>
    <t>Amand et al 2004, Ferraris et al. 2005, Kulbicki et al. 2007</t>
  </si>
  <si>
    <t>JR</t>
  </si>
  <si>
    <t>fished area was closed from 1988-1993 and then again from 1995 onward, 1995 data used because</t>
  </si>
  <si>
    <t>Amand et al 2004, Ferraris et al. 2005, Kulbicki et al. 2009</t>
  </si>
  <si>
    <t>exact area of transect not found but is standardized to some density based on transect</t>
  </si>
  <si>
    <t>Australia</t>
  </si>
  <si>
    <t>Abrolhos Island sanctuary zone</t>
  </si>
  <si>
    <t>nearshore</t>
  </si>
  <si>
    <t>fish</t>
  </si>
  <si>
    <t>biomassden</t>
  </si>
  <si>
    <t>Edgar</t>
  </si>
  <si>
    <t>Ecological Applications</t>
  </si>
  <si>
    <t>reserve age taken from Fig.4</t>
  </si>
  <si>
    <t>Aldinga Reef Aquatic Reserve</t>
  </si>
  <si>
    <t>United States</t>
  </si>
  <si>
    <t>Anacapa Island State Marine Reserve (new)</t>
  </si>
  <si>
    <t>Channel Islands MPA</t>
  </si>
  <si>
    <t>North Pacific</t>
  </si>
  <si>
    <t>California Sheephead</t>
  </si>
  <si>
    <t>Species</t>
  </si>
  <si>
    <t>Hamilton</t>
  </si>
  <si>
    <t>Proceedings of the Royal Society B: Biological Sciences</t>
  </si>
  <si>
    <t>DG</t>
  </si>
  <si>
    <t>Paralabrax clathratus</t>
  </si>
  <si>
    <t>species</t>
  </si>
  <si>
    <t>density</t>
  </si>
  <si>
    <t>Davis</t>
  </si>
  <si>
    <t>Ecological Indicators</t>
  </si>
  <si>
    <t>near island</t>
  </si>
  <si>
    <t>North Pacific Ocean</t>
  </si>
  <si>
    <t>California sheephead</t>
  </si>
  <si>
    <t>Caselle</t>
  </si>
  <si>
    <t>Ecology Letters</t>
  </si>
  <si>
    <t>VQ</t>
  </si>
  <si>
    <t>California spiny lobster</t>
  </si>
  <si>
    <t>Giant kelp stipes</t>
  </si>
  <si>
    <t>Urchins</t>
  </si>
  <si>
    <t>functional group</t>
  </si>
  <si>
    <t>Understory brown algae</t>
  </si>
  <si>
    <t>Fleshy red algae</t>
  </si>
  <si>
    <t>cover</t>
  </si>
  <si>
    <t>Crustose coralline algae</t>
  </si>
  <si>
    <t>California Sheephead (&gt;30CM)</t>
  </si>
  <si>
    <t>size</t>
  </si>
  <si>
    <t>TL</t>
  </si>
  <si>
    <t>Anacapa Island State Marine Reserve (old)</t>
  </si>
  <si>
    <t>temperate kelp forest</t>
  </si>
  <si>
    <t>North Atlantic</t>
  </si>
  <si>
    <t>Panulirus interruptus</t>
  </si>
  <si>
    <t>lobster</t>
  </si>
  <si>
    <t>IOBA</t>
  </si>
  <si>
    <t>Babcock</t>
  </si>
  <si>
    <t>PNAS</t>
  </si>
  <si>
    <t>Tetreault and Ambrose, 2007</t>
  </si>
  <si>
    <t>Semicossyphus pulcher</t>
  </si>
  <si>
    <t>sheephead</t>
  </si>
  <si>
    <t>Stronglyocentrotus purpuratus</t>
  </si>
  <si>
    <t xml:space="preserve">urchin </t>
  </si>
  <si>
    <t>kelp</t>
  </si>
  <si>
    <t>genus</t>
  </si>
  <si>
    <t>rocky bottom</t>
  </si>
  <si>
    <t>Kelp bass, all sizes</t>
  </si>
  <si>
    <t>Tetreault</t>
  </si>
  <si>
    <t>California sheephead, all sizes, female</t>
  </si>
  <si>
    <t>California sheephead, all sizes, male</t>
  </si>
  <si>
    <t>Kelp bass, legal sizes</t>
  </si>
  <si>
    <t>notes that studies that don't separate out legal-sized animals may underestimate reserve effects</t>
  </si>
  <si>
    <t>California sheephead, legal sizes, male</t>
  </si>
  <si>
    <t>Blacksmith</t>
  </si>
  <si>
    <t>Black surfperch</t>
  </si>
  <si>
    <t>Opaleye</t>
  </si>
  <si>
    <t>Halfmoon</t>
  </si>
  <si>
    <t>Rock wrasse</t>
  </si>
  <si>
    <t>Garibaldi</t>
  </si>
  <si>
    <t>Senorita</t>
  </si>
  <si>
    <t>rocky reef</t>
  </si>
  <si>
    <t>Strongylocentrotus purpuratus</t>
  </si>
  <si>
    <t>purple urchin</t>
  </si>
  <si>
    <t>Shears</t>
  </si>
  <si>
    <t>Environmental Conservation</t>
  </si>
  <si>
    <t>Mesocentrotus franciscanus</t>
  </si>
  <si>
    <t>red urchin</t>
  </si>
  <si>
    <t>fish and benthic invertebrates</t>
  </si>
  <si>
    <t>fish and benthic invertebrates and algae</t>
  </si>
  <si>
    <t>Ano Nuevo State Marine Conservation Area</t>
  </si>
  <si>
    <t>Central California Marine Protected Areas</t>
  </si>
  <si>
    <t>Sebastes melanops</t>
  </si>
  <si>
    <t>Black rockfish</t>
  </si>
  <si>
    <t>Starr</t>
  </si>
  <si>
    <t>PLOS One</t>
  </si>
  <si>
    <t>Post-Lester Raw Data.xlsx</t>
  </si>
  <si>
    <t>data for 2013, aggregated among July - September</t>
  </si>
  <si>
    <t>Philippines</t>
  </si>
  <si>
    <t>Apo Island Reserve</t>
  </si>
  <si>
    <t>island fringing coral reef</t>
  </si>
  <si>
    <t>Tropical</t>
  </si>
  <si>
    <t>Parupeneus barberinoides</t>
  </si>
  <si>
    <t>bicolor goatfish</t>
  </si>
  <si>
    <t>Russ</t>
  </si>
  <si>
    <t>Coral Reefs</t>
  </si>
  <si>
    <t xml:space="preserve">Y </t>
  </si>
  <si>
    <t>Other Russ papers</t>
  </si>
  <si>
    <t>JKH</t>
  </si>
  <si>
    <t>Parupeneus crassilabris</t>
  </si>
  <si>
    <t>doublebar goatfish</t>
  </si>
  <si>
    <t>Parupeneus multifasciatus</t>
  </si>
  <si>
    <t>manybar goatfish</t>
  </si>
  <si>
    <t>Mullidae</t>
  </si>
  <si>
    <t>goatfish</t>
  </si>
  <si>
    <t>family</t>
  </si>
  <si>
    <t>coral reef</t>
  </si>
  <si>
    <t>Serranidae and Lutjanidae</t>
  </si>
  <si>
    <t>groupers and snappers (Large predators)</t>
  </si>
  <si>
    <t>Scarus tricolore</t>
  </si>
  <si>
    <t>three-color parrotfish (herbivore)</t>
  </si>
  <si>
    <t>Hemigymnus melapterus</t>
  </si>
  <si>
    <t xml:space="preserve">Blackeye thicklip wrasse (Omnivore) </t>
  </si>
  <si>
    <t>Naso vlamingi</t>
  </si>
  <si>
    <t>bignose unicornfish (Planktivore)</t>
  </si>
  <si>
    <t>Lethrinid and Lutjanid</t>
  </si>
  <si>
    <t>emperors and snappers</t>
  </si>
  <si>
    <t xml:space="preserve">IO </t>
  </si>
  <si>
    <t>Marine Ecology Progress Series</t>
  </si>
  <si>
    <t>damselfishes and clownfishes, non-harvested</t>
  </si>
  <si>
    <t>Scleractinia</t>
  </si>
  <si>
    <t>hard coral</t>
  </si>
  <si>
    <t>near shore</t>
  </si>
  <si>
    <t>Chaetodontidae</t>
  </si>
  <si>
    <t>Obligate hard corallivores</t>
  </si>
  <si>
    <t>Marine Biology</t>
  </si>
  <si>
    <t>branching and tabular coral</t>
  </si>
  <si>
    <t>BA</t>
  </si>
  <si>
    <t>Acanthurus nigricauda</t>
  </si>
  <si>
    <t>Epaulette surgeonfish</t>
  </si>
  <si>
    <t>Fish Biology</t>
  </si>
  <si>
    <t>Acanthurus pyroferus</t>
  </si>
  <si>
    <t>Chocolate surgeonfish</t>
  </si>
  <si>
    <t>Hemigymnus fasciatus</t>
  </si>
  <si>
    <t>thicklip wrasse</t>
  </si>
  <si>
    <t>Thalassoma hardwickii</t>
  </si>
  <si>
    <t>sixbar wrasse</t>
  </si>
  <si>
    <t>Thalassoma lunare</t>
  </si>
  <si>
    <t>moon wrasse</t>
  </si>
  <si>
    <t>Cirrhilabrus</t>
  </si>
  <si>
    <t>Caesio caerulaurea</t>
  </si>
  <si>
    <t>Blue and gold Fusiliers</t>
  </si>
  <si>
    <t>Marine Ecology</t>
  </si>
  <si>
    <t>Caesionidae</t>
  </si>
  <si>
    <t>Fusiliers</t>
  </si>
  <si>
    <t>Portugal</t>
  </si>
  <si>
    <t>Arrábida Marine Protected Area</t>
  </si>
  <si>
    <t>Tripterygion delaisi</t>
  </si>
  <si>
    <t>Horta e Costa</t>
  </si>
  <si>
    <t>Symphodus roissali</t>
  </si>
  <si>
    <t>Symphodus melops</t>
  </si>
  <si>
    <t>Symphodus bailloni</t>
  </si>
  <si>
    <t>Serranus cabrilla</t>
  </si>
  <si>
    <t>Sarpa salpa</t>
  </si>
  <si>
    <t>Parablennius pilicornis</t>
  </si>
  <si>
    <t>Octopus vulgaris</t>
  </si>
  <si>
    <t>Necora puber</t>
  </si>
  <si>
    <t>Mugilidae</t>
  </si>
  <si>
    <t>Labrus bergylta</t>
  </si>
  <si>
    <t>Gobius xanthocephalus</t>
  </si>
  <si>
    <t>Diplodus vulgaris</t>
  </si>
  <si>
    <t>Diplodus sargus</t>
  </si>
  <si>
    <t>Ctenolabrus rupestris</t>
  </si>
  <si>
    <t>Centrolabrus exoletus</t>
  </si>
  <si>
    <t>North Atlantic Ocean</t>
  </si>
  <si>
    <t>sponges</t>
  </si>
  <si>
    <t>Henriques</t>
  </si>
  <si>
    <t>Journal of Sea Research</t>
  </si>
  <si>
    <t>Anemones</t>
  </si>
  <si>
    <t>Hydrozoans</t>
  </si>
  <si>
    <t>Gorgonians</t>
  </si>
  <si>
    <t>Polychaetes</t>
  </si>
  <si>
    <t>Gastropods</t>
  </si>
  <si>
    <t>Bivalves</t>
  </si>
  <si>
    <t>Crustaceans</t>
  </si>
  <si>
    <t>Ascidians</t>
  </si>
  <si>
    <t>Sea stars</t>
  </si>
  <si>
    <t>Sea urchins</t>
  </si>
  <si>
    <t>Sea cucumbers</t>
  </si>
  <si>
    <t>Creeping algae</t>
  </si>
  <si>
    <t>Tufts algae</t>
  </si>
  <si>
    <t>Encrusting algae</t>
  </si>
  <si>
    <t>Filamentous algae</t>
  </si>
  <si>
    <t>Sheet algae</t>
  </si>
  <si>
    <t>early juveniles (&lt;10 cm)</t>
  </si>
  <si>
    <t>juveniles (10 - 16 cm)</t>
  </si>
  <si>
    <t>adults (&gt; 16 cm)</t>
  </si>
  <si>
    <t>juveniles (10 - 20 cm)</t>
  </si>
  <si>
    <t>adults (&gt; 20 cm)</t>
  </si>
  <si>
    <t>Mexico</t>
  </si>
  <si>
    <t>Reef</t>
  </si>
  <si>
    <t>Valdivia</t>
  </si>
  <si>
    <t>Science Advances</t>
  </si>
  <si>
    <t>MM</t>
  </si>
  <si>
    <t>reef crest and reef slope</t>
  </si>
  <si>
    <t>Haemulidae, Lethrinidae, Lutjanidae, Nemipteridae, Serranidae</t>
  </si>
  <si>
    <t>top-trophic level fish</t>
  </si>
  <si>
    <t>Samoilys</t>
  </si>
  <si>
    <t>Biological Conservation</t>
  </si>
  <si>
    <t>Two sites not includes due to lack of enforcement</t>
  </si>
  <si>
    <t>Labridae</t>
  </si>
  <si>
    <t>wrasses</t>
  </si>
  <si>
    <t>Scaridae</t>
  </si>
  <si>
    <t>Parrotfish</t>
  </si>
  <si>
    <t>Pomacentridae</t>
  </si>
  <si>
    <t>damselfish, clownfish</t>
  </si>
  <si>
    <t>Sweden</t>
  </si>
  <si>
    <t>Åsvikelandet-Kvädö</t>
  </si>
  <si>
    <t>brackish</t>
  </si>
  <si>
    <t>soft</t>
  </si>
  <si>
    <t>Baltic Sea</t>
  </si>
  <si>
    <t>Perca fluviatilis</t>
  </si>
  <si>
    <t>Perch</t>
  </si>
  <si>
    <t>Bergstrom</t>
  </si>
  <si>
    <t>Ambio</t>
  </si>
  <si>
    <t>Sander lucioperca</t>
  </si>
  <si>
    <t>Pikeperch</t>
  </si>
  <si>
    <t>Esox lucius</t>
  </si>
  <si>
    <t>Pike</t>
  </si>
  <si>
    <t>Cyprinidae</t>
  </si>
  <si>
    <t>Cyprinids</t>
  </si>
  <si>
    <t>non-piscivores</t>
  </si>
  <si>
    <t>Ave Maria Marine Reserve</t>
  </si>
  <si>
    <t>order</t>
  </si>
  <si>
    <t>Stockwell</t>
  </si>
  <si>
    <t>Some reserves excluded due to intermittent protection</t>
  </si>
  <si>
    <t>Macroalgae</t>
  </si>
  <si>
    <t>Herbivorous fish</t>
  </si>
  <si>
    <t>Individuals species biomass in each reserve was being compared to all fish sites being pooled together. Some reserves excluded due to intermittent protection</t>
  </si>
  <si>
    <t>Avencas Biophysical Interest Zone of Avencas</t>
  </si>
  <si>
    <t>Flora</t>
  </si>
  <si>
    <t>Ferreira</t>
  </si>
  <si>
    <t>Sessile faunal species</t>
  </si>
  <si>
    <t>Mobile faunal species</t>
  </si>
  <si>
    <t>Belize</t>
  </si>
  <si>
    <t>Belize Barrier Reef Reserve System</t>
  </si>
  <si>
    <t>Bagonbanua Marine Reserve and Fish Sanctuary</t>
  </si>
  <si>
    <t>Porites cylindrica</t>
  </si>
  <si>
    <t>Boco</t>
  </si>
  <si>
    <t>Regional Studies in Marine Science</t>
  </si>
  <si>
    <t>Porites rus</t>
  </si>
  <si>
    <t>Bahía de Loreto</t>
  </si>
  <si>
    <t>Eucidaris thouarsii</t>
  </si>
  <si>
    <t>Rojas-Montiel</t>
  </si>
  <si>
    <t>Biodiversity and Conservation</t>
  </si>
  <si>
    <t>Tripneustes depressus</t>
  </si>
  <si>
    <t>Toxopneustes roseus</t>
  </si>
  <si>
    <t>Echinometra vanbrunti</t>
  </si>
  <si>
    <t>Diadema mexicanum</t>
  </si>
  <si>
    <t>Centrostephanus coronatu</t>
  </si>
  <si>
    <t>Arbacia stellata</t>
  </si>
  <si>
    <t>Phataria unifascialis</t>
  </si>
  <si>
    <t>Pharia pyramidata</t>
  </si>
  <si>
    <t>Pentaceraster cumingi</t>
  </si>
  <si>
    <t>Nidorellia armata</t>
  </si>
  <si>
    <t>Acanthaster planci</t>
  </si>
  <si>
    <t>Mithrodia bradleyi</t>
  </si>
  <si>
    <t>Heliaster kubiniji</t>
  </si>
  <si>
    <t>Echinaster tenuispina</t>
  </si>
  <si>
    <t>Bahía de los Ángeles</t>
  </si>
  <si>
    <t>Bahías de Huatulco</t>
  </si>
  <si>
    <t>Seychelles</t>
  </si>
  <si>
    <t>Baie Ternary Marine National Park</t>
  </si>
  <si>
    <t>Cabo Pulmo National Park</t>
  </si>
  <si>
    <t>Indian Ocean</t>
  </si>
  <si>
    <t>Encrusting coral</t>
  </si>
  <si>
    <t>Wilson</t>
  </si>
  <si>
    <t>Conservation Biology</t>
  </si>
  <si>
    <t>did not include the Curieuse reserve b/c no outside comparison close by. Chose the clostest outside area for each reserve.</t>
  </si>
  <si>
    <t>Branching coral</t>
  </si>
  <si>
    <t>Massive coral</t>
  </si>
  <si>
    <t>Senegal</t>
  </si>
  <si>
    <t>Bamboung MPA</t>
  </si>
  <si>
    <t>Tropical estuary/ mudflats</t>
  </si>
  <si>
    <t xml:space="preserve">soft </t>
  </si>
  <si>
    <t>Arius latiscutatus</t>
  </si>
  <si>
    <t>Rough-head sea catfish </t>
  </si>
  <si>
    <t>Sadio</t>
  </si>
  <si>
    <t>Ocean and Coastal Management</t>
  </si>
  <si>
    <t>Albaret et al., 2005;</t>
  </si>
  <si>
    <t>Based on Appendix values. Related studies are BA studies fo same site. (Check if in lesters study)</t>
  </si>
  <si>
    <t>Batrachoides liberiensis</t>
  </si>
  <si>
    <t>toadfish</t>
  </si>
  <si>
    <t>Tito de Morais et al., 2007</t>
  </si>
  <si>
    <t xml:space="preserve">Caranx hippos </t>
  </si>
  <si>
    <t>crevalle jack </t>
  </si>
  <si>
    <t xml:space="preserve"> Ecoutin et al., 2014</t>
  </si>
  <si>
    <t>Chloroscombrus chrysurus</t>
  </si>
  <si>
    <t> Atlantic bumper </t>
  </si>
  <si>
    <t>Trachinotus teraia</t>
  </si>
  <si>
    <t>shortfin pompano</t>
  </si>
  <si>
    <t>Tilapia guineensis</t>
  </si>
  <si>
    <t>tilapia</t>
  </si>
  <si>
    <t>Ethmalosa fimbriata</t>
  </si>
  <si>
    <t>bonga shad</t>
  </si>
  <si>
    <t>Sardinella maderensis</t>
  </si>
  <si>
    <t>Madeiran sardinella</t>
  </si>
  <si>
    <t>Cynoglossus senegalensis</t>
  </si>
  <si>
    <t>sengalese tonguefish</t>
  </si>
  <si>
    <t>Dasyatis margarita</t>
  </si>
  <si>
    <t>daisy stingray</t>
  </si>
  <si>
    <t>Dasyatis margaritella</t>
  </si>
  <si>
    <t>Elops lacerta</t>
  </si>
  <si>
    <t>West African Ladyfish</t>
  </si>
  <si>
    <t>Elops senegalensis</t>
  </si>
  <si>
    <t>ladyfish</t>
  </si>
  <si>
    <t>Ephippus goreensis</t>
  </si>
  <si>
    <t>East Atlantic African spadefish</t>
  </si>
  <si>
    <t>Eucinostomus melanopterus</t>
  </si>
  <si>
    <t>Flagfin mojarra</t>
  </si>
  <si>
    <t>Gerres nigri</t>
  </si>
  <si>
    <t>Guinean striped mojarra</t>
  </si>
  <si>
    <t>Plectorhinchus macrolepis</t>
  </si>
  <si>
    <t>Biglip grunt</t>
  </si>
  <si>
    <t>Pomadasys perotaei</t>
  </si>
  <si>
    <t>Parrot grunt</t>
  </si>
  <si>
    <t>Hemiramphus brasiliensis</t>
  </si>
  <si>
    <t>Ballyhoo halfbeak</t>
  </si>
  <si>
    <t>Monodactylus sebae</t>
  </si>
  <si>
    <t>African moony</t>
  </si>
  <si>
    <t>Liza dumerili</t>
  </si>
  <si>
    <t>Grooved mullet</t>
  </si>
  <si>
    <t>Liza falcipinnis</t>
  </si>
  <si>
    <t>Sicklefin mullet</t>
  </si>
  <si>
    <t>Liza grandisquamis</t>
  </si>
  <si>
    <t>Largescaled mullet</t>
  </si>
  <si>
    <t>Mugil bananensis</t>
  </si>
  <si>
    <t>Banana mullet</t>
  </si>
  <si>
    <t>Mugil curema</t>
  </si>
  <si>
    <t>White mullet</t>
  </si>
  <si>
    <t>Galeoides decadactylus</t>
  </si>
  <si>
    <t>Lesser African threadfin</t>
  </si>
  <si>
    <t>Epinephelus aeneus</t>
  </si>
  <si>
    <t>White grouper</t>
  </si>
  <si>
    <t>Synaptura lusitanica</t>
  </si>
  <si>
    <t>Portuguese sole</t>
  </si>
  <si>
    <t>Sphyraena afra</t>
  </si>
  <si>
    <t>Guinean barracuda</t>
  </si>
  <si>
    <t>Ephippion guttifer</t>
  </si>
  <si>
    <t>Prickly puffer</t>
  </si>
  <si>
    <t>estuarine</t>
  </si>
  <si>
    <t>Scavenging-grazing herbivores</t>
  </si>
  <si>
    <t>trophic group</t>
  </si>
  <si>
    <t>FL</t>
  </si>
  <si>
    <t>Ecoutin</t>
  </si>
  <si>
    <t>Trophic-groups were taken from Fishbase. Biomass for individual species given, but data is spare and unclear if normalied. Bio-ecological categories also given.</t>
  </si>
  <si>
    <t>Phytoplankton herbivores</t>
  </si>
  <si>
    <t>Zooplankton predators</t>
  </si>
  <si>
    <t>First-level generalist</t>
  </si>
  <si>
    <t>Second-level generalist</t>
  </si>
  <si>
    <t>Second-level piscivorous predators</t>
  </si>
  <si>
    <t>Bantigian</t>
  </si>
  <si>
    <t>coral reefs</t>
  </si>
  <si>
    <t>Syngnathid</t>
  </si>
  <si>
    <t>seshorses</t>
  </si>
  <si>
    <t>Yasue</t>
  </si>
  <si>
    <t>Compares different resevers in network, only three sites with data (ones that had high enforcement and data collected)</t>
  </si>
  <si>
    <t>Baobaon Marine Reserve</t>
  </si>
  <si>
    <t>Basak Marine Reserve</t>
  </si>
  <si>
    <t>Batemans Marine Park Network</t>
  </si>
  <si>
    <t>Batemans Marine Park</t>
  </si>
  <si>
    <t>Ortodossi</t>
  </si>
  <si>
    <t>BRUV study; resereve info taken from supplemental material; Two reserves AS1in batemans bay, younger one used for info</t>
  </si>
  <si>
    <t>deep</t>
  </si>
  <si>
    <t>encrusting calcareous algae</t>
  </si>
  <si>
    <t>Ferrari</t>
  </si>
  <si>
    <t>erect fine branching algae</t>
  </si>
  <si>
    <t>filamentous macroalgae</t>
  </si>
  <si>
    <t>Ecklonia radiata</t>
  </si>
  <si>
    <t>Simple massive sponges</t>
  </si>
  <si>
    <t>Sponge crusts</t>
  </si>
  <si>
    <t>Turfing algae</t>
  </si>
  <si>
    <t>Coleman</t>
  </si>
  <si>
    <t>Girella</t>
  </si>
  <si>
    <t>Cheilodactylus fuscus</t>
  </si>
  <si>
    <t>Achoerodus viridis</t>
  </si>
  <si>
    <t>Astratium tentoriformis</t>
  </si>
  <si>
    <t>Turbo torquatus</t>
  </si>
  <si>
    <t>Haliotis rubra</t>
  </si>
  <si>
    <t>Centrostephanus rodgersii</t>
  </si>
  <si>
    <t>Echinoidea</t>
  </si>
  <si>
    <t>class</t>
  </si>
  <si>
    <t>Phyllospora comosa</t>
  </si>
  <si>
    <t>Sargassum</t>
  </si>
  <si>
    <t>Barrens</t>
  </si>
  <si>
    <t>Algal turf</t>
  </si>
  <si>
    <t>Baylimango Marine Reserve</t>
  </si>
  <si>
    <t>Broughton Island no-take area</t>
  </si>
  <si>
    <t>Port Stephens-Great Lakes Marine Park</t>
  </si>
  <si>
    <t>both</t>
  </si>
  <si>
    <t>Chrysophrys auratus</t>
  </si>
  <si>
    <t>Australasian Snapper</t>
  </si>
  <si>
    <t>cm TL</t>
  </si>
  <si>
    <t>Harasti</t>
  </si>
  <si>
    <t>Frontiers in Marine Science</t>
  </si>
  <si>
    <t>BRUV study</t>
  </si>
  <si>
    <t>Broulee Island</t>
  </si>
  <si>
    <t>rock reef</t>
  </si>
  <si>
    <t>Reef-associated Fish</t>
  </si>
  <si>
    <t>Kelaher</t>
  </si>
  <si>
    <t>Brush Island</t>
  </si>
  <si>
    <t>Tobago</t>
  </si>
  <si>
    <t>Buccoo Reef Marine Park</t>
  </si>
  <si>
    <t>Coral</t>
  </si>
  <si>
    <t>Alemu</t>
  </si>
  <si>
    <t>Revista de Biología Tropical</t>
  </si>
  <si>
    <t>Didn't includde north-eastern sites in 'outisde' averages as different reef type</t>
  </si>
  <si>
    <t>Sponge</t>
  </si>
  <si>
    <t>Algae</t>
  </si>
  <si>
    <t>reef fish</t>
  </si>
  <si>
    <t>Burrewarra</t>
  </si>
  <si>
    <t>Cabbage Tree no-take area</t>
  </si>
  <si>
    <t>Spain</t>
  </si>
  <si>
    <t>Cabo de Palos – Islas Hormigas Marine Reserve</t>
  </si>
  <si>
    <t>near-shore islands</t>
  </si>
  <si>
    <t>mixed</t>
  </si>
  <si>
    <t>Mediterranean</t>
  </si>
  <si>
    <t>Epinephelus marginatus</t>
  </si>
  <si>
    <t>dusky grouper</t>
  </si>
  <si>
    <t>Hackradt</t>
  </si>
  <si>
    <t>outside MPA incudes bufferzone - NOT all species recorded at sites (recorded as zero), Surveyed both hard and soft substrate</t>
  </si>
  <si>
    <t>Epinephelus costae</t>
  </si>
  <si>
    <t>goldbloch grouper</t>
  </si>
  <si>
    <t>Mycteroperca rubra</t>
  </si>
  <si>
    <t>mottled grouper</t>
  </si>
  <si>
    <t>Harmelin-Vivien</t>
  </si>
  <si>
    <t>Surveyed both hard and soft substrate</t>
  </si>
  <si>
    <t>Garcia-Charton</t>
  </si>
  <si>
    <t>Journal for Nature Conservation</t>
  </si>
  <si>
    <t xml:space="preserve">Garcia-Charton et al. 2007 </t>
  </si>
  <si>
    <t>related papers not included in our Meta-analysis, not all data from paper included as it is unclear or lacks control site</t>
  </si>
  <si>
    <t>Garcia-Charton et al. 2007</t>
  </si>
  <si>
    <t>Sciaena umbra</t>
  </si>
  <si>
    <t>Dentex dentex</t>
  </si>
  <si>
    <t>Diplodus cervinus</t>
  </si>
  <si>
    <t>Piscivorous demersal spp</t>
  </si>
  <si>
    <t>Aburto-Oropeza</t>
  </si>
  <si>
    <t xml:space="preserve">study in 1999 &amp; 2009 - considred this as IOBA because reserve began in 1995 but became highly enforced &amp; full no-take in the years following </t>
  </si>
  <si>
    <t>herbivores</t>
  </si>
  <si>
    <t>zooplanktivores</t>
  </si>
  <si>
    <t>carnivores</t>
  </si>
  <si>
    <t>Top predators</t>
  </si>
  <si>
    <t>Cabo San Lucas Marine Protected Area, Espiritu Santo Marine Protected Area, Canales de Ballenas y Salsipuedes Reserve no-take areas</t>
  </si>
  <si>
    <t>Gulf of California</t>
  </si>
  <si>
    <t>NA</t>
  </si>
  <si>
    <t>Ulate</t>
  </si>
  <si>
    <t>Aggregated across a large area with multiple separately manage MPAs. Reserve temporal information not given. Spatial scale manually estimated on google earth</t>
  </si>
  <si>
    <t>slate pencil urchin</t>
  </si>
  <si>
    <t>white sea urchin</t>
  </si>
  <si>
    <t>Panamic cushion star</t>
  </si>
  <si>
    <t>Pharia pyramidatus</t>
  </si>
  <si>
    <t>blue seastar</t>
  </si>
  <si>
    <t>Echinoderm predatory fish</t>
  </si>
  <si>
    <t>Macroinvertivore fish</t>
  </si>
  <si>
    <t>Piscivore fish</t>
  </si>
  <si>
    <t>Zooplanktivore fish</t>
  </si>
  <si>
    <t>Cabrera Archipelago National Park</t>
  </si>
  <si>
    <t xml:space="preserve">National Park of Cabrera Island </t>
  </si>
  <si>
    <t>Caldeirinhas twin craters</t>
  </si>
  <si>
    <t>Monte da Guia MPA</t>
  </si>
  <si>
    <t>coastal reef</t>
  </si>
  <si>
    <t>Benthopelagic commercial species</t>
  </si>
  <si>
    <t>unknown</t>
  </si>
  <si>
    <t xml:space="preserve">Afonso </t>
  </si>
  <si>
    <t>Already converted to response ratio. Only functional grouping data included. Data for spp size and home range is avaliable, but not relevant to our study. Formigas data not included as not a fully no-take (even though authors dismiss this).</t>
  </si>
  <si>
    <t>Benthic commercial species</t>
  </si>
  <si>
    <t>Cryptic commercial species</t>
  </si>
  <si>
    <t>Caneiro dos Meros MPA</t>
  </si>
  <si>
    <t>exposed rocky reef</t>
  </si>
  <si>
    <t>Pelagic commercial species</t>
  </si>
  <si>
    <t>Canlucani Marine Reserve</t>
  </si>
  <si>
    <t>France</t>
  </si>
  <si>
    <t>Cap Roux Marine Protected Area</t>
  </si>
  <si>
    <t>seagrass bed</t>
  </si>
  <si>
    <t>Seytre</t>
  </si>
  <si>
    <t>Averaged May &amp; Sep. data due to high variability between the cold and warm season, monitoring didn't start until 2005</t>
  </si>
  <si>
    <t>Sparidae</t>
  </si>
  <si>
    <t>sea breams and porgies</t>
  </si>
  <si>
    <t>Serranidae</t>
  </si>
  <si>
    <t>bass and groupers</t>
  </si>
  <si>
    <t>goatfishes</t>
  </si>
  <si>
    <t>monitoring didn't start until 2005</t>
  </si>
  <si>
    <t>Scorpaenidae</t>
  </si>
  <si>
    <t>scorpionfish</t>
  </si>
  <si>
    <t>Cape Byron Sancutuary</t>
  </si>
  <si>
    <t>BRUV study; resereve info taken from supplemental material</t>
  </si>
  <si>
    <t>New Zealand</t>
  </si>
  <si>
    <t>Cape Rodney–Okakari Point Marine Reserve</t>
  </si>
  <si>
    <t>Palinuridae</t>
  </si>
  <si>
    <t>Rock lobster</t>
  </si>
  <si>
    <t>Urchin</t>
  </si>
  <si>
    <t>Teleostei</t>
  </si>
  <si>
    <t>Benthic carnivores</t>
  </si>
  <si>
    <t>Higher carnivores</t>
  </si>
  <si>
    <t>Herbivores</t>
  </si>
  <si>
    <t>Planktivores</t>
  </si>
  <si>
    <t>Turf algae</t>
  </si>
  <si>
    <t>Fucales</t>
  </si>
  <si>
    <t>Fucoid algae</t>
  </si>
  <si>
    <t>Corallinales</t>
  </si>
  <si>
    <t>Other foliose algae</t>
  </si>
  <si>
    <t>Jasus edwardsii</t>
  </si>
  <si>
    <t>rock lobster</t>
  </si>
  <si>
    <t>cm</t>
  </si>
  <si>
    <t>Pande</t>
  </si>
  <si>
    <t>synthesizes data from other published and unpublished studies and so habitat data not mentioned</t>
  </si>
  <si>
    <t xml:space="preserve">hard </t>
  </si>
  <si>
    <t>spiny lobster</t>
  </si>
  <si>
    <t>Freeman</t>
  </si>
  <si>
    <t>Cape Sardao reserve</t>
  </si>
  <si>
    <t>Parque Natural do Sudoeste Alentejano e Costa Vicentina</t>
  </si>
  <si>
    <t>Pereira</t>
  </si>
  <si>
    <t>size measurement type not stated, deliberately sampled hard and soft substrate areas</t>
  </si>
  <si>
    <t>Carang Marine Reserve</t>
  </si>
  <si>
    <t>Carry-le-Rouet Natural Park</t>
  </si>
  <si>
    <t>Cata-an Marine Sanctuary</t>
  </si>
  <si>
    <t>Espectato</t>
  </si>
  <si>
    <t>Live hard coral</t>
  </si>
  <si>
    <t>Catalina Marine Science Center Marine Life Refuge</t>
  </si>
  <si>
    <t>Catalina Island MPAs</t>
  </si>
  <si>
    <t>Selden</t>
  </si>
  <si>
    <t>Palau</t>
  </si>
  <si>
    <t>Cemetery MPA</t>
  </si>
  <si>
    <t>stony corals</t>
  </si>
  <si>
    <t>Page</t>
  </si>
  <si>
    <t>Diseases of Aquatic Organisms</t>
  </si>
  <si>
    <t>Acroporidae and Portidae</t>
  </si>
  <si>
    <t>Cerbere–Banyuls Marine Natural Reserve</t>
  </si>
  <si>
    <t>Channel Islands marine reserve network</t>
  </si>
  <si>
    <t>California Spiny Lobster</t>
  </si>
  <si>
    <t>mm</t>
  </si>
  <si>
    <t>Kay</t>
  </si>
  <si>
    <t>Combines data for Carrington, Gull, and scorpion reserve</t>
  </si>
  <si>
    <t xml:space="preserve">density </t>
  </si>
  <si>
    <t>Taiwan</t>
  </si>
  <si>
    <t>Chinwan Inner Bay no-take area</t>
  </si>
  <si>
    <t>Hsieh</t>
  </si>
  <si>
    <t>Zoological Studies</t>
  </si>
  <si>
    <t>Reserve area estimated from fig. 1</t>
  </si>
  <si>
    <t>Grouper</t>
  </si>
  <si>
    <t>Humpback grouper</t>
  </si>
  <si>
    <t>Pavona frondifera</t>
  </si>
  <si>
    <t>Zanzibar (Autonomous region of Tanzania.)</t>
  </si>
  <si>
    <t>Chumbe &amp; Mnemba Reserves</t>
  </si>
  <si>
    <t>Unguja Island MPAs</t>
  </si>
  <si>
    <t>7km</t>
  </si>
  <si>
    <t>Alonso Aller</t>
  </si>
  <si>
    <t xml:space="preserve">Took averages from fig.5. Pooled from two MPAs: one MPA est 1994 &amp; the other 2002, used youngest one. </t>
  </si>
  <si>
    <t>Indian</t>
  </si>
  <si>
    <t>Hard coral</t>
  </si>
  <si>
    <t>McClanahan</t>
  </si>
  <si>
    <t>Fleshy algae</t>
  </si>
  <si>
    <t>Soft coral</t>
  </si>
  <si>
    <t>seagrass</t>
  </si>
  <si>
    <t>Porites</t>
  </si>
  <si>
    <t>coral, branching</t>
  </si>
  <si>
    <t>Pocillopora</t>
  </si>
  <si>
    <t>Pavona</t>
  </si>
  <si>
    <t>Dictyota</t>
  </si>
  <si>
    <t>Diadema setosum</t>
  </si>
  <si>
    <t>Acanthuridae</t>
  </si>
  <si>
    <t>Balistidae</t>
  </si>
  <si>
    <t>Lutjanidae</t>
  </si>
  <si>
    <t>snappers</t>
  </si>
  <si>
    <t>Pomacanthidae</t>
  </si>
  <si>
    <t>marine angelfish</t>
  </si>
  <si>
    <t>Siganidae</t>
  </si>
  <si>
    <t>Diodontidae</t>
  </si>
  <si>
    <t>Costa Rica</t>
  </si>
  <si>
    <t>Coco's Island National Park</t>
  </si>
  <si>
    <t>reef and seamounts</t>
  </si>
  <si>
    <t>Sphyrna lewini</t>
  </si>
  <si>
    <t>scalloped hammerhead sharks</t>
  </si>
  <si>
    <t>White</t>
  </si>
  <si>
    <t>enstated earlier but enforcement in 2000</t>
  </si>
  <si>
    <t>Triaenodon obesus</t>
  </si>
  <si>
    <t>whitetip reef sharks</t>
  </si>
  <si>
    <t>Aetobatus narinari</t>
  </si>
  <si>
    <t>eagle rays</t>
  </si>
  <si>
    <t>Taeniura meyeni</t>
  </si>
  <si>
    <t>marble rays</t>
  </si>
  <si>
    <t>mobula rays</t>
  </si>
  <si>
    <t>Manta birostris</t>
  </si>
  <si>
    <t>manta rays</t>
  </si>
  <si>
    <t xml:space="preserve">Spain </t>
  </si>
  <si>
    <t>Columbretes Islands Marine Reserve Old</t>
  </si>
  <si>
    <t>Columbretes Islands Marine Reserve</t>
  </si>
  <si>
    <t>Maerl</t>
  </si>
  <si>
    <t>Barbera</t>
  </si>
  <si>
    <t xml:space="preserve">Only using info from fig 4. In and out are part of the same reserve, which might not matter given its look at benthic cover, but it might, so not confounding issue. </t>
  </si>
  <si>
    <t>Lithothamnion corallioides</t>
  </si>
  <si>
    <t>Maerl species</t>
  </si>
  <si>
    <t>Spongites fruticulosus</t>
  </si>
  <si>
    <t>Cousin Island Reserve</t>
  </si>
  <si>
    <t>Currambene Creek</t>
  </si>
  <si>
    <t>Jervis Bay Marine Park</t>
  </si>
  <si>
    <t>estuary</t>
  </si>
  <si>
    <t>Indian ocean</t>
  </si>
  <si>
    <t>Eumarcia fumigata</t>
  </si>
  <si>
    <t>mussel</t>
  </si>
  <si>
    <t>Winberg</t>
  </si>
  <si>
    <t>Spionidae</t>
  </si>
  <si>
    <t>marine worm</t>
  </si>
  <si>
    <t>Naticidae</t>
  </si>
  <si>
    <t>moon snail</t>
  </si>
  <si>
    <t>Urohaustorius metungi</t>
  </si>
  <si>
    <t>Soletellina alba</t>
  </si>
  <si>
    <t>white sunset shell</t>
  </si>
  <si>
    <t>Sigalion ovigerum</t>
  </si>
  <si>
    <t>Capitellidae</t>
  </si>
  <si>
    <t>Trypaea australiensis</t>
  </si>
  <si>
    <t>Australian ghost shrimp</t>
  </si>
  <si>
    <t>Desertas Islands Nature Reserve</t>
  </si>
  <si>
    <t>rocky shore</t>
  </si>
  <si>
    <t>Patella aspera</t>
  </si>
  <si>
    <t>mm (TL)</t>
  </si>
  <si>
    <t>Sousa</t>
  </si>
  <si>
    <t>The European Zoological Journal</t>
  </si>
  <si>
    <t>outside data aggregateed is space. Data from table 1. Reserve start date from MPA atlas</t>
  </si>
  <si>
    <t>Kenya</t>
  </si>
  <si>
    <t>Aquatic Conservation: Marine and Freshwater Ecosystems</t>
  </si>
  <si>
    <t>Calcareous green algae</t>
  </si>
  <si>
    <t>Fleshy erect algae</t>
  </si>
  <si>
    <t>Coralline red algae</t>
  </si>
  <si>
    <t>Sand</t>
  </si>
  <si>
    <t>Porifera</t>
  </si>
  <si>
    <t>phylum</t>
  </si>
  <si>
    <t>Aulostomidae</t>
  </si>
  <si>
    <t>Carangidae</t>
  </si>
  <si>
    <t>Fistularidae</t>
  </si>
  <si>
    <t>Haemulidae</t>
  </si>
  <si>
    <t>Holocentridae</t>
  </si>
  <si>
    <t>Lethrinidae</t>
  </si>
  <si>
    <t>Muraenidae</t>
  </si>
  <si>
    <t>Pempheridae</t>
  </si>
  <si>
    <t>Pinguipedidae</t>
  </si>
  <si>
    <t>Dry Tortugas National Park</t>
  </si>
  <si>
    <t>Atlantic</t>
  </si>
  <si>
    <t>Ocyurus chrysurus</t>
  </si>
  <si>
    <t>Yellowtail Snapper</t>
  </si>
  <si>
    <t>Ault</t>
  </si>
  <si>
    <t>Fisheries Research</t>
  </si>
  <si>
    <t>Table 2 has aggrated time data that reports the minimum density change detected (did not report but can if you think fit)</t>
  </si>
  <si>
    <t>Lachnolaimus maximus</t>
  </si>
  <si>
    <t>Hogfish</t>
  </si>
  <si>
    <t>Papua New Guinea</t>
  </si>
  <si>
    <t>Dyual Island MPA</t>
  </si>
  <si>
    <t>Epinephelus fuscoguttatus</t>
  </si>
  <si>
    <t>Canada</t>
  </si>
  <si>
    <t>Eastport MPA</t>
  </si>
  <si>
    <t>Central Mediterranean</t>
  </si>
  <si>
    <t>Novaczek</t>
  </si>
  <si>
    <t>Ebill MPA</t>
  </si>
  <si>
    <t>Palau Protected Areas Network</t>
  </si>
  <si>
    <t>reef, channel</t>
  </si>
  <si>
    <t>Friedlander</t>
  </si>
  <si>
    <t>sampled both hard and soft substrate</t>
  </si>
  <si>
    <t>habitat of listed reserves</t>
  </si>
  <si>
    <t>secondary consumer</t>
  </si>
  <si>
    <t>sampled both hard and soft substrate. Aggregated over Ebill, Ngerumekaol, lleyakl Beluu, Ngederrak, Ngermasech, Ngelukes. Used age of youngest reserve</t>
  </si>
  <si>
    <t>piscivorous fish</t>
  </si>
  <si>
    <t>herbivorous fish</t>
  </si>
  <si>
    <t>planktivorous fish</t>
  </si>
  <si>
    <t>Chile</t>
  </si>
  <si>
    <t>Estación Costera de Investigaciones Marinas</t>
  </si>
  <si>
    <t>rockyreef</t>
  </si>
  <si>
    <t>Concholepas concholepas</t>
  </si>
  <si>
    <t>Navarrete</t>
  </si>
  <si>
    <t>Revista Chilena de Historia Natural</t>
  </si>
  <si>
    <t>Perumytilus pupuratus</t>
  </si>
  <si>
    <t>chthamalid barnacles</t>
  </si>
  <si>
    <t>Durvillaea antarctica</t>
  </si>
  <si>
    <t>Chaverra</t>
  </si>
  <si>
    <t>Marine Environmental Research</t>
  </si>
  <si>
    <t>Exuma Cays Land and Sea Park</t>
  </si>
  <si>
    <t>queen conch</t>
  </si>
  <si>
    <t>Kough</t>
  </si>
  <si>
    <t>Conservation Science and Practice</t>
  </si>
  <si>
    <t>archipelago reef</t>
  </si>
  <si>
    <t>Epinephelus striatus</t>
  </si>
  <si>
    <t>nassau grouper</t>
  </si>
  <si>
    <t>Harborne</t>
  </si>
  <si>
    <t>British Ecological Society</t>
  </si>
  <si>
    <t>Mycteroperca tigris</t>
  </si>
  <si>
    <t>tiger grouper</t>
  </si>
  <si>
    <t xml:space="preserve"> Mycteroperca venenosa</t>
  </si>
  <si>
    <t>yellowfin grouper</t>
  </si>
  <si>
    <t>Mycteroperca bonaci</t>
  </si>
  <si>
    <t>black grouper</t>
  </si>
  <si>
    <t>Mycteroperca interstitialis</t>
  </si>
  <si>
    <t>yellowmouth grouper</t>
  </si>
  <si>
    <t>Lamb</t>
  </si>
  <si>
    <t>TC</t>
  </si>
  <si>
    <t>Galapagos</t>
  </si>
  <si>
    <t>Galapagos Marine Reserve</t>
  </si>
  <si>
    <t>Panulirus penicillatus</t>
  </si>
  <si>
    <t>red spiny lobster</t>
  </si>
  <si>
    <t>CPUE (ind./h)</t>
  </si>
  <si>
    <t>Buglass</t>
  </si>
  <si>
    <t>Marine Policy</t>
  </si>
  <si>
    <t>TL(cm)</t>
  </si>
  <si>
    <t>Fingal Island no-take area</t>
  </si>
  <si>
    <t>BRUV</t>
  </si>
  <si>
    <t>reef</t>
  </si>
  <si>
    <t>Targeted fish</t>
  </si>
  <si>
    <t>Wing</t>
  </si>
  <si>
    <t>Ecosphere</t>
  </si>
  <si>
    <t>aggregated spacial expanse for entire network so cannot do a before IO for the study b/c two reserves were established in the 70s and rest in 2005</t>
  </si>
  <si>
    <t>Non-targeted fish</t>
  </si>
  <si>
    <t>aggregated spacial expanse for entire network so cannot do a before IO for the study b/c two reserves were established in the 70s and rest in 2006</t>
  </si>
  <si>
    <t>Florida Keys National Marine Sanctuary</t>
  </si>
  <si>
    <t>Kramer</t>
  </si>
  <si>
    <t>Nassau grouper</t>
  </si>
  <si>
    <t>Lutjanus apodus</t>
  </si>
  <si>
    <t>Schoolmaster snapper</t>
  </si>
  <si>
    <t>Yellowtail snapper</t>
  </si>
  <si>
    <t>Lutjanus griseus</t>
  </si>
  <si>
    <t>Gray snapper</t>
  </si>
  <si>
    <t>turf algae</t>
  </si>
  <si>
    <t>fleshy macroalgae</t>
  </si>
  <si>
    <t>upright calcareous algae</t>
  </si>
  <si>
    <t>coral</t>
  </si>
  <si>
    <t>juvenile coral</t>
  </si>
  <si>
    <t>Formentera-Espardell</t>
  </si>
  <si>
    <t>Apex predators</t>
  </si>
  <si>
    <t>Guidetti</t>
  </si>
  <si>
    <t>Sala et al. 2012 PLOSone</t>
  </si>
  <si>
    <t>Carnivores</t>
  </si>
  <si>
    <t>Detritivores</t>
  </si>
  <si>
    <t>Actinopterygii</t>
  </si>
  <si>
    <t>Fishes</t>
  </si>
  <si>
    <t>The Bahamas</t>
  </si>
  <si>
    <t>Mumby</t>
  </si>
  <si>
    <t>Mumby 2006, Mumby 2007</t>
  </si>
  <si>
    <t>taken from supplemental information</t>
  </si>
  <si>
    <t>Porites astreoides</t>
  </si>
  <si>
    <t>colony density</t>
  </si>
  <si>
    <t>Agaricia agaricites</t>
  </si>
  <si>
    <t>Montastraea annularis</t>
  </si>
  <si>
    <t>Fraser Island Beach</t>
  </si>
  <si>
    <t>Vietnam</t>
  </si>
  <si>
    <t>Gam Ghi Island</t>
  </si>
  <si>
    <t>An Thoi coral reef strictly protected zone</t>
  </si>
  <si>
    <t>Tien</t>
  </si>
  <si>
    <t>Garajau Marine Natural Reserve</t>
  </si>
  <si>
    <t>Frondose algae</t>
  </si>
  <si>
    <t>coralline red algae</t>
  </si>
  <si>
    <t>calcareous green algae</t>
  </si>
  <si>
    <t>Alismatales</t>
  </si>
  <si>
    <t>nearisland offshore</t>
  </si>
  <si>
    <t>Huntington</t>
  </si>
  <si>
    <t>broadcasting coral</t>
  </si>
  <si>
    <t>brooding coral</t>
  </si>
  <si>
    <t>sessile benthic communities</t>
  </si>
  <si>
    <t xml:space="preserve">Alves </t>
  </si>
  <si>
    <t>Journal of Coastal Conservation</t>
  </si>
  <si>
    <t>pooled not-protected and inhabited sites</t>
  </si>
  <si>
    <t>Garajau, Rocha do Navio, Desertas, and Selvagens Marine Protected Areas</t>
  </si>
  <si>
    <t>Cuba</t>
  </si>
  <si>
    <t>Gardens of the Queen</t>
  </si>
  <si>
    <t>Gardens of the Queen national park</t>
  </si>
  <si>
    <t>coral reef/seagrass/mangroves</t>
  </si>
  <si>
    <t>schoolmaster</t>
  </si>
  <si>
    <t>Pina-Amargos</t>
  </si>
  <si>
    <t>PeerJ</t>
  </si>
  <si>
    <t>Sphyraena barracuda</t>
  </si>
  <si>
    <t>mutton snapper</t>
  </si>
  <si>
    <t>Lutjanus cyanopterus</t>
  </si>
  <si>
    <t>cubera snapper</t>
  </si>
  <si>
    <t>Lutjanus jocu</t>
  </si>
  <si>
    <t>dog snapper</t>
  </si>
  <si>
    <t>Mycteroperca venenosa</t>
  </si>
  <si>
    <t>hogfish</t>
  </si>
  <si>
    <t>Glover’s Reef Marine Reserve</t>
  </si>
  <si>
    <t>Queen conch</t>
  </si>
  <si>
    <t>Acosta</t>
  </si>
  <si>
    <t>Gulf and Caribbean Research</t>
  </si>
  <si>
    <t>Panulirus argus</t>
  </si>
  <si>
    <t>Gotska Sandön</t>
  </si>
  <si>
    <t>sandy bottoms</t>
  </si>
  <si>
    <t>Scophthalmus maximus</t>
  </si>
  <si>
    <t>turbot</t>
  </si>
  <si>
    <t>Florin</t>
  </si>
  <si>
    <t>Journal of Fish Biology</t>
  </si>
  <si>
    <t>Need to look more into size because no table reporting average sizes BA or IO</t>
  </si>
  <si>
    <t>Platichthys flesus</t>
  </si>
  <si>
    <t>flounder</t>
  </si>
  <si>
    <t>demersal fish</t>
  </si>
  <si>
    <t>Governor Island Marine Nature Reserve</t>
  </si>
  <si>
    <t>Bates</t>
  </si>
  <si>
    <t>Barrett et al. 2009 J Exp Mar Biol</t>
  </si>
  <si>
    <t xml:space="preserve">Data collected from datasheet provided in supplimentary materials and some info from Barrett et al 2009. </t>
  </si>
  <si>
    <t>invertebrates</t>
  </si>
  <si>
    <t>Southern Rock Lobster</t>
  </si>
  <si>
    <t>Barrett</t>
  </si>
  <si>
    <t>Journal of Experimental Marine Biology and Ecology</t>
  </si>
  <si>
    <t>Barrett et al. 2007, Bates et al. 2017</t>
  </si>
  <si>
    <t>Technically reserves assined in 1991, but enforcement didn’t happen until '92</t>
  </si>
  <si>
    <t>Cenolia trichoptera</t>
  </si>
  <si>
    <t>Feather Star</t>
  </si>
  <si>
    <t>Heliocidaris erythrogramma</t>
  </si>
  <si>
    <t>Blacklip Abalone</t>
  </si>
  <si>
    <t>Turbo undulatus</t>
  </si>
  <si>
    <t>Turban Shell</t>
  </si>
  <si>
    <t>Thais orbita</t>
  </si>
  <si>
    <t>Dog Whelk</t>
  </si>
  <si>
    <t>Durvillaea potatorum</t>
  </si>
  <si>
    <t>bull kelp</t>
  </si>
  <si>
    <t>crayweed</t>
  </si>
  <si>
    <t>Brown kelp</t>
  </si>
  <si>
    <t>temperate shallow inshore reef</t>
  </si>
  <si>
    <t>Australian banded morwong</t>
  </si>
  <si>
    <t>Odax cyanomelas</t>
  </si>
  <si>
    <t>herring cale</t>
  </si>
  <si>
    <t>Notolabrus tetricus</t>
  </si>
  <si>
    <t>blue-throated wrasse</t>
  </si>
  <si>
    <t>Notolabrus fucicola</t>
  </si>
  <si>
    <t>banded parrotfish</t>
  </si>
  <si>
    <t>Acanthaluterus vittiger</t>
  </si>
  <si>
    <t>toothbrush leatherjacket</t>
  </si>
  <si>
    <t>Pseudolabrus psittaculus</t>
  </si>
  <si>
    <t>rosy wrasse</t>
  </si>
  <si>
    <t>Great Barrier Reef Marine Park no-entry zones</t>
  </si>
  <si>
    <t>Great Barrier Reef Marine Park</t>
  </si>
  <si>
    <t>Selachimorpha</t>
  </si>
  <si>
    <t>sharks</t>
  </si>
  <si>
    <t>superorder</t>
  </si>
  <si>
    <t>Frisch</t>
  </si>
  <si>
    <t>Frontiers in Ecology and the Environment</t>
  </si>
  <si>
    <t>Castro-Sanguino</t>
  </si>
  <si>
    <t>Plate corals</t>
  </si>
  <si>
    <t>Great Barrier Reef Marine Park no-take zones</t>
  </si>
  <si>
    <t>Plectropomus spp.</t>
  </si>
  <si>
    <t>coral trout</t>
  </si>
  <si>
    <t>1000m^2</t>
  </si>
  <si>
    <t>Miller</t>
  </si>
  <si>
    <t>Aggregated areas in Great barrier Reef separated by region</t>
  </si>
  <si>
    <t>Acropora</t>
  </si>
  <si>
    <t>tabular Acropora</t>
  </si>
  <si>
    <t>highly targeted fish</t>
  </si>
  <si>
    <t>less targeted fish</t>
  </si>
  <si>
    <t>non-targeted fish</t>
  </si>
  <si>
    <t>Great Sandy Marine Park</t>
  </si>
  <si>
    <t>fringing coral reef</t>
  </si>
  <si>
    <t>South Pacific Ocean</t>
  </si>
  <si>
    <t>Harvested fish</t>
  </si>
  <si>
    <t>Martin</t>
  </si>
  <si>
    <t>Prey fish</t>
  </si>
  <si>
    <t>Piscivorous fish</t>
  </si>
  <si>
    <t>Guimputlan Marine Reserve</t>
  </si>
  <si>
    <t>Half Moon Caye National Monument, Hol Chan Marine Reserve, Bacalar Chico Marine Reserve, and Sapodilla Cayes Marine Reserve fully protected areas</t>
  </si>
  <si>
    <t>nearshore and offshore</t>
  </si>
  <si>
    <t>Sparisoma viride</t>
  </si>
  <si>
    <t>Cox</t>
  </si>
  <si>
    <t>reserves established betweem 1982-1996</t>
  </si>
  <si>
    <t>Sparisoma aurofrenatum</t>
  </si>
  <si>
    <t>Sparisoma chrysopterum</t>
  </si>
  <si>
    <t>Sparisoma rubripinne</t>
  </si>
  <si>
    <t>Scarus iserti</t>
  </si>
  <si>
    <t>Scarus taeniopterus</t>
  </si>
  <si>
    <t>Carcharhinus perezii</t>
  </si>
  <si>
    <t>Ginglymostoma cirratum</t>
  </si>
  <si>
    <t>Lobophora</t>
  </si>
  <si>
    <t>Halimeda</t>
  </si>
  <si>
    <t>Agaricia</t>
  </si>
  <si>
    <t>Poritidae</t>
  </si>
  <si>
    <t>Orbicella</t>
  </si>
  <si>
    <t>Sideastrea</t>
  </si>
  <si>
    <t>Diploria</t>
  </si>
  <si>
    <t>Turf</t>
  </si>
  <si>
    <t>Alcyonacea</t>
  </si>
  <si>
    <t>stony coral</t>
  </si>
  <si>
    <t>flat rocky reef and complex cliffs and overhangs</t>
  </si>
  <si>
    <t>red morwong</t>
  </si>
  <si>
    <t>Turnbull</t>
  </si>
  <si>
    <t>From Fig. 7: Caves Bay, Bass Point, Fairy Bower, Maitland Bay, Shelly Beach, Shelly North. Two species excluded because the log scale used being visually no different than zero; MPA temporal information not given; spatial area unclear; aggregated area estimated through google earth</t>
  </si>
  <si>
    <t>blue groper</t>
  </si>
  <si>
    <t>Notolabrus gymnogenis</t>
  </si>
  <si>
    <t>crimson banded wrasse</t>
  </si>
  <si>
    <t>Parma microlepis</t>
  </si>
  <si>
    <t>white-ear</t>
  </si>
  <si>
    <t>sea urchin</t>
  </si>
  <si>
    <t>Lunella torquata</t>
  </si>
  <si>
    <t>twisted necklace</t>
  </si>
  <si>
    <t>Heisler Park State Marine Reserve</t>
  </si>
  <si>
    <t>Barred sand bass, all sizes</t>
  </si>
  <si>
    <t>Barred sand bass, legal sizes</t>
  </si>
  <si>
    <t>California sheephead, legal sizes, female</t>
  </si>
  <si>
    <t>Hobihu No Take Area</t>
  </si>
  <si>
    <t>near-shore</t>
  </si>
  <si>
    <t>Tkachenko</t>
  </si>
  <si>
    <t>Millepore</t>
  </si>
  <si>
    <t>Hydnophora rigids</t>
  </si>
  <si>
    <t>horn coral</t>
  </si>
  <si>
    <t>Foliaceous and laminar coral</t>
  </si>
  <si>
    <t>Non-Diadema setosum sea urchins</t>
  </si>
  <si>
    <t>groupers</t>
  </si>
  <si>
    <t>butterflyfish</t>
  </si>
  <si>
    <t>surgeonfishes, tangs, and unicorn fishes</t>
  </si>
  <si>
    <t>Teraodontidae</t>
  </si>
  <si>
    <t>blowfish</t>
  </si>
  <si>
    <t>squirrelfish, soldierfish</t>
  </si>
  <si>
    <t>jacks, pompanos, jack mackerels, runners, scads</t>
  </si>
  <si>
    <t>Indonesia</t>
  </si>
  <si>
    <t>Hoga No Take Area</t>
  </si>
  <si>
    <t>Wakatobi Marine National Park</t>
  </si>
  <si>
    <t>Fringing walled reef and reef flat</t>
  </si>
  <si>
    <t>Unsworth</t>
  </si>
  <si>
    <t>Cephalopholis urodeta</t>
  </si>
  <si>
    <t>Cephalopholis cyanostigma</t>
  </si>
  <si>
    <t>Cephalopholis spiloparea</t>
  </si>
  <si>
    <t>Cephalopholis argus</t>
  </si>
  <si>
    <t>Cephalopholis sexmaculata</t>
  </si>
  <si>
    <t>Ephinephelus merra</t>
  </si>
  <si>
    <t>Ephinephelus fasciatus</t>
  </si>
  <si>
    <t>Anyperodon leucogrammicus</t>
  </si>
  <si>
    <t>Gracilla albomarginata</t>
  </si>
  <si>
    <t>Hol Chan Marine Reserve</t>
  </si>
  <si>
    <t>forereef, lagoonal</t>
  </si>
  <si>
    <t>South Atlantic</t>
  </si>
  <si>
    <t>Anthozoa</t>
  </si>
  <si>
    <t>Brown-Saracino</t>
  </si>
  <si>
    <t>Diadema antillarum</t>
  </si>
  <si>
    <t>Echinometra lucunter</t>
  </si>
  <si>
    <t>Echinometra viridis</t>
  </si>
  <si>
    <t>Eucidaris tribuloides</t>
  </si>
  <si>
    <t>Micheli</t>
  </si>
  <si>
    <t>Guadeloupe</t>
  </si>
  <si>
    <t>Illets Pigeon, Grand Cul-de-Sac Marin reserves</t>
  </si>
  <si>
    <t>Kopp</t>
  </si>
  <si>
    <t>Scarus vetula</t>
  </si>
  <si>
    <t>Sparisoma aurofrenatus</t>
  </si>
  <si>
    <t>Acanthurus bahianus</t>
  </si>
  <si>
    <t>Acanthurus chirurgus</t>
  </si>
  <si>
    <t>Acanthurus coeruleus</t>
  </si>
  <si>
    <t xml:space="preserve">Temperate </t>
  </si>
  <si>
    <t>Hydrobiologia</t>
  </si>
  <si>
    <t>Serranus scriba</t>
  </si>
  <si>
    <t>Epinephalus marginatus</t>
  </si>
  <si>
    <t>Francini-Filho</t>
  </si>
  <si>
    <t>fleshy algae</t>
  </si>
  <si>
    <t>sea urchins</t>
  </si>
  <si>
    <t>target fish</t>
  </si>
  <si>
    <t>non-target fish</t>
  </si>
  <si>
    <t>Anisotremus virginicus</t>
  </si>
  <si>
    <t>Jandayan Norte</t>
  </si>
  <si>
    <t>Girella tricuspidata</t>
  </si>
  <si>
    <t>Ferguson</t>
  </si>
  <si>
    <t>Girella elevata</t>
  </si>
  <si>
    <t>Kyphosus sydneyanus</t>
  </si>
  <si>
    <t>Jervis Bay Marine Park Network</t>
  </si>
  <si>
    <t>Merritt Island National Wildlife Refuge</t>
  </si>
  <si>
    <t>Mugil cephalus</t>
  </si>
  <si>
    <t>cm SL</t>
  </si>
  <si>
    <t>Douglass</t>
  </si>
  <si>
    <t>Archosargus probatocephalus</t>
  </si>
  <si>
    <t>Elops saurus</t>
  </si>
  <si>
    <t>Sphoeroides nephelus</t>
  </si>
  <si>
    <t>Sciaenops ocellatus</t>
  </si>
  <si>
    <t>Pogonia cromis</t>
  </si>
  <si>
    <t>Caranx hippos</t>
  </si>
  <si>
    <t>Centropomus undecimalis</t>
  </si>
  <si>
    <t>Harengula jaguana</t>
  </si>
  <si>
    <t>Lagodon rhomboides</t>
  </si>
  <si>
    <t>Dasyatis sabina</t>
  </si>
  <si>
    <t>Dasyatis say</t>
  </si>
  <si>
    <t>Orthopristis chrysoptera</t>
  </si>
  <si>
    <t>Achirus lineatus</t>
  </si>
  <si>
    <t>Leiostomus xanthurus</t>
  </si>
  <si>
    <t>Cynoscion nebulosus</t>
  </si>
  <si>
    <t>Brevoortia</t>
  </si>
  <si>
    <t>Oligoplites saurus</t>
  </si>
  <si>
    <t>Callinectes sapidus</t>
  </si>
  <si>
    <t>Eucinostomus gula</t>
  </si>
  <si>
    <t>Opisthonema oglinum</t>
  </si>
  <si>
    <t>Ariopsis felis</t>
  </si>
  <si>
    <t>Mentricirrhus americanus</t>
  </si>
  <si>
    <t>Eucinostomus harengulus</t>
  </si>
  <si>
    <t>Bairdiella chrysoura</t>
  </si>
  <si>
    <t>Diapterus auratus</t>
  </si>
  <si>
    <t>Jurien Bay sanctuary zone Network</t>
  </si>
  <si>
    <t>Jurien Bay sanctuary zone</t>
  </si>
  <si>
    <t>Kapiti Marine Reserve</t>
  </si>
  <si>
    <t>Rock Lobsters</t>
  </si>
  <si>
    <t>Rojas-Nazar</t>
  </si>
  <si>
    <t>This marine reserves is split into two areas. This study only looked at the smaller western portion.</t>
  </si>
  <si>
    <t>Parapercis colias</t>
  </si>
  <si>
    <t>blue cod</t>
  </si>
  <si>
    <t>Kapiti Marine Reserve West</t>
  </si>
  <si>
    <t>Banded wrasse</t>
  </si>
  <si>
    <t>Eddy</t>
  </si>
  <si>
    <t>Global Ecology and Conservation</t>
  </si>
  <si>
    <t>Battershill et al. 1993; Pande &amp; Gardner 2012</t>
  </si>
  <si>
    <t>Latridopsis ciliaris</t>
  </si>
  <si>
    <t>blue moki</t>
  </si>
  <si>
    <t>Odax pullus</t>
  </si>
  <si>
    <t>Butterfish</t>
  </si>
  <si>
    <t>Cheilodactylus spectabilis</t>
  </si>
  <si>
    <t>red moki</t>
  </si>
  <si>
    <t>Pseudolabrus miles</t>
  </si>
  <si>
    <t>scarlet wrasse</t>
  </si>
  <si>
    <t>Notolabrus celidotus</t>
  </si>
  <si>
    <t>spotty</t>
  </si>
  <si>
    <t>Kent Group Marine Nature Reserve</t>
  </si>
  <si>
    <t>Fringing island coral reefs</t>
  </si>
  <si>
    <t>generic</t>
  </si>
  <si>
    <t xml:space="preserve">Williamson </t>
  </si>
  <si>
    <t>Ecology and Evolution</t>
  </si>
  <si>
    <t>Grazers</t>
  </si>
  <si>
    <t>Corallivores</t>
  </si>
  <si>
    <t>Omnivorous pomacentrids</t>
  </si>
  <si>
    <t>Planktivorous pomacentrids</t>
  </si>
  <si>
    <t>Territorial pomacentrids</t>
  </si>
  <si>
    <t>Intermediate predators</t>
  </si>
  <si>
    <t>Large predators</t>
  </si>
  <si>
    <t>Kinghorne Beach</t>
  </si>
  <si>
    <t>Kingston Reef Marine Sanctuary</t>
  </si>
  <si>
    <t>Vanderklift</t>
  </si>
  <si>
    <t>Oecologia</t>
  </si>
  <si>
    <t>Epinephelides armatus</t>
  </si>
  <si>
    <t>Kleczowski</t>
  </si>
  <si>
    <t>Marine and Freshwater Research</t>
  </si>
  <si>
    <t>Coris auricularis</t>
  </si>
  <si>
    <t>Notolabrus parilus</t>
  </si>
  <si>
    <t>Ophthalmolepis lineolatus</t>
  </si>
  <si>
    <t>reef, sand and seagrass</t>
  </si>
  <si>
    <t>Panulirus cygnus</t>
  </si>
  <si>
    <t>Spiny lobster</t>
  </si>
  <si>
    <t>Kisite Marine National Park</t>
  </si>
  <si>
    <t>Seagrass</t>
  </si>
  <si>
    <t>Fiji</t>
  </si>
  <si>
    <t>Namena Marine Reserve</t>
  </si>
  <si>
    <t>near-shore/island reefs</t>
  </si>
  <si>
    <t xml:space="preserve">Goetze </t>
  </si>
  <si>
    <t>reef sharks</t>
  </si>
  <si>
    <t>Namuri Marine Reserve</t>
  </si>
  <si>
    <t>Chirico</t>
  </si>
  <si>
    <t>Kuta Parera Reserve</t>
  </si>
  <si>
    <t>red rock lobsters</t>
  </si>
  <si>
    <t>Jack</t>
  </si>
  <si>
    <t>cm carpace length</t>
  </si>
  <si>
    <t>compared to a PPA commercial exclusion zone</t>
  </si>
  <si>
    <t>Canary Islands</t>
  </si>
  <si>
    <t>La Graciosa no-take area</t>
  </si>
  <si>
    <t>Hernandez</t>
  </si>
  <si>
    <t>unbranched erect algae</t>
  </si>
  <si>
    <t>branched erect algae</t>
  </si>
  <si>
    <t>calcified algae</t>
  </si>
  <si>
    <t>crustose macroalgae</t>
  </si>
  <si>
    <t>Sparisoma cretense</t>
  </si>
  <si>
    <t>Falcon et al. 2007</t>
  </si>
  <si>
    <t>Serranus atricauda</t>
  </si>
  <si>
    <t>Mycteroperca fusca</t>
  </si>
  <si>
    <t>La Jolla Ecological Reserve</t>
  </si>
  <si>
    <t>Strongylocentrotus franciscanus</t>
  </si>
  <si>
    <t>red urchins</t>
  </si>
  <si>
    <t>Nichols</t>
  </si>
  <si>
    <t>purple urchins</t>
  </si>
  <si>
    <t>california spiny lobsters</t>
  </si>
  <si>
    <t>predatory fishes</t>
  </si>
  <si>
    <t>Kelp bass</t>
  </si>
  <si>
    <t>Halichoeres semicinctus</t>
  </si>
  <si>
    <t>Oxyjulis californica</t>
  </si>
  <si>
    <t>Señorita</t>
  </si>
  <si>
    <t>Embiotoca jacksoni</t>
  </si>
  <si>
    <t>Rhacochilus toxotes</t>
  </si>
  <si>
    <t>Rubberlip surfperch</t>
  </si>
  <si>
    <t>Brachyistius frenatus</t>
  </si>
  <si>
    <t>Kelp surfperch</t>
  </si>
  <si>
    <t>Girella nigricans</t>
  </si>
  <si>
    <t>Opal eye</t>
  </si>
  <si>
    <t>Hypsypops rubicundus</t>
  </si>
  <si>
    <t>Chromis punctipinnis</t>
  </si>
  <si>
    <t>Anisotremus davidsonii</t>
  </si>
  <si>
    <t>Sargo</t>
  </si>
  <si>
    <t>Paralabrax nebulifer</t>
  </si>
  <si>
    <t>Barred sand bass</t>
  </si>
  <si>
    <t>Galeorhinus zyopterus</t>
  </si>
  <si>
    <t>Tope shark</t>
  </si>
  <si>
    <t>La Palma marine reserve</t>
  </si>
  <si>
    <t>apex predators</t>
  </si>
  <si>
    <t>Sangil</t>
  </si>
  <si>
    <t>Estuarine, Coastal and Shelf Science</t>
  </si>
  <si>
    <t>omnivores</t>
  </si>
  <si>
    <t>zebra seabream</t>
  </si>
  <si>
    <t>Predatory fish of juvenile sea urchins</t>
  </si>
  <si>
    <t>Balistes capriscus</t>
  </si>
  <si>
    <t>gray triggerfish</t>
  </si>
  <si>
    <t>Bodianus scrofa</t>
  </si>
  <si>
    <t>Canthidermis suffamen</t>
  </si>
  <si>
    <t>Predatory fish of wide-range sea urchins</t>
  </si>
  <si>
    <t>predatory fish</t>
  </si>
  <si>
    <t>Lobophora variegata</t>
  </si>
  <si>
    <t>Canistrocarpus cervicornis</t>
  </si>
  <si>
    <t>Padina pavonica</t>
  </si>
  <si>
    <t>Dictyota dichotoma</t>
  </si>
  <si>
    <t>Jania adhaerens</t>
  </si>
  <si>
    <t>Asparagopsis taxiformis</t>
  </si>
  <si>
    <t>Filamentous ceramiales</t>
  </si>
  <si>
    <t>Pseudotetraspora marina</t>
  </si>
  <si>
    <t>Cyanophytes</t>
  </si>
  <si>
    <t>Pseudochlorodesmis furcellata</t>
  </si>
  <si>
    <t>Laurencia</t>
  </si>
  <si>
    <t>Gelidium pusillum</t>
  </si>
  <si>
    <t>Heterosiphonia crispella</t>
  </si>
  <si>
    <t>Wrangelia penicillata</t>
  </si>
  <si>
    <t>Patella ulyssiponensis</t>
  </si>
  <si>
    <t>Lopez</t>
  </si>
  <si>
    <t>Scientia Marina</t>
  </si>
  <si>
    <t>Patella candei crenata</t>
  </si>
  <si>
    <t>La Polacra</t>
  </si>
  <si>
    <t>Cabo de Gata–Níjar Natural Park</t>
  </si>
  <si>
    <t>Rocky reefs</t>
  </si>
  <si>
    <t>Pelagic commercial sp</t>
  </si>
  <si>
    <t>Felix-Hackradt</t>
  </si>
  <si>
    <t>Pelagic non-commercial</t>
  </si>
  <si>
    <t>Demersal Commercial</t>
  </si>
  <si>
    <t>Demersal non-commercial</t>
  </si>
  <si>
    <t>Scotland</t>
  </si>
  <si>
    <t>Lamlash Bay Marine Reserve</t>
  </si>
  <si>
    <t>Aequipecten opercularis</t>
  </si>
  <si>
    <t>adult queen scallop</t>
  </si>
  <si>
    <t>Howarth</t>
  </si>
  <si>
    <t>Pecten maximus</t>
  </si>
  <si>
    <t>adult escallop</t>
  </si>
  <si>
    <t>queen scallop</t>
  </si>
  <si>
    <t>Cancer pagurus</t>
  </si>
  <si>
    <t>brown crab</t>
  </si>
  <si>
    <t>ICES Journal of Marine Science</t>
  </si>
  <si>
    <t>velvet swimming crab</t>
  </si>
  <si>
    <t>Homarus gammarus</t>
  </si>
  <si>
    <t>Eurasian lobster</t>
  </si>
  <si>
    <t>temperate soft/mixed sediments</t>
  </si>
  <si>
    <t>King Scallops</t>
  </si>
  <si>
    <t>Taken from fig 4</t>
  </si>
  <si>
    <t>Queen Scallops</t>
  </si>
  <si>
    <t>Taken from fig 5 (mean of size class means)</t>
  </si>
  <si>
    <t>muddy sand</t>
  </si>
  <si>
    <t>epifauna</t>
  </si>
  <si>
    <t>maerl</t>
  </si>
  <si>
    <t>sponge</t>
  </si>
  <si>
    <t>hydroids</t>
  </si>
  <si>
    <t>bryozoans</t>
  </si>
  <si>
    <t>hermit crabs</t>
  </si>
  <si>
    <t>harbour crab</t>
  </si>
  <si>
    <t>decorator crabs</t>
  </si>
  <si>
    <t>superfamily</t>
  </si>
  <si>
    <t>squat lobster</t>
  </si>
  <si>
    <t>infraorder</t>
  </si>
  <si>
    <t>spiny starfish</t>
  </si>
  <si>
    <t>Myxicola infundibulum</t>
  </si>
  <si>
    <t>eyelash worm</t>
  </si>
  <si>
    <t>parchment worm</t>
  </si>
  <si>
    <t>feather star</t>
  </si>
  <si>
    <t xml:space="preserve">North Atlantic </t>
  </si>
  <si>
    <t>great scallop</t>
  </si>
  <si>
    <t>Boulcott</t>
  </si>
  <si>
    <t>only state 'scallop suitable habitat' - no habitat type</t>
  </si>
  <si>
    <t>Lawigan-Igcadlum Marine Sanctuary</t>
  </si>
  <si>
    <t>Lawigan-Igcadlum Marine Sanctuary (Bugnayan Point)</t>
  </si>
  <si>
    <t>Leigh Marine Reserve</t>
  </si>
  <si>
    <t>kelp forest</t>
  </si>
  <si>
    <t>Pagrus auratus</t>
  </si>
  <si>
    <t>Australasian snapper</t>
  </si>
  <si>
    <t>Evechinus chloroticus</t>
  </si>
  <si>
    <t>Little Cayman Island no-take parks</t>
  </si>
  <si>
    <t>Manfrino</t>
  </si>
  <si>
    <t>Montastraea cavernosa</t>
  </si>
  <si>
    <t>Montastraea faveolata</t>
  </si>
  <si>
    <t>Montastraea franksi</t>
  </si>
  <si>
    <t>Siderastrea siderea</t>
  </si>
  <si>
    <t>island-fringing coral reef</t>
  </si>
  <si>
    <t>Plectropomus leopardus</t>
  </si>
  <si>
    <t>Welch</t>
  </si>
  <si>
    <t>spearfishing data, sampled smaller size classes better (&lt; 310 mm)</t>
  </si>
  <si>
    <t>St. Lucia</t>
  </si>
  <si>
    <t>Soufriere Marine Management Area</t>
  </si>
  <si>
    <t>on-shore reefs</t>
  </si>
  <si>
    <t>Hawkins</t>
  </si>
  <si>
    <t>grunts</t>
  </si>
  <si>
    <t>parrotfish</t>
  </si>
  <si>
    <t>surgeonfish</t>
  </si>
  <si>
    <t>Loma Pelda</t>
  </si>
  <si>
    <t>Long Island–Kokomohua Marine Reserve</t>
  </si>
  <si>
    <t>Long Point marine reserve</t>
  </si>
  <si>
    <t>Lord Howe Island sanctuary zone Network</t>
  </si>
  <si>
    <t>Lord Howe Island sanctuary zone</t>
  </si>
  <si>
    <t>Loreto Bay National Park</t>
  </si>
  <si>
    <t>Rife</t>
  </si>
  <si>
    <t>Journal of Environmental Management</t>
  </si>
  <si>
    <t>Carnivorous fish</t>
  </si>
  <si>
    <t>Zooplanktivorous fish</t>
  </si>
  <si>
    <t>taken from second most recent year because uncertain unrestricted area data</t>
  </si>
  <si>
    <t>Luiz Saldanha Marine Park</t>
  </si>
  <si>
    <t>outside data from poorly protected MPA buffer zone</t>
  </si>
  <si>
    <t>white seabream</t>
  </si>
  <si>
    <t>Abecasis</t>
  </si>
  <si>
    <t>Data is pooled from multiple areas in MPA, but these areas are next to each other, so effectively one whole reserve. Only response ratio provided in study.</t>
  </si>
  <si>
    <t>Data is pooled from multiple areas in MPA, but these areas are next to each other, so effectively one whole reserve. Only response ratio provided in study</t>
  </si>
  <si>
    <t>Lutoban Marine Reserve</t>
  </si>
  <si>
    <t>Malindi, Watamu, Kisite, Mombasa Marine Park</t>
  </si>
  <si>
    <t>branching Porites</t>
  </si>
  <si>
    <t>cm diameter</t>
  </si>
  <si>
    <t>Lambo</t>
  </si>
  <si>
    <t>Marine Pollution Bulletin</t>
  </si>
  <si>
    <t>soft coral</t>
  </si>
  <si>
    <t>standing dead coral</t>
  </si>
  <si>
    <t>rubble dead coral</t>
  </si>
  <si>
    <t>green algae</t>
  </si>
  <si>
    <t>red algae</t>
  </si>
  <si>
    <t>brown algae</t>
  </si>
  <si>
    <t>Zoanthidae</t>
  </si>
  <si>
    <t>Invertebrates</t>
  </si>
  <si>
    <t>India</t>
  </si>
  <si>
    <t>Bristle worms</t>
  </si>
  <si>
    <t>Ningaloo Marine Park</t>
  </si>
  <si>
    <t>Coral reef</t>
  </si>
  <si>
    <t>Vanuatu</t>
  </si>
  <si>
    <t>Mangarongo tabu area</t>
  </si>
  <si>
    <t>Live coral</t>
  </si>
  <si>
    <t>Dumas</t>
  </si>
  <si>
    <t>Trochus niloticus</t>
  </si>
  <si>
    <t>Tridacna maxima</t>
  </si>
  <si>
    <t>Manoli Reef Complex</t>
  </si>
  <si>
    <t>Gulf of Mannar Marine Biosphere Reserve</t>
  </si>
  <si>
    <t>live healthy coral</t>
  </si>
  <si>
    <t>Manikandan</t>
  </si>
  <si>
    <t>Environmental Monitoring and Assessment</t>
  </si>
  <si>
    <t>live turf colonized healthy coral</t>
  </si>
  <si>
    <t>live macroalgae colonized healthy coral</t>
  </si>
  <si>
    <t>carnivorous fish</t>
  </si>
  <si>
    <t>non-herbivorous and non-carnivorous fish</t>
  </si>
  <si>
    <t>Mar de Las Calmas no-take area</t>
  </si>
  <si>
    <t>Maria Island Marine Nature Reserve</t>
  </si>
  <si>
    <t>Longspined Sea Urchin</t>
  </si>
  <si>
    <t>Goniocidaris tubaria</t>
  </si>
  <si>
    <t>Thorny Sea Urchin</t>
  </si>
  <si>
    <t>Tosia australis</t>
  </si>
  <si>
    <t>Southern Biscuit Star</t>
  </si>
  <si>
    <t>Nectria ocellata</t>
  </si>
  <si>
    <t>Ocellate Seastar</t>
  </si>
  <si>
    <t>Petricia vernicina</t>
  </si>
  <si>
    <t>Velvet Star</t>
  </si>
  <si>
    <t>Plagusia chabrus</t>
  </si>
  <si>
    <t>Red Bait Crab</t>
  </si>
  <si>
    <t>Trizopagurus strigimanus</t>
  </si>
  <si>
    <t>Rasping Hermit Crab</t>
  </si>
  <si>
    <t>Carpoglossum confluens</t>
  </si>
  <si>
    <t>Brown seaweed</t>
  </si>
  <si>
    <t>Cystophora retroflexa</t>
  </si>
  <si>
    <t>Brown algae</t>
  </si>
  <si>
    <t>Sargassum spp.</t>
  </si>
  <si>
    <t>brown macroalgea</t>
  </si>
  <si>
    <t>Seirococcus axillaris</t>
  </si>
  <si>
    <t>golden kelp</t>
  </si>
  <si>
    <t>Undaria pinnatifida</t>
  </si>
  <si>
    <t>Wakame</t>
  </si>
  <si>
    <t>Zonaria spp.</t>
  </si>
  <si>
    <t>thalloid brown alga</t>
  </si>
  <si>
    <t>Caulerpa flexilis</t>
  </si>
  <si>
    <t>green seaweed</t>
  </si>
  <si>
    <t>temperate rocky reef</t>
  </si>
  <si>
    <t>predatory fish species</t>
  </si>
  <si>
    <t>Haliotis rubrum</t>
  </si>
  <si>
    <t>abalone</t>
  </si>
  <si>
    <t>Phaeophyceae</t>
  </si>
  <si>
    <t>Aplodactylus arctidens</t>
  </si>
  <si>
    <t>marblefish</t>
  </si>
  <si>
    <t>Latridopsis forsteri</t>
  </si>
  <si>
    <t>bastard trumpeter</t>
  </si>
  <si>
    <t>Pseudophycis spp.</t>
  </si>
  <si>
    <t>codlings</t>
  </si>
  <si>
    <t>Meuschenia australis</t>
  </si>
  <si>
    <t>brownstriped leatherjacket</t>
  </si>
  <si>
    <t>Diodon nichthemerus</t>
  </si>
  <si>
    <t>slender-spined porcupine fish</t>
  </si>
  <si>
    <t>Pictilabrus laticlavius</t>
  </si>
  <si>
    <t>patrician wrasse</t>
  </si>
  <si>
    <t>species given is a synonym for Pseudolabrus rubicundus (common name I put in)</t>
  </si>
  <si>
    <t>Neoodax balteutus</t>
  </si>
  <si>
    <t>little weed whiting</t>
  </si>
  <si>
    <t>Trachinops caudimaculatus</t>
  </si>
  <si>
    <t>southern hulafish</t>
  </si>
  <si>
    <t>Pempheris multiradiatus</t>
  </si>
  <si>
    <t>common bullseye</t>
  </si>
  <si>
    <t>fishes &gt; 300 mm</t>
  </si>
  <si>
    <t>fishes &gt; 300 mm, excluding Latridopsis</t>
  </si>
  <si>
    <t>fishes</t>
  </si>
  <si>
    <t>Edgar &amp; Barrett 1996</t>
  </si>
  <si>
    <t>large fish</t>
  </si>
  <si>
    <t>Gastropoda</t>
  </si>
  <si>
    <t>gastropod</t>
  </si>
  <si>
    <t>outside MPA incudes bufferzone - NOT all species recorded at sites (recorded as zero)</t>
  </si>
  <si>
    <t>near-shore island/ rocky reef/ seagrass</t>
  </si>
  <si>
    <t>Marow tabu area</t>
  </si>
  <si>
    <t>May Rut Island</t>
  </si>
  <si>
    <t>strictly protected area core zones; no individual size data but longest centroid distance is 7.140903</t>
  </si>
  <si>
    <t>Mayor Island (Tuhua) Marine Reserve</t>
  </si>
  <si>
    <t>Medes Islands Marine Reserve</t>
  </si>
  <si>
    <t>Garcia-Rubies</t>
  </si>
  <si>
    <t>Species data only avaliable for biomass Richness and size were pooled.</t>
  </si>
  <si>
    <t>Common dentex</t>
  </si>
  <si>
    <t>Dicentrarchus labrax</t>
  </si>
  <si>
    <t>European bass</t>
  </si>
  <si>
    <t>zebra sea bream</t>
  </si>
  <si>
    <t>Brown meagre</t>
  </si>
  <si>
    <t>Sparus aurata</t>
  </si>
  <si>
    <t xml:space="preserve">gilt-head bream </t>
  </si>
  <si>
    <t>Perciformes</t>
  </si>
  <si>
    <t>ray-finned fish</t>
  </si>
  <si>
    <t>Montgrí, the Illes Medes and the Baix Ter Natural Park</t>
  </si>
  <si>
    <t>coastal coral reef</t>
  </si>
  <si>
    <t>Rius</t>
  </si>
  <si>
    <t>githead seabream</t>
  </si>
  <si>
    <t>Mytilus galloprovincialis</t>
  </si>
  <si>
    <t>Mediterranean mussel</t>
  </si>
  <si>
    <t>Medrano</t>
  </si>
  <si>
    <t>Paracentrotus lividus</t>
  </si>
  <si>
    <t>Arbacia lixula</t>
  </si>
  <si>
    <t>Grane-Feliu</t>
  </si>
  <si>
    <t>red coral</t>
  </si>
  <si>
    <t>Linares</t>
  </si>
  <si>
    <t>cm basal diameter</t>
  </si>
  <si>
    <t>Tanzania</t>
  </si>
  <si>
    <t>Misali Island Marine Conservation Area non-extraction zone</t>
  </si>
  <si>
    <t>Misali Island Marine Conservation Area</t>
  </si>
  <si>
    <t>Poonian</t>
  </si>
  <si>
    <t>Society for Environmental Exploration</t>
  </si>
  <si>
    <t>Coraline algae</t>
  </si>
  <si>
    <t>Jones</t>
  </si>
  <si>
    <t>urchin predators</t>
  </si>
  <si>
    <t>Large-bodied predatory fish</t>
  </si>
  <si>
    <t>Grenada</t>
  </si>
  <si>
    <t>nearshore reef</t>
  </si>
  <si>
    <t>Anderson</t>
  </si>
  <si>
    <t>Mombasa Marine National Park</t>
  </si>
  <si>
    <t>Mombasa National Marine Park</t>
  </si>
  <si>
    <t>Piscivores</t>
  </si>
  <si>
    <t>Other reserves (Kisite, Malindi, &amp; Watamu) didn't have before data, outisde sites didn’t have after values</t>
  </si>
  <si>
    <t>Scavengers</t>
  </si>
  <si>
    <t>Sea urchin predators</t>
  </si>
  <si>
    <t>Sponge eaters</t>
  </si>
  <si>
    <t>Damselfish</t>
  </si>
  <si>
    <t>back-reef lagoon fringing reef</t>
  </si>
  <si>
    <t>other reserves not included because data were only collected after reserve implementation</t>
  </si>
  <si>
    <t>triggerfish</t>
  </si>
  <si>
    <t>rabbitfish</t>
  </si>
  <si>
    <t>damselfish and clownfish</t>
  </si>
  <si>
    <t>Mona and Monito Island no-take zone</t>
  </si>
  <si>
    <t>cm FL</t>
  </si>
  <si>
    <t>Olson</t>
  </si>
  <si>
    <t>compared to reserve with some extraction</t>
  </si>
  <si>
    <t>Cephalopholis fulva</t>
  </si>
  <si>
    <t>Lutjanus mahogoni</t>
  </si>
  <si>
    <t>Mona Island Natural Resereve</t>
  </si>
  <si>
    <t>small fish</t>
  </si>
  <si>
    <t>Mateos-Molina</t>
  </si>
  <si>
    <t>medium fish</t>
  </si>
  <si>
    <t>Mong Tay Island</t>
  </si>
  <si>
    <t>strictly protected area core zones; no individual size data but longest centroid distance is 7.140907</t>
  </si>
  <si>
    <t>Moreton Bay Marine Park</t>
  </si>
  <si>
    <t>coral reef &amp; mangroves</t>
  </si>
  <si>
    <t>Olds</t>
  </si>
  <si>
    <t>Global Ecology and Biogeography</t>
  </si>
  <si>
    <t>2 x unnamed reserves</t>
  </si>
  <si>
    <t>bream</t>
  </si>
  <si>
    <t>sweetlip</t>
  </si>
  <si>
    <t>harvested fish</t>
  </si>
  <si>
    <t>piscivores</t>
  </si>
  <si>
    <t>Moreton Bay Marine Park Network</t>
  </si>
  <si>
    <t>Mullimburra</t>
  </si>
  <si>
    <t>Murramarang</t>
  </si>
  <si>
    <t>Mustique reserve</t>
  </si>
  <si>
    <t>predators</t>
  </si>
  <si>
    <t>g/120m^2</t>
  </si>
  <si>
    <t>Steneck</t>
  </si>
  <si>
    <t>Stony coral</t>
  </si>
  <si>
    <t>Diadema</t>
  </si>
  <si>
    <t>rocky/mixed rocky-sand</t>
  </si>
  <si>
    <t>Karpov</t>
  </si>
  <si>
    <t>Sebastes miniatus</t>
  </si>
  <si>
    <t>Vermillion rockfish</t>
  </si>
  <si>
    <t>Sebastes caurinus</t>
  </si>
  <si>
    <t>Copper Rockfish</t>
  </si>
  <si>
    <t>Sebastes carnatus</t>
  </si>
  <si>
    <t>Gopher Rockfish</t>
  </si>
  <si>
    <t>CA Sheephead</t>
  </si>
  <si>
    <t>Sebastes serriceps</t>
  </si>
  <si>
    <t>Treefish</t>
  </si>
  <si>
    <t>Rhacochilus vacca</t>
  </si>
  <si>
    <t>Pileporch</t>
  </si>
  <si>
    <t>Ophiodon elongatus</t>
  </si>
  <si>
    <t>Lingcod</t>
  </si>
  <si>
    <t>Sebastes mystinus</t>
  </si>
  <si>
    <t>Blue Rockfish</t>
  </si>
  <si>
    <t>Sebastes serranoides</t>
  </si>
  <si>
    <t>Olive Rockfish</t>
  </si>
  <si>
    <t>Sebastomus</t>
  </si>
  <si>
    <t>urchins</t>
  </si>
  <si>
    <t>Namada marine protected area</t>
  </si>
  <si>
    <t>nearisland</t>
  </si>
  <si>
    <t>Acanthaster</t>
  </si>
  <si>
    <t>Clements</t>
  </si>
  <si>
    <t>Bonaldo</t>
  </si>
  <si>
    <t>Scraping parrotfish</t>
  </si>
  <si>
    <t>Excavating parrotfish</t>
  </si>
  <si>
    <t>Mobile Invert Feeders</t>
  </si>
  <si>
    <t>Sessile Invert Feeders</t>
  </si>
  <si>
    <t>Omnivores</t>
  </si>
  <si>
    <t>Eplithic algal matrix</t>
  </si>
  <si>
    <t>coral recruits</t>
  </si>
  <si>
    <t>Epinephelidae</t>
  </si>
  <si>
    <t>Namatakula</t>
  </si>
  <si>
    <t>seagrass and reef flat</t>
  </si>
  <si>
    <t>patch reef</t>
  </si>
  <si>
    <t>Ngelukes MPA</t>
  </si>
  <si>
    <t>mangrove, seagrass, and coral reef</t>
  </si>
  <si>
    <t>Ngerumekaol MPA</t>
  </si>
  <si>
    <t>Ngmelis MPA</t>
  </si>
  <si>
    <t>Siganus argenteus</t>
  </si>
  <si>
    <t>Cetoscarus bicolor</t>
  </si>
  <si>
    <t>Lutjanus gibbus</t>
  </si>
  <si>
    <t>Hipposcarus longiceps</t>
  </si>
  <si>
    <t>Naso lituratus</t>
  </si>
  <si>
    <t>Ninepin Point Marine Nature Reserve</t>
  </si>
  <si>
    <t>Pentagonaster dubeni</t>
  </si>
  <si>
    <t>Fire-brick Star</t>
  </si>
  <si>
    <t>Sonderopelta coriaceae</t>
  </si>
  <si>
    <t>Thamnoclonoum dichotomum</t>
  </si>
  <si>
    <t>algae</t>
  </si>
  <si>
    <t>expanded to 7.06 km2 in 2009, dark, so deeper sea organisms present</t>
  </si>
  <si>
    <t>Caesioperca rasor</t>
  </si>
  <si>
    <t>barber perch</t>
  </si>
  <si>
    <t>North Cozumel, South Cozumel, Cancun, Puerto Morelos, Sian Ka'an, Arrecifes de Sian Ka'an, Xcalak, Banco Chincherro Marine Protected areas no-take zones</t>
  </si>
  <si>
    <t>Espinosa-Andrade</t>
  </si>
  <si>
    <t>commercial fish</t>
  </si>
  <si>
    <t>Orpheus Island Marine National Park</t>
  </si>
  <si>
    <t>coral groupers</t>
  </si>
  <si>
    <t>Hassel</t>
  </si>
  <si>
    <t>Coastal Management</t>
  </si>
  <si>
    <t>Lutjanus carponotatus</t>
  </si>
  <si>
    <t>Siganus doliatus</t>
  </si>
  <si>
    <t xml:space="preserve">Australia </t>
  </si>
  <si>
    <t>Scolopsis bilineatus</t>
  </si>
  <si>
    <t>bridled monocle bream</t>
  </si>
  <si>
    <t>Hall and Kingsford</t>
  </si>
  <si>
    <t>targeted predators</t>
  </si>
  <si>
    <t>live coral</t>
  </si>
  <si>
    <t>dead coral</t>
  </si>
  <si>
    <t>cover algae</t>
  </si>
  <si>
    <t>Parque Nacional exclusivamente la zona marina del Archipiélago de Espíritu Santo no-take areas</t>
  </si>
  <si>
    <t>Parque Nacional exclusivamente la zona marina del Archipiélago de Espíritu Santo</t>
  </si>
  <si>
    <t>Ramírez-Ortiz</t>
  </si>
  <si>
    <t>units not standardized and in log form that makes no sense when converted to non-log</t>
  </si>
  <si>
    <t>Argentina</t>
  </si>
  <si>
    <t>Patagonian closed area</t>
  </si>
  <si>
    <t>Alemany</t>
  </si>
  <si>
    <t>Merluccius hubbsi</t>
  </si>
  <si>
    <t>Argenine hake</t>
  </si>
  <si>
    <t>non-target species</t>
  </si>
  <si>
    <t>Argenine hake, adult</t>
  </si>
  <si>
    <t>Argenine hake, juvenile</t>
  </si>
  <si>
    <t>Italy</t>
  </si>
  <si>
    <t>Patella ferruginea</t>
  </si>
  <si>
    <t>Coppa</t>
  </si>
  <si>
    <t>Pessegueiro Island reserve</t>
  </si>
  <si>
    <t>Arnoglossus laterna</t>
  </si>
  <si>
    <t>European scaldfish</t>
  </si>
  <si>
    <t>size measurement type not stated</t>
  </si>
  <si>
    <t>Pegusa lascaris</t>
  </si>
  <si>
    <t>sand sole</t>
  </si>
  <si>
    <t>Chelidonichthys obscurus</t>
  </si>
  <si>
    <t>long-finned gurnard</t>
  </si>
  <si>
    <t>Raja clavata</t>
  </si>
  <si>
    <t>thronback ray</t>
  </si>
  <si>
    <t>Pianosa no-take area</t>
  </si>
  <si>
    <t>Cystoseira</t>
  </si>
  <si>
    <t>Fraschetti</t>
  </si>
  <si>
    <t>Hippolytidae</t>
  </si>
  <si>
    <t>Gillespie</t>
  </si>
  <si>
    <t>Arcidae</t>
  </si>
  <si>
    <t>Vermetidae</t>
  </si>
  <si>
    <t>Cerithiidae</t>
  </si>
  <si>
    <t>Malleidae</t>
  </si>
  <si>
    <t>Mytilidae</t>
  </si>
  <si>
    <t>Ophiocomidae</t>
  </si>
  <si>
    <t>Sabellidae</t>
  </si>
  <si>
    <t>Pinnacle no-take area</t>
  </si>
  <si>
    <t>Piti Bomb Holes Marine Preserve</t>
  </si>
  <si>
    <t>fringing reef flat</t>
  </si>
  <si>
    <t>Acanthurus triostegus</t>
  </si>
  <si>
    <t>convict surgeonfish</t>
  </si>
  <si>
    <t>Tupper</t>
  </si>
  <si>
    <t>Fishery Bulletin</t>
  </si>
  <si>
    <t>Data based on mark-recapture data and only used for 1 MPA that was a NTA; not fully no-take?</t>
  </si>
  <si>
    <t>Epinephelus merra</t>
  </si>
  <si>
    <t>honeycomb grouper</t>
  </si>
  <si>
    <t>Data based on mark-recapture data and only used for 1 MPA that was a NTA</t>
  </si>
  <si>
    <t>Mulloidichthys flavolineatus</t>
  </si>
  <si>
    <t>yellowstripe goatfish</t>
  </si>
  <si>
    <t>unicornfish</t>
  </si>
  <si>
    <t>Siganus spinus</t>
  </si>
  <si>
    <t>little spinefoot</t>
  </si>
  <si>
    <t>Plemmirio Marine Protected Area</t>
  </si>
  <si>
    <t>Apogon imberbis</t>
  </si>
  <si>
    <t>Pierpaolo</t>
  </si>
  <si>
    <t>data from mix of buffer and outside</t>
  </si>
  <si>
    <t>Spicara</t>
  </si>
  <si>
    <t>Gobius bucchichi</t>
  </si>
  <si>
    <t>Gobius cruentatus</t>
  </si>
  <si>
    <t>Gobius geniporus</t>
  </si>
  <si>
    <t>Gobius vittatus</t>
  </si>
  <si>
    <t>Coris julis</t>
  </si>
  <si>
    <t>Labrus viridis</t>
  </si>
  <si>
    <t>Symphodus doderleini</t>
  </si>
  <si>
    <t>Symphodus mediterraneus</t>
  </si>
  <si>
    <t>Symphodus melanocercus</t>
  </si>
  <si>
    <t>Symphodus ocellatus</t>
  </si>
  <si>
    <t>Symphodus rostratus</t>
  </si>
  <si>
    <t>Symphodus tinca</t>
  </si>
  <si>
    <t>Thalassoma pavo</t>
  </si>
  <si>
    <t>Mullus surmuletus</t>
  </si>
  <si>
    <t>Muraena helena</t>
  </si>
  <si>
    <t>Chromis chromis</t>
  </si>
  <si>
    <t>Scorpaena maderensis</t>
  </si>
  <si>
    <t>Scorpaena notata</t>
  </si>
  <si>
    <t>Scorpaena porcus</t>
  </si>
  <si>
    <t>Scorpaena scrofa</t>
  </si>
  <si>
    <t>Anthias anthias</t>
  </si>
  <si>
    <t>Boops boops</t>
  </si>
  <si>
    <t>Diplodus annularis</t>
  </si>
  <si>
    <t>Oblada melanura</t>
  </si>
  <si>
    <t>Spondyliosoma cantharus</t>
  </si>
  <si>
    <t>Pohatu (Flea Bay) Marine Reserve</t>
  </si>
  <si>
    <t>Point Lobos State Marine Reserve</t>
  </si>
  <si>
    <t>rocky shores</t>
  </si>
  <si>
    <t>Point Lobos had the most positive results, only results presented in paper (bias); whole study length 2007-2013, but data reported only from 2007-2008</t>
  </si>
  <si>
    <t>Blue rockfish</t>
  </si>
  <si>
    <t>Point Lobos had the most positive results, only results presented in paper (bias); whole study length 2007-2013, but data reported only from 2007-2009</t>
  </si>
  <si>
    <t>Sebastes pinniger</t>
  </si>
  <si>
    <t>Canary rockfish</t>
  </si>
  <si>
    <t>Point Lobos had the most positive results, only results presented in paper (bias); whole study length 2007-2013, but data reported only from 2007-2010</t>
  </si>
  <si>
    <t>Sebastes nebulosus</t>
  </si>
  <si>
    <t>China rockfish</t>
  </si>
  <si>
    <t>Point Lobos had the most positive results, only results presented in paper (bias); whole study length 2007-2013, but data reported only from 2007-2011</t>
  </si>
  <si>
    <t>Copper rockfish</t>
  </si>
  <si>
    <t>Point Lobos had the most positive results, only results presented in paper (bias); whole study length 2007-2013, but data reported only from 2007-2012</t>
  </si>
  <si>
    <t>Gopher rockfish</t>
  </si>
  <si>
    <t>Point Lobos had the most positive results, only results presented in paper (bias); whole study length 2007-2013, but data reported only from 2007-2013</t>
  </si>
  <si>
    <t>Sebastes atrovirens</t>
  </si>
  <si>
    <t>Kelp rockfish</t>
  </si>
  <si>
    <t>Point Lobos had the most positive results, only results presented in paper (bias); whole study length 2007-2013, but data reported only from 2007-2014</t>
  </si>
  <si>
    <t>Point Lobos had the most positive results, only results presented in paper (bias); whole study length 2007-2013, but data reported only from 2007-2015</t>
  </si>
  <si>
    <t>Olive rockfish</t>
  </si>
  <si>
    <t>Point Lobos had the most positive results, only results presented in paper (bias); whole study length 2007-2013, but data reported only from 2007-2016</t>
  </si>
  <si>
    <t>Point Lobos had the most positive results, only results presented in paper (bias); whole study length 2007-2013, but data reported only from 2007-2017</t>
  </si>
  <si>
    <t>Sebastes flavidus</t>
  </si>
  <si>
    <t>Yellowtail rockfish</t>
  </si>
  <si>
    <t>Point Lobos had the most positive results, only results presented in paper (bias); whole study length 2007-2013, but data reported only from 2007-2018</t>
  </si>
  <si>
    <t>South Africa</t>
  </si>
  <si>
    <t>Pondoland Marine Protected Area</t>
  </si>
  <si>
    <t>Chrysoblephus puniceus</t>
  </si>
  <si>
    <t>Slinger seabream</t>
  </si>
  <si>
    <t>Maggs</t>
  </si>
  <si>
    <t>Polysteganus praeorbitalis</t>
  </si>
  <si>
    <t>Scotsman seabream</t>
  </si>
  <si>
    <t>Cymatoceps nasutus</t>
  </si>
  <si>
    <t>Black musselcracker</t>
  </si>
  <si>
    <t>Dusky grouper</t>
  </si>
  <si>
    <t>Schiel</t>
  </si>
  <si>
    <t>Coris sandeyeri</t>
  </si>
  <si>
    <t>Sandager's wrasse</t>
  </si>
  <si>
    <t>Suezichthys aylingi</t>
  </si>
  <si>
    <t>Crimson cleaner fish</t>
  </si>
  <si>
    <t>Meuschenia scaber</t>
  </si>
  <si>
    <t>smooth leatherjacket</t>
  </si>
  <si>
    <t>Parma alboscapularis</t>
  </si>
  <si>
    <t>New Zealand black angelfish</t>
  </si>
  <si>
    <t>Upeneichthys porosus</t>
  </si>
  <si>
    <t>Cheilodactylids</t>
  </si>
  <si>
    <t>Pseudolabrus luculentus</t>
  </si>
  <si>
    <t>orange wrasse</t>
  </si>
  <si>
    <t>Bodianus</t>
  </si>
  <si>
    <t>Nemadactylus douglasii</t>
  </si>
  <si>
    <t>Notolabrus inscriptus</t>
  </si>
  <si>
    <t>Port Davey/Bathurst Harbour Marine Nature Reserve</t>
  </si>
  <si>
    <t>Port Phillip Heads Marine National Park Network</t>
  </si>
  <si>
    <t>Port Phillip Heads Marine National Park</t>
  </si>
  <si>
    <t>Phorcus sauciatus</t>
  </si>
  <si>
    <t>Portofino Marine Protected Area</t>
  </si>
  <si>
    <t>Paramuricea clavata</t>
  </si>
  <si>
    <t xml:space="preserve">Betti </t>
  </si>
  <si>
    <t>Eunicella cavolini</t>
  </si>
  <si>
    <t>height cm</t>
  </si>
  <si>
    <t>Punta Javana</t>
  </si>
  <si>
    <t>Arias-Del-Razo</t>
  </si>
  <si>
    <t>Combined San Jeromino (which is a reserve, but was sampled the year the reserve was established), Todos Santos &amp; San Roque Islands together for outside reference point</t>
  </si>
  <si>
    <t>Macroinvertebrates</t>
  </si>
  <si>
    <t>Haliotis corrugata</t>
  </si>
  <si>
    <t>pink abalone</t>
  </si>
  <si>
    <t>rocky and coralligenous</t>
  </si>
  <si>
    <t>Palinurus elephas</t>
  </si>
  <si>
    <t>Diaz</t>
  </si>
  <si>
    <t>values for AO calculated as mean between 3 control sites (not including border of reserve)</t>
  </si>
  <si>
    <t>Reserve El Palmar</t>
  </si>
  <si>
    <t>Strongylura notata</t>
  </si>
  <si>
    <t>Palacios-Sánchez</t>
  </si>
  <si>
    <t>Strongylura timucu</t>
  </si>
  <si>
    <t>Tylosurus crocodilus</t>
  </si>
  <si>
    <t>Trachinotus goodei</t>
  </si>
  <si>
    <t>Carangoides bartholomaei</t>
  </si>
  <si>
    <t>Caranx latus</t>
  </si>
  <si>
    <t>Caranx crysos</t>
  </si>
  <si>
    <t>Lobotes surinamensis</t>
  </si>
  <si>
    <t>Cynoscion arenarius</t>
  </si>
  <si>
    <t>Synodus foetens</t>
  </si>
  <si>
    <t>Harengula humeralis</t>
  </si>
  <si>
    <t>Anchoa mitchilli</t>
  </si>
  <si>
    <t>Anchoa lamprotaenia</t>
  </si>
  <si>
    <t>Anchoa lyolepis</t>
  </si>
  <si>
    <t>Anchoa cubana</t>
  </si>
  <si>
    <t>Syngnathus louisianae</t>
  </si>
  <si>
    <t>Syngnathus pelagicus</t>
  </si>
  <si>
    <t>Strongylura marina</t>
  </si>
  <si>
    <t>Albula vulpes</t>
  </si>
  <si>
    <t>Histrio histrio</t>
  </si>
  <si>
    <t>Bagre marinus</t>
  </si>
  <si>
    <t>Opsanus beta</t>
  </si>
  <si>
    <t>Trachinotus falcatus</t>
  </si>
  <si>
    <t>Trachinotus carolinus</t>
  </si>
  <si>
    <t>Selene vomer</t>
  </si>
  <si>
    <t>Symphurus plagiusa</t>
  </si>
  <si>
    <t>Hypanus americanus</t>
  </si>
  <si>
    <t>Gunterichthys longipenis</t>
  </si>
  <si>
    <t>Chilomycterus schoepfii</t>
  </si>
  <si>
    <t>Anchoa hepsetus</t>
  </si>
  <si>
    <t>Eucinostomus argenteus</t>
  </si>
  <si>
    <t>Gymnura micrura</t>
  </si>
  <si>
    <t>Haemulon plumierii</t>
  </si>
  <si>
    <t>Haemulon flavolineatum</t>
  </si>
  <si>
    <t>Lutjanus analis</t>
  </si>
  <si>
    <t>Stephanolepis hispidus</t>
  </si>
  <si>
    <t>Narcine brasiliensis</t>
  </si>
  <si>
    <t>Ogcocephalus cubifrons</t>
  </si>
  <si>
    <t>Acanthostracion quadricornis</t>
  </si>
  <si>
    <t>Citharichthys macrops</t>
  </si>
  <si>
    <t>Paralichthys albigutta</t>
  </si>
  <si>
    <t>Polydactylus virginicus</t>
  </si>
  <si>
    <t>Pseudobatos lentiginosus</t>
  </si>
  <si>
    <t>Diplectrum bivittatum</t>
  </si>
  <si>
    <t>Rypticus maculatus</t>
  </si>
  <si>
    <t>Bairdiella ronchus</t>
  </si>
  <si>
    <t>Corvula santaeluciae</t>
  </si>
  <si>
    <t>Menticirrhus littoralis</t>
  </si>
  <si>
    <t>Menticirrhus americanus</t>
  </si>
  <si>
    <t>Menticirrhus saxatilis</t>
  </si>
  <si>
    <t>Micropogonias undulatus</t>
  </si>
  <si>
    <t>Umbrina coroides</t>
  </si>
  <si>
    <t>Archosargus rhomboidalis</t>
  </si>
  <si>
    <t>Syngnathus floridae</t>
  </si>
  <si>
    <t>Sphoeroides testudineus</t>
  </si>
  <si>
    <t>Sphoeroides spengleri</t>
  </si>
  <si>
    <t>Lagocephalus laevigatus</t>
  </si>
  <si>
    <t>Prionotus scitulus</t>
  </si>
  <si>
    <t>Prionotus tribulus</t>
  </si>
  <si>
    <t>Urobatis jamaicensis</t>
  </si>
  <si>
    <t>Floridichthys polyommus</t>
  </si>
  <si>
    <t>Chaetodipterus faber</t>
  </si>
  <si>
    <t>Fundulus persimilis</t>
  </si>
  <si>
    <t>Fundulus grandissimus</t>
  </si>
  <si>
    <t>Eugerres plumieri</t>
  </si>
  <si>
    <t>Hyporhamphus unifasciatus</t>
  </si>
  <si>
    <t>Hyporhamphus meeki</t>
  </si>
  <si>
    <t>Chriodorus atherinoides</t>
  </si>
  <si>
    <t>Kyphosus sectatrix</t>
  </si>
  <si>
    <t>Stephanolepis setifer</t>
  </si>
  <si>
    <t>Mugil trichodon</t>
  </si>
  <si>
    <t>Cryptotomus roseus</t>
  </si>
  <si>
    <t>Nicholsina usta</t>
  </si>
  <si>
    <t>Nekton feeders</t>
  </si>
  <si>
    <t>zooplankton feeders</t>
  </si>
  <si>
    <t>zoobenthos feeders</t>
  </si>
  <si>
    <t>Rocha do Navio Nature Reserve</t>
  </si>
  <si>
    <t>Solomon Islands</t>
  </si>
  <si>
    <t>Saba Marine Park closed area</t>
  </si>
  <si>
    <t>Saba Marine Park</t>
  </si>
  <si>
    <t>Noble</t>
  </si>
  <si>
    <t>outside comparison based on PPA in the same park</t>
  </si>
  <si>
    <t>ocean surgeon</t>
  </si>
  <si>
    <t>black doctorfish</t>
  </si>
  <si>
    <t>stoplight parrotfish</t>
  </si>
  <si>
    <t>redband parrotfish</t>
  </si>
  <si>
    <t>Haemulon carbonarium</t>
  </si>
  <si>
    <t>caaesar grunt</t>
  </si>
  <si>
    <t>french grunt</t>
  </si>
  <si>
    <t>butterfish</t>
  </si>
  <si>
    <t>Cephalopholis cruentata</t>
  </si>
  <si>
    <t>graysby</t>
  </si>
  <si>
    <t>dogtooth snapper</t>
  </si>
  <si>
    <t>mahogany snapper</t>
  </si>
  <si>
    <t>San Miguel Island Sanctuary</t>
  </si>
  <si>
    <t xml:space="preserve">Live coral </t>
  </si>
  <si>
    <t>Bobiles</t>
  </si>
  <si>
    <t>Dead coral</t>
  </si>
  <si>
    <t>Coral rubble</t>
  </si>
  <si>
    <t>Emperors</t>
  </si>
  <si>
    <t>Snappers</t>
  </si>
  <si>
    <t>surgeonfishes</t>
  </si>
  <si>
    <t>Santa Rosa National Park, Camaronal National Wildlife Refuge, Caletas Ario National Wildlife Refuge, Curu National Wildlife Refuge</t>
  </si>
  <si>
    <t>Muraena lentiginosa</t>
  </si>
  <si>
    <t>Jewel moray</t>
  </si>
  <si>
    <t>Beita-Jimenez</t>
  </si>
  <si>
    <t>Four reserves combined with different implimentation dates, used the youngest reserve as the reserve_age. Data taken from the supp material and excluded species with missing enteries</t>
  </si>
  <si>
    <t>Sargocentron suborbitalis</t>
  </si>
  <si>
    <t>Tinsel squirrelfish</t>
  </si>
  <si>
    <t>Acanthurus xanthopterus</t>
  </si>
  <si>
    <t>Yellowfin surgeonfish</t>
  </si>
  <si>
    <t>Prionurus laticlavius</t>
  </si>
  <si>
    <t>Razor surgeonfish</t>
  </si>
  <si>
    <t>Apogon dovii</t>
  </si>
  <si>
    <t>Tailspot cardinalfish</t>
  </si>
  <si>
    <t>Ophioblennius steindachneri</t>
  </si>
  <si>
    <t>Large-banded blenny</t>
  </si>
  <si>
    <t>Plagiotremus azaleus</t>
  </si>
  <si>
    <t>Sabertooth blenny</t>
  </si>
  <si>
    <t>Caranx caballus</t>
  </si>
  <si>
    <t>Seriola rivoliana</t>
  </si>
  <si>
    <t>Chaetodon humeralis</t>
  </si>
  <si>
    <t>Johnrandallia nigrirostris</t>
  </si>
  <si>
    <t>Cirrhitichthys oxycephalus</t>
  </si>
  <si>
    <t>Cirrhitus rivulatus</t>
  </si>
  <si>
    <t>Anisotremus caesius</t>
  </si>
  <si>
    <t>Haemulon flaviguttatum</t>
  </si>
  <si>
    <t>Haemulon maculicauda</t>
  </si>
  <si>
    <t>Haemulon sexfasciatum</t>
  </si>
  <si>
    <t>Haemulon steindachneri</t>
  </si>
  <si>
    <t>Kyphosus analogus</t>
  </si>
  <si>
    <t>Bodianus diplotaenia</t>
  </si>
  <si>
    <t>Halichoeres chierchiae</t>
  </si>
  <si>
    <t>Halichoeres dispilus</t>
  </si>
  <si>
    <t>Halichoeres nicholsi</t>
  </si>
  <si>
    <t>Halichoeres notospilus</t>
  </si>
  <si>
    <t>Thalassoma lucasanum</t>
  </si>
  <si>
    <t>Hoplopagrus guentherii</t>
  </si>
  <si>
    <t>Lutjanus argentiventris</t>
  </si>
  <si>
    <t>Lutjanus guttatus</t>
  </si>
  <si>
    <t>Lutjanus inermis</t>
  </si>
  <si>
    <t>Holacanthus passer</t>
  </si>
  <si>
    <t>Pomacanthus zonipectus</t>
  </si>
  <si>
    <t>Abudefduf concolor</t>
  </si>
  <si>
    <t>Abudefduf troschelii</t>
  </si>
  <si>
    <t>Chromis atrilobata</t>
  </si>
  <si>
    <t>Microspathodon bairdii</t>
  </si>
  <si>
    <t>Microspathodon dorsalis</t>
  </si>
  <si>
    <t>Stegastes flavilatus</t>
  </si>
  <si>
    <t>Scarus ghobban</t>
  </si>
  <si>
    <t>Scarus rubroviolaceus</t>
  </si>
  <si>
    <t>Odontoscion xanthops</t>
  </si>
  <si>
    <t>Alphestes immaculatus</t>
  </si>
  <si>
    <t>Alphestes multiguttatus</t>
  </si>
  <si>
    <t>Cephalopholis panamensis</t>
  </si>
  <si>
    <t>Epinephelus labriformis</t>
  </si>
  <si>
    <t>Paranthias colonus</t>
  </si>
  <si>
    <t>Serranus psittacinus</t>
  </si>
  <si>
    <t>Scorpaena mystes</t>
  </si>
  <si>
    <t>Fistularia commersonii</t>
  </si>
  <si>
    <t>Balistes polylepis</t>
  </si>
  <si>
    <t>Pseudobalistes naufragium</t>
  </si>
  <si>
    <t>Sufflamen verres</t>
  </si>
  <si>
    <t>Chilomycterus reticulatus</t>
  </si>
  <si>
    <t>Diodon holocanthus</t>
  </si>
  <si>
    <t>Arothron hispidus</t>
  </si>
  <si>
    <t>Arothron meleagris</t>
  </si>
  <si>
    <t>Canthigaster punctatissima</t>
  </si>
  <si>
    <t xml:space="preserve"> </t>
  </si>
  <si>
    <t>Sphoeroides lobatus</t>
  </si>
  <si>
    <t>Scandola Marine Reserve</t>
  </si>
  <si>
    <t>seagrass (Posidonia oceanica) medows</t>
  </si>
  <si>
    <t>Mediterranean rainbow wrasse</t>
  </si>
  <si>
    <t xml:space="preserve">Seytre </t>
  </si>
  <si>
    <t>Francour 2000</t>
  </si>
  <si>
    <t>Values taken from fig3, year = 1999, using NTZ as inside and ORN as outside</t>
  </si>
  <si>
    <t>Painted comber</t>
  </si>
  <si>
    <t>Annular seabream</t>
  </si>
  <si>
    <t>Salema</t>
  </si>
  <si>
    <t>Diplodus</t>
  </si>
  <si>
    <t>seabream</t>
  </si>
  <si>
    <t>Posidonia oceanica associated fish</t>
  </si>
  <si>
    <t>Values taken from fig 2, year = 1999, using NTZ as inside and mean(ORN,ORS) as outside</t>
  </si>
  <si>
    <t>CA Spiny Lobster</t>
  </si>
  <si>
    <t xml:space="preserve">Kay </t>
  </si>
  <si>
    <t>Ecological applications</t>
  </si>
  <si>
    <t>Seal Rocks no-take area</t>
  </si>
  <si>
    <t>Selvagens Islands Nature Reserve</t>
  </si>
  <si>
    <t>Ses Negres MPA</t>
  </si>
  <si>
    <t>Northwestern Mediterranean</t>
  </si>
  <si>
    <t>raw size numbers not exact and based on brackets</t>
  </si>
  <si>
    <t>Solitary Islands Marine Park</t>
  </si>
  <si>
    <t>Red snapper</t>
  </si>
  <si>
    <t>Malcolm</t>
  </si>
  <si>
    <t>Data taken from SI, BRUV study</t>
  </si>
  <si>
    <t>No richness data avaliable by location</t>
  </si>
  <si>
    <t>morphological group</t>
  </si>
  <si>
    <t>Coral and algal cover data avaliable by location, but is only I:O without further information</t>
  </si>
  <si>
    <t>soft sediment</t>
  </si>
  <si>
    <t>macrofauna</t>
  </si>
  <si>
    <t>Skold</t>
  </si>
  <si>
    <t>includes Amphiura species</t>
  </si>
  <si>
    <t>larger macrofauna excluded from biomass; includes Amphiura species</t>
  </si>
  <si>
    <t>Amphiura fillformis</t>
  </si>
  <si>
    <t>Amphiura chiajei</t>
  </si>
  <si>
    <t>Lysenko</t>
  </si>
  <si>
    <t>South Water Cay Marine Reserve</t>
  </si>
  <si>
    <t>Southeast Misool MPA</t>
  </si>
  <si>
    <t>Jaiteh</t>
  </si>
  <si>
    <t>one of the areas established in 2005 but the other in 2010 so I went with the later data</t>
  </si>
  <si>
    <t>U.S. Virgin Islands</t>
  </si>
  <si>
    <t>St. Croix Reserve</t>
  </si>
  <si>
    <t>Spheniscus demersus</t>
  </si>
  <si>
    <t>African penguins</t>
  </si>
  <si>
    <t>grams</t>
  </si>
  <si>
    <t>Pichegru</t>
  </si>
  <si>
    <t>Saint Lucia</t>
  </si>
  <si>
    <t>St. Lucia reserve</t>
  </si>
  <si>
    <t>St. Maarten Reserve</t>
  </si>
  <si>
    <t>Malaysia</t>
  </si>
  <si>
    <t>Sugud Islands Marine Conservation Area</t>
  </si>
  <si>
    <t>Chung</t>
  </si>
  <si>
    <t>Sumilon Island Reserve</t>
  </si>
  <si>
    <t>Established earlier but not no-take full until 1999</t>
  </si>
  <si>
    <t>Parupeneus barberinus</t>
  </si>
  <si>
    <t>Russ &amp; Alcala 1996</t>
  </si>
  <si>
    <t>Russ &amp; Alcala 2003</t>
  </si>
  <si>
    <t>Stockwell et al. 2009</t>
  </si>
  <si>
    <t>Tabago Cays Marine Park</t>
  </si>
  <si>
    <t>Tabarca Island Marine Reserve</t>
  </si>
  <si>
    <t>broad-striped anchovy</t>
  </si>
  <si>
    <t>Valle</t>
  </si>
  <si>
    <t>Journal of Applied Ichthyology</t>
  </si>
  <si>
    <t>bogue</t>
  </si>
  <si>
    <t xml:space="preserve">Diplodus annularis </t>
  </si>
  <si>
    <t xml:space="preserve">Dentex dentex </t>
  </si>
  <si>
    <t xml:space="preserve">Diplodus puntazzo </t>
  </si>
  <si>
    <t>Sharpsnout seabream</t>
  </si>
  <si>
    <t xml:space="preserve">Diplodus sargus </t>
  </si>
  <si>
    <t>White seabream</t>
  </si>
  <si>
    <t xml:space="preserve">Diplodus vulgaris </t>
  </si>
  <si>
    <t>Common two-banded seabream</t>
  </si>
  <si>
    <t xml:space="preserve">Epinephelus marginatus </t>
  </si>
  <si>
    <t xml:space="preserve">Chelon auratus </t>
  </si>
  <si>
    <t>Golden grey mullet</t>
  </si>
  <si>
    <t>Brown wrasse</t>
  </si>
  <si>
    <t xml:space="preserve">Lithognathus mormyrus </t>
  </si>
  <si>
    <t>Sand steenbras</t>
  </si>
  <si>
    <t xml:space="preserve">Lutjanus viridis </t>
  </si>
  <si>
    <t>Blue and gold snapper</t>
  </si>
  <si>
    <t>Mediterranean moray</t>
  </si>
  <si>
    <t>Surmullet</t>
  </si>
  <si>
    <t>Mugil spp.</t>
  </si>
  <si>
    <t>mullet</t>
  </si>
  <si>
    <t>Saddled seabream</t>
  </si>
  <si>
    <t xml:space="preserve">Pagrus pagrus </t>
  </si>
  <si>
    <t>Red porgy</t>
  </si>
  <si>
    <t>Gilthead seabream</t>
  </si>
  <si>
    <t xml:space="preserve">Serranus cabrilla </t>
  </si>
  <si>
    <t xml:space="preserve">	Comber</t>
  </si>
  <si>
    <t>Symphodus cinereus</t>
  </si>
  <si>
    <t xml:space="preserve">	Grey wrasse</t>
  </si>
  <si>
    <t xml:space="preserve">Seriola dumerili </t>
  </si>
  <si>
    <t xml:space="preserve">	Greater amberjack</t>
  </si>
  <si>
    <t>Spicara maena</t>
  </si>
  <si>
    <t>Blotched picarel</t>
  </si>
  <si>
    <t>Axillary wrasse</t>
  </si>
  <si>
    <t>wrasse</t>
  </si>
  <si>
    <t xml:space="preserve">Sciaenops ocellatus </t>
  </si>
  <si>
    <t>Red drum</t>
  </si>
  <si>
    <t>Black scorpionfish</t>
  </si>
  <si>
    <t xml:space="preserve">Symphodus roissali </t>
  </si>
  <si>
    <t>Five-spotted wrasse</t>
  </si>
  <si>
    <t>Siganus rostratus</t>
  </si>
  <si>
    <t>Streamlined spinefoot</t>
  </si>
  <si>
    <t>Red scorpionfish</t>
  </si>
  <si>
    <t xml:space="preserve">Spicara smaris </t>
  </si>
  <si>
    <t xml:space="preserve">	Picarel</t>
  </si>
  <si>
    <t xml:space="preserve">	East Atlantic peacock wrasse</t>
  </si>
  <si>
    <t xml:space="preserve">	Brown meagre</t>
  </si>
  <si>
    <t>Ornate wrasse</t>
  </si>
  <si>
    <t>Taputeranga marine reserve</t>
  </si>
  <si>
    <t>Tavolara-Punta Coda Cavallo MPA</t>
  </si>
  <si>
    <t>seagrass (Posidonia oceanica) meadows</t>
  </si>
  <si>
    <t>Amphipoda</t>
  </si>
  <si>
    <t>amphipods</t>
  </si>
  <si>
    <t>Sturaro</t>
  </si>
  <si>
    <t>Posidonia oceanica</t>
  </si>
  <si>
    <t>Te Angiangi Marine Reserve</t>
  </si>
  <si>
    <t>Te Awaatu Channel Marine Reserve</t>
  </si>
  <si>
    <t>Te Tapuwae o Rongokako</t>
  </si>
  <si>
    <t>Te Whanganui-a-Hei</t>
  </si>
  <si>
    <t>Castilla</t>
  </si>
  <si>
    <t>The University of Hawai’i Marine Laboratory Refuge</t>
  </si>
  <si>
    <t>reef flat, slope, and crest</t>
  </si>
  <si>
    <t>Stamoulis</t>
  </si>
  <si>
    <t>Scientific Reports</t>
  </si>
  <si>
    <t>coralline algae</t>
  </si>
  <si>
    <t>Scarus psittacus</t>
  </si>
  <si>
    <t>Chlorurus spilurus</t>
  </si>
  <si>
    <t>Chlorurus perspicillatus</t>
  </si>
  <si>
    <t>Acanthurus blochii</t>
  </si>
  <si>
    <t>Acanthurus dussumieri</t>
  </si>
  <si>
    <t>Zebrasoma veliferum</t>
  </si>
  <si>
    <t>Zebrasoma flavescens</t>
  </si>
  <si>
    <t>Naso unicornis</t>
  </si>
  <si>
    <t>Naso brevirostris</t>
  </si>
  <si>
    <t>Scarus spp.</t>
  </si>
  <si>
    <t>Acanthurus leucopareius</t>
  </si>
  <si>
    <t>Tigak Islands MPA</t>
  </si>
  <si>
    <t>Tinderbox and Ninepoint Marine Reserve sanctuary zones Network</t>
  </si>
  <si>
    <t>Tinderbox and Ninepoint Marine Reserve sanctuary zones</t>
  </si>
  <si>
    <t>Tinderbox Marine Nature Reserve</t>
  </si>
  <si>
    <t>Holopneustes inflatus</t>
  </si>
  <si>
    <t>Inflated Egg Urchin</t>
  </si>
  <si>
    <t>Tosia magnifica</t>
  </si>
  <si>
    <t>Magnificent Biscuit Star</t>
  </si>
  <si>
    <t>Stichopus mollis</t>
  </si>
  <si>
    <t>Brown sea cucumber</t>
  </si>
  <si>
    <t>Acrocarpia panniculata</t>
  </si>
  <si>
    <t>Macrocystis pyrifera</t>
  </si>
  <si>
    <t>giant kelp</t>
  </si>
  <si>
    <t>Callophyllis spp.</t>
  </si>
  <si>
    <t>temperate subtidal reef and kelp forest</t>
  </si>
  <si>
    <t>N. tetricus &gt; 300 mm</t>
  </si>
  <si>
    <t>Tiolas Marine Sanctuary</t>
  </si>
  <si>
    <t>Tollgate Island</t>
  </si>
  <si>
    <t>Tonga Island Marine Reserve</t>
  </si>
  <si>
    <t>Di Franco</t>
  </si>
  <si>
    <t>gastropods</t>
  </si>
  <si>
    <t>Neptune grass</t>
  </si>
  <si>
    <t>inshore</t>
  </si>
  <si>
    <t>nekton</t>
  </si>
  <si>
    <t>Pillans</t>
  </si>
  <si>
    <t>Tubbataha Reefs National Marine Park</t>
  </si>
  <si>
    <t>Muallil</t>
  </si>
  <si>
    <t>Data in Brief</t>
  </si>
  <si>
    <t>Muallil 2019 Ocean and Coastal Management</t>
  </si>
  <si>
    <t>presents the actual data from the related study</t>
  </si>
  <si>
    <t>Percnon gibbesi predators</t>
  </si>
  <si>
    <t>Noe</t>
  </si>
  <si>
    <t>Vatu-o-lalai marine protected area</t>
  </si>
  <si>
    <t xml:space="preserve">biomassden </t>
  </si>
  <si>
    <t>Vipingo Community Closure</t>
  </si>
  <si>
    <t>cm ML</t>
  </si>
  <si>
    <t>aggregated scale taken from stated 140 km stretch</t>
  </si>
  <si>
    <t>Vong Island</t>
  </si>
  <si>
    <t>strictly protected area core zones; no individual size data but longest centroid distance is 7.140904</t>
  </si>
  <si>
    <t>Votua marine protected area</t>
  </si>
  <si>
    <t>sandy seagrass</t>
  </si>
  <si>
    <t>Aliger gigas</t>
  </si>
  <si>
    <t>Stoner</t>
  </si>
  <si>
    <t>Stoner &amp; Ray 1996, Dahlgren 2004, Stoner et al. 1998, Sluka et al. 1994</t>
  </si>
  <si>
    <t>mm shell length</t>
  </si>
  <si>
    <t>bluethroated wrasse</t>
  </si>
  <si>
    <t>Shepherd</t>
  </si>
  <si>
    <t>Fisheries Management and Ecology</t>
  </si>
  <si>
    <t>length data not given measurement type; figure 7 used because other figures didn't specify which line was which; includes a few other nearby-by no-take areas treated as one reserve</t>
  </si>
  <si>
    <t>Western Sambo Reserve, Eastern Sambo Reserve, South Carysfort Reserve no-take areas</t>
  </si>
  <si>
    <t>fore-reef</t>
  </si>
  <si>
    <t>hard corals</t>
  </si>
  <si>
    <t>Toth</t>
  </si>
  <si>
    <t>distance calculated manually through webplot</t>
  </si>
  <si>
    <t>CTB</t>
  </si>
  <si>
    <t>Whanganui-a-hei Marine Reserve</t>
  </si>
  <si>
    <t>Xuon Island</t>
  </si>
  <si>
    <t>strictly protected area core zones; no individual size data but longest centroid distance is 7.140905</t>
  </si>
  <si>
    <t>Zenith Beach</t>
  </si>
  <si>
    <t>McClure</t>
  </si>
  <si>
    <t>pre- and post-typhoon with 17 aggregated MPAs in the network region</t>
  </si>
  <si>
    <t>East African countries</t>
  </si>
  <si>
    <t>aggregated sites rom eastern Africa</t>
  </si>
  <si>
    <t>Planktivorous fish</t>
  </si>
  <si>
    <t>Maliao</t>
  </si>
  <si>
    <t>Zoobenthivorous fish</t>
  </si>
  <si>
    <t>Fidler</t>
  </si>
  <si>
    <t>Omnivorous fish</t>
  </si>
  <si>
    <t>Non-target fish</t>
  </si>
  <si>
    <t>Target fish</t>
  </si>
  <si>
    <t>tropical</t>
  </si>
  <si>
    <t xml:space="preserve">Aggregated across small and large sanctuaries </t>
  </si>
  <si>
    <t>Orectolobus spp.</t>
  </si>
  <si>
    <t>wobbegong</t>
  </si>
  <si>
    <t>snapper</t>
  </si>
  <si>
    <t>Lutjanidae/Lethrinidae/ Haemulidae</t>
  </si>
  <si>
    <t>tropical seaperches</t>
  </si>
  <si>
    <t>Parupeneus spilurus</t>
  </si>
  <si>
    <t>blackspot goatfish</t>
  </si>
  <si>
    <t>Acanthopagrus australis</t>
  </si>
  <si>
    <t>Rhabdosargus sarba</t>
  </si>
  <si>
    <t>tarwhine</t>
  </si>
  <si>
    <t>Damselfishes</t>
  </si>
  <si>
    <t xml:space="preserve"> Cheilodactylus fuscus</t>
  </si>
  <si>
    <t>Republic of Seychelles</t>
  </si>
  <si>
    <t>Bohadschia atra / argus</t>
  </si>
  <si>
    <t>Cariglia</t>
  </si>
  <si>
    <t>Nine of the 21 sites surveyed were situated within MPAs (Figure 1). These included three sites within the Cousin Special Reserve (Cousin region), three sites within the Ste. Anne Marine National Park (Ste. Anne region), one site at the Baie Ternay Marine National Park (Mahe NW region), and two sites within the Curieuse Marine National Park (Praslin NE region).</t>
  </si>
  <si>
    <t>Bohadschia spp.</t>
  </si>
  <si>
    <t>Holothuria atra</t>
  </si>
  <si>
    <t>Holothuria edulis</t>
  </si>
  <si>
    <t>Holothuria fuscopunctata</t>
  </si>
  <si>
    <t>Pearsonothuria graeffei</t>
  </si>
  <si>
    <t>Stichopus chloronotus</t>
  </si>
  <si>
    <t>Actinopyga mauritiana</t>
  </si>
  <si>
    <t>Actinopyga miliaris</t>
  </si>
  <si>
    <t>Stichopus hermanni</t>
  </si>
  <si>
    <t>Holothuria nobilis</t>
  </si>
  <si>
    <t>Holothuria scabra</t>
  </si>
  <si>
    <t>Thelenota ananas</t>
  </si>
  <si>
    <t>Lead Author</t>
  </si>
  <si>
    <t>Year</t>
  </si>
  <si>
    <t>Journal</t>
  </si>
  <si>
    <t>Reason (long)</t>
  </si>
  <si>
    <t>Reason (keywords)</t>
  </si>
  <si>
    <t>Reader</t>
  </si>
  <si>
    <t>Abbott and Hayne 2012</t>
  </si>
  <si>
    <t>It is not a Marine Reserve study. It is a bout fishery closure.</t>
  </si>
  <si>
    <t>Farsnworth et al.</t>
  </si>
  <si>
    <t>Abecasis et al 2013</t>
  </si>
  <si>
    <t xml:space="preserve">It is a ethnology study about MPA perception </t>
  </si>
  <si>
    <t>Adams et al 2011</t>
  </si>
  <si>
    <t xml:space="preserve">Opportunity of cost as tool to MPA implementation </t>
  </si>
  <si>
    <t>Addis et al 2013</t>
  </si>
  <si>
    <t xml:space="preserve">Artificial Reef study but not in marine reserve area </t>
  </si>
  <si>
    <t>Alemany et al 2013</t>
  </si>
  <si>
    <t xml:space="preserve">Temporal Fishery Closure </t>
  </si>
  <si>
    <t>Temporary MPA</t>
  </si>
  <si>
    <t>Allnutt et al 2012</t>
  </si>
  <si>
    <t>They study possible Marine Reserve sites, but they are not officially Marine Reserves</t>
  </si>
  <si>
    <t xml:space="preserve">Alós &amp; Arlingahus 2013 </t>
  </si>
  <si>
    <t xml:space="preserve">Different Levels of Protection </t>
  </si>
  <si>
    <t>Álvarengo-Romero 2012</t>
  </si>
  <si>
    <t>MPA planing exercise</t>
  </si>
  <si>
    <t>Anadón et al 2013</t>
  </si>
  <si>
    <t>Larval dispersal inside the MLPA</t>
  </si>
  <si>
    <t>Andrews et al 2011</t>
  </si>
  <si>
    <t xml:space="preserve">Laboratory Study </t>
  </si>
  <si>
    <t>Arceo et al 2013</t>
  </si>
  <si>
    <t xml:space="preserve">Implementation of MPA in the French Mediterranean. Case of study </t>
  </si>
  <si>
    <t>Biology Letters</t>
  </si>
  <si>
    <t>Not a full MPA - only closed to purse-seine fihsing</t>
  </si>
  <si>
    <t>Partial MPA</t>
  </si>
  <si>
    <t>Sahyoun</t>
  </si>
  <si>
    <t>Journal of the Marine Biological Association of the United Kingdom</t>
  </si>
  <si>
    <t>Pools data from a partially protected area with fully-protected</t>
  </si>
  <si>
    <t>New Zealand Journal of Marine and Freshwater Research</t>
  </si>
  <si>
    <t>Only gives data for species that showed a positive reserve effect</t>
  </si>
  <si>
    <t>Publication Bias</t>
  </si>
  <si>
    <t>Wen</t>
  </si>
  <si>
    <t>Only gives data on recruits</t>
  </si>
  <si>
    <t>Non-focus variables</t>
  </si>
  <si>
    <t>Strain</t>
  </si>
  <si>
    <t>Diversity and Distributions</t>
  </si>
  <si>
    <t>Aggregates data into large spatial grouping - but potential to use Reef Life Survey data</t>
  </si>
  <si>
    <t>Large spatial Aggregation</t>
  </si>
  <si>
    <t>Boerder</t>
  </si>
  <si>
    <t>Only looked at fishery effects (i.e. changes in CPUE, catch, effort)</t>
  </si>
  <si>
    <t>Bucaram</t>
  </si>
  <si>
    <t>Nillos Kleiven</t>
  </si>
  <si>
    <t>Measures CPUE across distance from MPA border</t>
  </si>
  <si>
    <t>Nature</t>
  </si>
  <si>
    <t>aggregated data across reserves by island (i.e. Santa Maria Island)</t>
  </si>
  <si>
    <t>Dureuil</t>
  </si>
  <si>
    <t>Science</t>
  </si>
  <si>
    <t>Reserves are still trawled (i.e. not fully no-take)</t>
  </si>
  <si>
    <t>Doesn't give same-year comparisons between reserve and unprotected areas or a before-after for any region</t>
  </si>
  <si>
    <t>Control-treatment mismatch</t>
  </si>
  <si>
    <t>Aggregates data across 5 marine reserves</t>
  </si>
  <si>
    <t>Doesn't give any raw data, only CV of wet weight of urchin species</t>
  </si>
  <si>
    <t>Ecological Modelling</t>
  </si>
  <si>
    <t>Mostly model outputs, actual data not plotted by area or year</t>
  </si>
  <si>
    <t>Only provides mortality and doesn't include other biological factors</t>
  </si>
  <si>
    <t>Thompson</t>
  </si>
  <si>
    <t>Royal Society Open Science</t>
  </si>
  <si>
    <t>Only provides larval data for species</t>
  </si>
  <si>
    <t>Payet</t>
  </si>
  <si>
    <t>Past cut-off date (and aggregates over too large a space)</t>
  </si>
  <si>
    <t>Out of date range</t>
  </si>
  <si>
    <t>Byers</t>
  </si>
  <si>
    <t>Ecology</t>
  </si>
  <si>
    <t>Reserves not fully no-take</t>
  </si>
  <si>
    <t>Klinger</t>
  </si>
  <si>
    <t>Reserves are open for salmon and herring harvest</t>
  </si>
  <si>
    <t>aggregates information across multiple marine reserves and includes multi-zoned mpas</t>
  </si>
  <si>
    <t>Large spatial Aggregation, Partial MPA</t>
  </si>
  <si>
    <t>Emslie</t>
  </si>
  <si>
    <t>Current Biology</t>
  </si>
  <si>
    <t>Spatial scale is too large</t>
  </si>
  <si>
    <t>just comparing methods, BRUV vs. other, no data we can use</t>
  </si>
  <si>
    <t>Gilman</t>
  </si>
  <si>
    <t>PLOS ONE</t>
  </si>
  <si>
    <t>Either model predictions or fisheries data, no data we can use</t>
  </si>
  <si>
    <t>Keller</t>
  </si>
  <si>
    <t>Not fully no take</t>
  </si>
  <si>
    <t>Kerr</t>
  </si>
  <si>
    <t>Not fully no take, lobster traps, limited access scallop dredging, recreational hook and line, and midwater trawling are allowed</t>
  </si>
  <si>
    <t>Kerwath</t>
  </si>
  <si>
    <t>Nature Communications</t>
  </si>
  <si>
    <t>only catch and CPUE data provided</t>
  </si>
  <si>
    <t>Merkohasanaj</t>
  </si>
  <si>
    <t>published July 2020</t>
  </si>
  <si>
    <t>only catch data, and length at age (no time or total average length)</t>
  </si>
  <si>
    <t>Craig</t>
  </si>
  <si>
    <t>California Fish and Game</t>
  </si>
  <si>
    <t>Not a full MPA - only closed to invertibrate harvesting</t>
  </si>
  <si>
    <t>Bornt</t>
  </si>
  <si>
    <t>Not fully no-take - open to lobster fishing</t>
  </si>
  <si>
    <t>Just a 'before' study: MPA established 2001, but not enforced until 2010. Survey done 2008-2010.</t>
  </si>
  <si>
    <t>Pre-MPA study</t>
  </si>
  <si>
    <t>Fisheries Manageent and Ecology</t>
  </si>
  <si>
    <t xml:space="preserve">MPA included partial takei in IO comparison </t>
  </si>
  <si>
    <t>partial MPA</t>
  </si>
  <si>
    <t>no data we can see, and partial MPA</t>
  </si>
  <si>
    <t>non-focus variables</t>
  </si>
  <si>
    <t>Claudet</t>
  </si>
  <si>
    <t>doesn't provide raw data</t>
  </si>
  <si>
    <t>Unusable data</t>
  </si>
  <si>
    <t>Abesamis</t>
  </si>
  <si>
    <t>Rev Fish Biol Fisheries</t>
  </si>
  <si>
    <t>irrlevant data to our study - simulating recovery rates</t>
  </si>
  <si>
    <t>Aguilar-Medrano</t>
  </si>
  <si>
    <t>Revista Mexicana de Biodiversidad</t>
  </si>
  <si>
    <t>no raw/useful data</t>
  </si>
  <si>
    <t>Ateweberhan</t>
  </si>
  <si>
    <t>Springerlink</t>
  </si>
  <si>
    <t>data aggregates fished and non-fished study sites together</t>
  </si>
  <si>
    <t xml:space="preserve">Doesnt provide raw data </t>
  </si>
  <si>
    <t>Cruz-Vázques</t>
  </si>
  <si>
    <t>Doesnt include biological factors</t>
  </si>
  <si>
    <t>Aggregates data across 19 marine reserves and doesnt include biological factors</t>
  </si>
  <si>
    <t xml:space="preserve">Arias-Del-Razo </t>
  </si>
  <si>
    <t xml:space="preserve">reported only prey species and did not clarify </t>
  </si>
  <si>
    <t>Bartholomew</t>
  </si>
  <si>
    <t>Landscape Ecology</t>
  </si>
  <si>
    <t>data only presented as 'rates of change' with no clear definition of meaning</t>
  </si>
  <si>
    <t>Bayley</t>
  </si>
  <si>
    <t>not techinically no-takes; blast fishing andother  unknown fishing pressures occur</t>
  </si>
  <si>
    <t>Bednar</t>
  </si>
  <si>
    <t>Molluscan research</t>
  </si>
  <si>
    <t>gives medians vaules (we need mean) of mean body size</t>
  </si>
  <si>
    <t>Avedaño</t>
  </si>
  <si>
    <t>Revista de biología marina y Oceanografia</t>
  </si>
  <si>
    <t>Only provides data for inside or after the implementation of the reserve</t>
  </si>
  <si>
    <t>Benedetti</t>
  </si>
  <si>
    <t>Only samples within reserves after implimentation</t>
  </si>
  <si>
    <t>Bennecke</t>
  </si>
  <si>
    <t>Deep-sea Research II</t>
  </si>
  <si>
    <t>Bernal-Sotelo</t>
  </si>
  <si>
    <t>Blyth-Skyrme</t>
  </si>
  <si>
    <t>Not fully no-take - includes the use of static gear</t>
  </si>
  <si>
    <t>Ribas</t>
  </si>
  <si>
    <t>Comparing evaluation methods (no raw data)</t>
  </si>
  <si>
    <t>Bond</t>
  </si>
  <si>
    <t>Karnauskas</t>
  </si>
  <si>
    <t>Dalton</t>
  </si>
  <si>
    <t>Aggregates data across 31 MPAs which are not all no take and doesnt include useful data</t>
  </si>
  <si>
    <t>Yasuè</t>
  </si>
  <si>
    <t>compares community perception and biological survey</t>
  </si>
  <si>
    <t>Grüss</t>
  </si>
  <si>
    <t>Marine and Coastal Fisheries: Dynamics, Management, Ecosystem Science</t>
  </si>
  <si>
    <t>Uses statistical habitat models to look preference functions for fish</t>
  </si>
  <si>
    <t>Sherley</t>
  </si>
  <si>
    <t>The Royal Society</t>
  </si>
  <si>
    <t>Doesn't include biological variables</t>
  </si>
  <si>
    <t>Havermans</t>
  </si>
  <si>
    <t>Polar Biology</t>
  </si>
  <si>
    <t>analysis of space for potential MPAs - doesn’t differetiate no-take zones</t>
  </si>
  <si>
    <t>Eerkes-Medrano</t>
  </si>
  <si>
    <t>Deep Sea Research Part I: Oceanographic Research Papers</t>
  </si>
  <si>
    <t>MPA not regulated - hopes to be a pre-regulation dataset</t>
  </si>
  <si>
    <t>Lowerre-Barbieri</t>
  </si>
  <si>
    <t>MEPS</t>
  </si>
  <si>
    <t>Only gives CPUE and sex data</t>
  </si>
  <si>
    <t>Tessier</t>
  </si>
  <si>
    <t>Revue d'Ecologie</t>
  </si>
  <si>
    <t>No MPA before/after or inside/outside data</t>
  </si>
  <si>
    <t>Uehara</t>
  </si>
  <si>
    <t>Not fully no take-only fishing banned and this too was made seasonal</t>
  </si>
  <si>
    <t>Twist</t>
  </si>
  <si>
    <t>Not fully no take-only restrictions and partial species bans for periods of time</t>
  </si>
  <si>
    <t>No-take (piti) has seasonal openings, based on Taylor 2012</t>
  </si>
  <si>
    <t>Tsounis</t>
  </si>
  <si>
    <t>Ecosystems</t>
  </si>
  <si>
    <t>Compares mortality data and MPA not specified as no-take</t>
  </si>
  <si>
    <t>Topor</t>
  </si>
  <si>
    <t>Conservation Letters</t>
  </si>
  <si>
    <t>Global meta-analysis data and wrong data</t>
  </si>
  <si>
    <t>Thorbjornsen</t>
  </si>
  <si>
    <t xml:space="preserve">Marine Ecology Progress Series </t>
  </si>
  <si>
    <t>Mark-recapture and movement data</t>
  </si>
  <si>
    <t>Thiaut</t>
  </si>
  <si>
    <t>Muséum national d'Histoire naturelle, Paris</t>
  </si>
  <si>
    <t>Not fully no-take-some fishing allowed; no useable data</t>
  </si>
  <si>
    <t>Partial MPA, Unusable Data</t>
  </si>
  <si>
    <t>Thaman</t>
  </si>
  <si>
    <t>Journal of Ethnobiology</t>
  </si>
  <si>
    <t>One harvest for cultural reasons, fisherman interview data, lack of usable data</t>
  </si>
  <si>
    <t>Unspecified 2 defacto NTAs and at least one with seasonal harvest- data not aggregated so possibly usable if parsed elsewhere</t>
  </si>
  <si>
    <t>Partial MPA, de-facto NTA</t>
  </si>
  <si>
    <t>Tedesco</t>
  </si>
  <si>
    <t>Journal of Natural History</t>
  </si>
  <si>
    <t>No outside comparison</t>
  </si>
  <si>
    <t>Teck</t>
  </si>
  <si>
    <t>Not fully no-take-only urchin extraction banned in all sites that were aggregated together</t>
  </si>
  <si>
    <t>Taylor</t>
  </si>
  <si>
    <t>PLoS</t>
  </si>
  <si>
    <t>Not fully no take-seasonal opening</t>
  </si>
  <si>
    <t>Storero</t>
  </si>
  <si>
    <t>Frequency data with no density/size in g data, only juvenile/female density data, and not fully no-take-minor extraction of shore octopus</t>
  </si>
  <si>
    <t>Stokesbury</t>
  </si>
  <si>
    <t>Not fully no take-periodic harvests, no comparison data</t>
  </si>
  <si>
    <t>Stobart</t>
  </si>
  <si>
    <t>Not fully no take-small amounts of fishing still occurr</t>
  </si>
  <si>
    <t>Speet</t>
  </si>
  <si>
    <t>Soykan</t>
  </si>
  <si>
    <t>Meta-analysis based on another paper (Micheli et al. 2004) and other datasets, also a lack of data on any specific organism</t>
  </si>
  <si>
    <t>Partial MPA, Scale, Unusable Data</t>
  </si>
  <si>
    <t xml:space="preserve">Estuarine, Coastal and Shelf Science </t>
  </si>
  <si>
    <t>Not fully no take-only harvest management with seasonal closings</t>
  </si>
  <si>
    <t>Soler</t>
  </si>
  <si>
    <t>Meta-analysis ranging vast distances and aggregating no-take with partial MPAs</t>
  </si>
  <si>
    <t>Solano</t>
  </si>
  <si>
    <t>Aggregates partial and no-take MPAs</t>
  </si>
  <si>
    <t>Smith</t>
  </si>
  <si>
    <t>Uses median values where data are relevant</t>
  </si>
  <si>
    <t>Smallhorn-West</t>
  </si>
  <si>
    <t>Meta-analysis and no relevant data</t>
  </si>
  <si>
    <t>Sherwood</t>
  </si>
  <si>
    <t>Closed area only to protect benthic habitat, with other types of extraction open</t>
  </si>
  <si>
    <t xml:space="preserve"> Reviews in Fisheries Science and Aquaculture </t>
  </si>
  <si>
    <t>Data on multiple fishing sites with low pressure not specified which, if at all, are no-take</t>
  </si>
  <si>
    <t>Community data based, non-focus variables</t>
  </si>
  <si>
    <t>Selig</t>
  </si>
  <si>
    <t>Global Change Biology</t>
  </si>
  <si>
    <t>Meta analysis of many MPAs and non-focus variables</t>
  </si>
  <si>
    <t>Scriberras</t>
  </si>
  <si>
    <t xml:space="preserve">Fish and Fisheries </t>
  </si>
  <si>
    <t>Aggregated spatial scale</t>
  </si>
  <si>
    <t>Schratzberger</t>
  </si>
  <si>
    <t>Frontiers of Marine Science</t>
  </si>
  <si>
    <t>No data just a review</t>
  </si>
  <si>
    <t>No data</t>
  </si>
  <si>
    <t>Schmitter-Soto</t>
  </si>
  <si>
    <t>Data grouped with non-NTA, not mentioned to be no take, and active culling of certain fish for restoration</t>
  </si>
  <si>
    <t>Restoration, Aggregated Spatial Scale</t>
  </si>
  <si>
    <t>Sancelme</t>
  </si>
  <si>
    <t>African Journal of Marine Science</t>
  </si>
  <si>
    <t>Sanabria-Fernande</t>
  </si>
  <si>
    <t>Aggregated multiple types of MPAs across a wide geographic region</t>
  </si>
  <si>
    <t>Aggregated data</t>
  </si>
  <si>
    <t>Sackett</t>
  </si>
  <si>
    <t>BRUV and not fully no-take</t>
  </si>
  <si>
    <t xml:space="preserve"> Biology Letters</t>
  </si>
  <si>
    <t>Usable data are included with data on larger scales that are far larger making extraction impossible</t>
  </si>
  <si>
    <t>Unscannable data</t>
  </si>
  <si>
    <t>Rosellon-Druker</t>
  </si>
  <si>
    <t>Invertebrate Biology</t>
  </si>
  <si>
    <t>Only mobile fishing gear mentioned to be banned and no-take not used</t>
  </si>
  <si>
    <t>Rolim</t>
  </si>
  <si>
    <t>Rojo</t>
  </si>
  <si>
    <t>Spatial scale, no data</t>
  </si>
  <si>
    <t>Rogers</t>
  </si>
  <si>
    <t>Biologia Tropical</t>
  </si>
  <si>
    <t>MPA information not given</t>
  </si>
  <si>
    <t>Uncertain management</t>
  </si>
  <si>
    <t>Robertson</t>
  </si>
  <si>
    <t xml:space="preserve"> African Journal of Marine Science</t>
  </si>
  <si>
    <t>Ricon-Diaz</t>
  </si>
  <si>
    <t>No usable data or outside comparison</t>
  </si>
  <si>
    <t>Wrong data</t>
  </si>
  <si>
    <t>Rees</t>
  </si>
  <si>
    <t xml:space="preserve"> Marine Ecology Progress Series</t>
  </si>
  <si>
    <t>Quiros</t>
  </si>
  <si>
    <t xml:space="preserve">Biological Conservation </t>
  </si>
  <si>
    <t>Aggregated partial mpa data and non-focus variable</t>
  </si>
  <si>
    <t>Non-focus variable</t>
  </si>
  <si>
    <t>Quaas</t>
  </si>
  <si>
    <t>Marine Ecology Press Series</t>
  </si>
  <si>
    <t>Pryor</t>
  </si>
  <si>
    <t>Partial MPA and BRUV</t>
  </si>
  <si>
    <t>Partial MPA - phrasing and no mention of no take</t>
  </si>
  <si>
    <t>Vianna</t>
  </si>
  <si>
    <t>MPA after establishment and no outside reference</t>
  </si>
  <si>
    <t>Ward-Paige and Worm</t>
  </si>
  <si>
    <t>Global Environmental Change</t>
  </si>
  <si>
    <t>Not fully no take - NO BA or IO asessment</t>
  </si>
  <si>
    <t>Watson</t>
  </si>
  <si>
    <t xml:space="preserve">Wilams </t>
  </si>
  <si>
    <t>Not fully no take (according t MPA website) and an entire network of MPAs</t>
  </si>
  <si>
    <t>Willams</t>
  </si>
  <si>
    <t>Frountiers in Marine Science</t>
  </si>
  <si>
    <r>
      <rPr>
        <sz val="11"/>
        <color theme="1"/>
        <rFont val="Calibri"/>
        <family val="2"/>
      </rPr>
      <t>Only focuses on positive or negative effect of MPAs on cover or biomass. Does not give the values, only positive or negative response or a Y% change. Meta-a</t>
    </r>
    <r>
      <rPr>
        <u/>
        <sz val="11"/>
        <color theme="1"/>
        <rFont val="Calibri"/>
        <family val="2"/>
      </rPr>
      <t>nalysis of other papers so might want to look over those papers directly, although focus is coral bleaching events.</t>
    </r>
  </si>
  <si>
    <t>Yon</t>
  </si>
  <si>
    <t>Pillai</t>
  </si>
  <si>
    <t>No mention of MPA being reserve or no-take</t>
  </si>
  <si>
    <t>Pikesley</t>
  </si>
  <si>
    <t>No mention of MPA being reserve or no-take; no usable data</t>
  </si>
  <si>
    <t>Unusable Data, Partial MPA</t>
  </si>
  <si>
    <t>Perera-Valderrama</t>
  </si>
  <si>
    <t>Ocean &amp; Coastal Management</t>
  </si>
  <si>
    <t>dietary and other non-relevant data</t>
  </si>
  <si>
    <t>Unusable Data</t>
  </si>
  <si>
    <t>Sheehan</t>
  </si>
  <si>
    <t>only seasonal closure to specific types of extraction</t>
  </si>
  <si>
    <t>Sciberras</t>
  </si>
  <si>
    <t>closure only for scallops</t>
  </si>
  <si>
    <t>Parravicini</t>
  </si>
  <si>
    <t>area still impacted by human activity, including aquaculture</t>
  </si>
  <si>
    <t>Paquette</t>
  </si>
  <si>
    <t>some extraction still done and no usable data</t>
  </si>
  <si>
    <t>Oken</t>
  </si>
  <si>
    <t>no usable data</t>
  </si>
  <si>
    <t>Powell</t>
  </si>
  <si>
    <t>based on nondensity video abundance data</t>
  </si>
  <si>
    <t>Kleiven</t>
  </si>
  <si>
    <t>Proceedings of the Royal Society B</t>
  </si>
  <si>
    <t>MPA suggests onlky lobster protection and non-focus data</t>
  </si>
  <si>
    <t>Nelson</t>
  </si>
  <si>
    <t>no details about MPA type and no usage of 'no-take' or 'reserve' to usggest otherwise</t>
  </si>
  <si>
    <t>Nanola</t>
  </si>
  <si>
    <t>Environmental Biology of Fishes</t>
  </si>
  <si>
    <t>aggregates (and doesn't distinguish) MPAs of various types in different regions</t>
  </si>
  <si>
    <t>Aggregate Data</t>
  </si>
  <si>
    <t>Nakin</t>
  </si>
  <si>
    <t>no-take but data based on mark-recapture methods and mathmatical estimates for growth based on that data</t>
  </si>
  <si>
    <t>Scott</t>
  </si>
  <si>
    <t>no-take, but no outside comparison or before data</t>
  </si>
  <si>
    <t>No comparison</t>
  </si>
  <si>
    <t>Thalassas: An International Journal of Marine Science</t>
  </si>
  <si>
    <t>no-take areas but only compared to each other</t>
  </si>
  <si>
    <t>Myers</t>
  </si>
  <si>
    <t>AQUATIC CONSERVATION: MARINE AND FRESHWATER ECOSYSTEMS</t>
  </si>
  <si>
    <t>no-take areas aggregated with PPAs</t>
  </si>
  <si>
    <t>MPAs are not mentioned to be no-take and other studies by the same authors have listed Tubbataha Reefs National Marine Park as a reference no-fished area</t>
  </si>
  <si>
    <t>Montero-Serra</t>
  </si>
  <si>
    <t>Journal of Applied Ecology</t>
  </si>
  <si>
    <t>no-take but the only usable data, desnity, is impossible to extract the outside comparison and BA is not checkable</t>
  </si>
  <si>
    <t>Montefalcone</t>
  </si>
  <si>
    <t>doesn't use variables of interest</t>
  </si>
  <si>
    <t>Monaco</t>
  </si>
  <si>
    <t>site still allows fishing of some species and bait fishing in certain areas</t>
  </si>
  <si>
    <t>Caribbean Journal of Science</t>
  </si>
  <si>
    <t>BA comparison with before data taken the year after establishment</t>
  </si>
  <si>
    <t>McKinley</t>
  </si>
  <si>
    <t>bait fish collection and limited seining occur</t>
  </si>
  <si>
    <t>analysis is on multiple ecoregions that spans the entire tropical earth</t>
  </si>
  <si>
    <t>Spatial Scale</t>
  </si>
  <si>
    <t>analysis is on multiple ecoregions that spans regions far to large for the scope of our individual resereve interests</t>
  </si>
  <si>
    <t>Spatial scale</t>
  </si>
  <si>
    <t>usable data not presented</t>
  </si>
  <si>
    <t>McAllister</t>
  </si>
  <si>
    <t>uses and measures acoustic data and other types not usable</t>
  </si>
  <si>
    <t>Matheus</t>
  </si>
  <si>
    <t>no outside comparison and confusing no-take status</t>
  </si>
  <si>
    <t>usage of aerial surveying, aggregated reserve data, unmentioned reserve data</t>
  </si>
  <si>
    <t>Partial MPA, Unsusable Data</t>
  </si>
  <si>
    <t>no outside comparison and time-catch data</t>
  </si>
  <si>
    <t>Marshak</t>
  </si>
  <si>
    <t>Water</t>
  </si>
  <si>
    <t>no-take area wasn't compared and the highest protected area studied was a PPA</t>
  </si>
  <si>
    <t>Marra</t>
  </si>
  <si>
    <t>Mediterranean Marine Science</t>
  </si>
  <si>
    <t>not mentioned to be sampled in a no take are and very low compliance/high enforcment issues</t>
  </si>
  <si>
    <t>Martinez-Rendis</t>
  </si>
  <si>
    <t>both areas not fished</t>
  </si>
  <si>
    <t>Proceedings B</t>
  </si>
  <si>
    <t>spatial scale spans multiple biogeographic regions</t>
  </si>
  <si>
    <t>CPUE data used</t>
  </si>
  <si>
    <t>Magdaong</t>
  </si>
  <si>
    <t>includes MPAs of any type with no mention of only NTA</t>
  </si>
  <si>
    <t>Madin</t>
  </si>
  <si>
    <t>uses data that isn't usable and would lack all reserve and sampling information</t>
  </si>
  <si>
    <t>uses data from PPA that are only closed seasonally or artificially created</t>
  </si>
  <si>
    <t>no outside comparison or BA data</t>
  </si>
  <si>
    <t>Lattuca</t>
  </si>
  <si>
    <t>no info on NT status and name is only MPA</t>
  </si>
  <si>
    <t>Uncertain No-take Status</t>
  </si>
  <si>
    <t>Langlois</t>
  </si>
  <si>
    <t>still open to fishing</t>
  </si>
  <si>
    <t>Not no-take</t>
  </si>
  <si>
    <t>Campbell</t>
  </si>
  <si>
    <t>Violin plots, relative biomass by trophic level</t>
  </si>
  <si>
    <t>meta-analysis, data aggregated across global spatial scales</t>
  </si>
  <si>
    <t>Ceccarelli</t>
  </si>
  <si>
    <t>No inside/outside or before/after data</t>
  </si>
  <si>
    <t>data aggregated by fishing level, none of which was 'none'</t>
  </si>
  <si>
    <t>Lowe</t>
  </si>
  <si>
    <t>no outside comparison</t>
  </si>
  <si>
    <t>Kingford</t>
  </si>
  <si>
    <t>Diversity</t>
  </si>
  <si>
    <t>not mentioned if MPAs are no take - implications both ways</t>
  </si>
  <si>
    <t>Uncertain MPA</t>
  </si>
  <si>
    <t>Kingsford</t>
  </si>
  <si>
    <t>Coral reefs</t>
  </si>
  <si>
    <t>no mention of study sight conservation status or no-take terms outside of once vaguely in abstract</t>
  </si>
  <si>
    <t>Karnauska</t>
  </si>
  <si>
    <t>sites for the entire reserve not no-take area or not usable</t>
  </si>
  <si>
    <t>Kaiser</t>
  </si>
  <si>
    <t>Canadian Journal of Fisheries and Aquatic Sciences</t>
  </si>
  <si>
    <t>only bans certain types of fishing</t>
  </si>
  <si>
    <t>Konsulova</t>
  </si>
  <si>
    <t>Acta Zoologica Bulgarica</t>
  </si>
  <si>
    <t>only usable data from before establishment</t>
  </si>
  <si>
    <t>Kadison</t>
  </si>
  <si>
    <t>data taken generally and compared to areas with no-take places</t>
  </si>
  <si>
    <t>Juhel</t>
  </si>
  <si>
    <t>data unusable an and no fished outside comparison</t>
  </si>
  <si>
    <t>CPUE data</t>
  </si>
  <si>
    <t>Jimenez</t>
  </si>
  <si>
    <t>no-take areas but no usable data presented</t>
  </si>
  <si>
    <t>Jaco</t>
  </si>
  <si>
    <t>studies MPAs with varying undescribed extraction limits</t>
  </si>
  <si>
    <t>Huijbers</t>
  </si>
  <si>
    <t>meta-analysis that analyzes variable data and reports unusable data</t>
  </si>
  <si>
    <t>Hill</t>
  </si>
  <si>
    <t>samples in a general use zone</t>
  </si>
  <si>
    <t>no outside comparison, not no-take</t>
  </si>
  <si>
    <t>Heyns-Veale</t>
  </si>
  <si>
    <t>BRUV data</t>
  </si>
  <si>
    <t>Heupel</t>
  </si>
  <si>
    <t>CPUE data and biomass is for the regions not the 'ELF' data that is no-take</t>
  </si>
  <si>
    <t>Herren</t>
  </si>
  <si>
    <t>Herpetological Conservation and Biology</t>
  </si>
  <si>
    <t>partially protected area</t>
  </si>
  <si>
    <t>Villamor</t>
  </si>
  <si>
    <t>only species diversity data</t>
  </si>
  <si>
    <t>Huvenne</t>
  </si>
  <si>
    <t>only relative data and trawl mark data</t>
  </si>
  <si>
    <t>Henderson</t>
  </si>
  <si>
    <t>Aquatic conservation: marine and freshwater ecosystems</t>
  </si>
  <si>
    <t>CPUE and median data</t>
  </si>
  <si>
    <t>Helyer</t>
  </si>
  <si>
    <t>unfished area from an area just less impacted by humans</t>
  </si>
  <si>
    <t>Not protected</t>
  </si>
  <si>
    <t>abundance data not usable as surveys were time based not area based</t>
  </si>
  <si>
    <t>Halvorsen</t>
  </si>
  <si>
    <t>Marine Biology Research</t>
  </si>
  <si>
    <t>CPUE data for organisms studied</t>
  </si>
  <si>
    <t>Haggarty</t>
  </si>
  <si>
    <t>"RCAs" studied don't ban all extractive activities</t>
  </si>
  <si>
    <t>meta-analysis that aggregates 12 reserves spanning from mid-Spain to near Croatia; also contains studies that were in Lester et al.</t>
  </si>
  <si>
    <t>Gonzalez-Wanguemert</t>
  </si>
  <si>
    <t>only seasonal closure</t>
  </si>
  <si>
    <t>Goni</t>
  </si>
  <si>
    <t>Giovannetti</t>
  </si>
  <si>
    <t>data taken from area with low disturbance, not a designated no-take area</t>
  </si>
  <si>
    <t>no data presented</t>
  </si>
  <si>
    <t>no usable data, probably not no take</t>
  </si>
  <si>
    <t>Gill</t>
  </si>
  <si>
    <t>Global meta-analysis of MPAs</t>
  </si>
  <si>
    <t>Gil Fernandez</t>
  </si>
  <si>
    <t>fully protected area allows commercial fishing</t>
  </si>
  <si>
    <t>Garces</t>
  </si>
  <si>
    <t>not mentioned if MPAs are no take directly and lack of mentioned if they sampled in the core zones if no-take</t>
  </si>
  <si>
    <t>Gallacher</t>
  </si>
  <si>
    <t>Zabin</t>
  </si>
  <si>
    <t xml:space="preserve">mostly compare percent cover btw a SMR &amp; SMCA where SMR is no-take and the other is protected but recreational fishing is allowed; other non-prtoected sites are included but full report on their percent cover not given </t>
  </si>
  <si>
    <t>Bremec</t>
  </si>
  <si>
    <t>Revista De Biologia Tropical</t>
  </si>
  <si>
    <t>Only species presence/absence in no helpful format</t>
  </si>
  <si>
    <t>Cardona</t>
  </si>
  <si>
    <t>Compares open area to area with 'low' fishing.</t>
  </si>
  <si>
    <t>Data aggregated over MPAs too far apart</t>
  </si>
  <si>
    <t>Aggregates richness data between fully and partially protected MPAs, other data not usable due to use of video transects</t>
  </si>
  <si>
    <t>Russian Journal of Marine Biology</t>
  </si>
  <si>
    <t>Comparison unclear, repeat study area</t>
  </si>
  <si>
    <t>Dufour</t>
  </si>
  <si>
    <t>Cybium</t>
  </si>
  <si>
    <t>No comparison to a control area</t>
  </si>
  <si>
    <t>Galván-Villa</t>
  </si>
  <si>
    <t>Ecosistemas Y Recursos Agropecuarios</t>
  </si>
  <si>
    <t>Study does not have any quantified variables either before:after or inside/outside, or both. It’s more a comparison of the structures of assemblages of reef fish species between three MPAs. There is no information about when the reserves were established in the paper. </t>
  </si>
  <si>
    <t xml:space="preserve">No comparisons </t>
  </si>
  <si>
    <t>FC</t>
  </si>
  <si>
    <t>Sala</t>
  </si>
  <si>
    <t>PLOS one</t>
  </si>
  <si>
    <t>Doesn't have paired inside-outside</t>
  </si>
  <si>
    <t>Shedrawi</t>
  </si>
  <si>
    <t>Partial closed area - lobster fishing still occurs</t>
  </si>
  <si>
    <t xml:space="preserve">McLean </t>
  </si>
  <si>
    <t>At least one of the MPAs is not fully no-take</t>
  </si>
  <si>
    <t>Punta Mangle No-Take Zone</t>
  </si>
  <si>
    <t>Las Cuevas &amp; Punta Cormorant no-take zones</t>
  </si>
  <si>
    <t>No-take areas look adjancent to each other in Fig. 1 so summed together and treated as one</t>
  </si>
  <si>
    <t>Punta Pit no-take zone</t>
  </si>
  <si>
    <t>El Eden no-take zone</t>
  </si>
  <si>
    <t>BRUV study, area from text</t>
  </si>
  <si>
    <t xml:space="preserve">BRUV study, area estimated from online map </t>
  </si>
  <si>
    <t>Fiordland Marine Area (Te Moana o Atawhenua)</t>
  </si>
  <si>
    <t>Fiordland Marine Area (Te Moana o Atawhenua) Network</t>
  </si>
  <si>
    <t>Florida Keys Sancturary Preservations Areas Network</t>
  </si>
  <si>
    <t>Fly Point - Halifax Park Aquatic Reserve</t>
  </si>
  <si>
    <t xml:space="preserve">BRUV study; resereve info taken from supplemental material. Cape Byron sites are in the same continous sanctuary </t>
  </si>
  <si>
    <t>Sites with high biomass were specifically chosen to survey - i.e. biased results for out study</t>
  </si>
  <si>
    <t>strictly protected area core zones inside a 'strictly protected zone' which allowing fishing in some areas. Individual 'core zone' sizes not known</t>
  </si>
  <si>
    <t>CPUE data for other variables. Aquatic Conserv: Mar. Freshw. Ecosyst. 21: 658–675 (2011). Reserve designated 1993, but no properly enforced until 2006 (Acosta 2019). Avg reserve size between Acosta 2019 and McClanahan 2011 used.</t>
  </si>
  <si>
    <t>Reserve designated 1993, but no properly enforced until 2006 (Acosta 2019). Avg reserve size between Acosta 2019 and McClanahan 2011 used.</t>
  </si>
  <si>
    <t>Sukumaran</t>
  </si>
  <si>
    <t>Collection of reserves of different implimentation dates - youngest used</t>
  </si>
  <si>
    <t>outside data aggregateed is space. Data from table 1.</t>
  </si>
  <si>
    <t>Salvorev–Kopparstenarna marine nature reserve</t>
  </si>
  <si>
    <t>Data collected from datasheet provided in supplimentary materials and some info from Barrett et al 2009. Reserve start taken from Barrett 2009 - officially started 1991, but no enforced until 1992</t>
  </si>
  <si>
    <t>Reserve start taken from Barrett 2009 - officially started 1991, but no enforced until 1992</t>
  </si>
  <si>
    <t>Reserve start taken from Bates 2017</t>
  </si>
  <si>
    <t>Abrolhos Island reef observation area</t>
  </si>
  <si>
    <t>Reserve start data from Bates et al 2017. One continous reserve area</t>
  </si>
  <si>
    <t>Data collected from datasheet provided in supplimentary materials and some info from Barrett et al 2009. One continous reserve area</t>
  </si>
  <si>
    <t xml:space="preserve">Aggregateed across a large number of reserves, ranging in start date from 1983-2004. </t>
  </si>
  <si>
    <t>Aggregated over a very large area. Reserves established in 1975 and 2004. Older age used as most surveys were done in older reserves</t>
  </si>
  <si>
    <t>Carins region no-take zones</t>
  </si>
  <si>
    <t>Capricoen Bunker region no-take zones</t>
  </si>
  <si>
    <t>Mackay region no-take zones</t>
  </si>
  <si>
    <t>Swains Region no-take zones</t>
  </si>
  <si>
    <t>Townsville region no-take zones</t>
  </si>
  <si>
    <t>Great Sandy Marine Park Network</t>
  </si>
  <si>
    <t>average of near mangroves (&lt;500 m) &amp; far from mangroves (&gt;1000 m)</t>
  </si>
  <si>
    <t>Asinan marine reserve</t>
  </si>
  <si>
    <t>Batasan marine reserve</t>
  </si>
  <si>
    <t>Handumon marine reserve</t>
  </si>
  <si>
    <t>reserve denoted in paper as "Laguna"; was expanded and renamed as Laguna Beach SMR/SMCA</t>
  </si>
  <si>
    <t>reserve denoted in paper as "Laguna", notes that studies that don't separate out legal-sized animals may underestimate reserve effects; was expanded and renamed as Laguna Beach SMR/SMCA</t>
  </si>
  <si>
    <t xml:space="preserve">No clear outside/before reference point. </t>
  </si>
  <si>
    <t>Guadeloupe National Park</t>
  </si>
  <si>
    <t xml:space="preserve">Two MPA sites, of different establishment years, combined in study. Youngest age used </t>
  </si>
  <si>
    <t xml:space="preserve">compliance issues in 'no-take' areas </t>
  </si>
  <si>
    <t>compliance issues</t>
  </si>
  <si>
    <t>Kennedy Space Center MPA</t>
  </si>
  <si>
    <t>reserve area estimate from map Fig. 2</t>
  </si>
  <si>
    <t>reserve area estimate from map Fig. 3</t>
  </si>
  <si>
    <t>reserve area estimate from map Fig. 4</t>
  </si>
  <si>
    <t>reserve area estimate from map Fig. 5</t>
  </si>
  <si>
    <t>reserve area estimate from map Fig. 6</t>
  </si>
  <si>
    <t>reserve area estimate from map Fig. 7</t>
  </si>
  <si>
    <t>reserve area estimate from map Fig. 8</t>
  </si>
  <si>
    <t>reserve area estimate from map Fig. 9</t>
  </si>
  <si>
    <t>reserve area estimate from map Fig. 10</t>
  </si>
  <si>
    <t>reserve area estimate from map Fig. 11</t>
  </si>
  <si>
    <t>reserve area estimate from map Fig. 12</t>
  </si>
  <si>
    <t>reserve area estimate from map Fig. 13</t>
  </si>
  <si>
    <t>reserve area estimate from map Fig. 14</t>
  </si>
  <si>
    <t>reserve area estimate from map Fig. 15</t>
  </si>
  <si>
    <t>reserve area estimate from map Fig. 16</t>
  </si>
  <si>
    <t>reserve area estimate from map Fig. 17</t>
  </si>
  <si>
    <t>reserve area estimate from map Fig. 18</t>
  </si>
  <si>
    <t>reserve area estimate from map Fig. 19</t>
  </si>
  <si>
    <t>reserve area estimate from map Fig. 20</t>
  </si>
  <si>
    <t>reserve area estimate from map Fig. 21</t>
  </si>
  <si>
    <t>reserve area estimate from map Fig. 22</t>
  </si>
  <si>
    <t>reserve area estimate from map Fig. 23</t>
  </si>
  <si>
    <t>reserve area estimate from map Fig. 24</t>
  </si>
  <si>
    <t>reserve area estimate from map Fig. 25</t>
  </si>
  <si>
    <t>reserve area estimate from map Fig. 26</t>
  </si>
  <si>
    <t>reserve area estimate from map Fig. 27</t>
  </si>
  <si>
    <t>reserve area estimate from map Fig. 28</t>
  </si>
  <si>
    <t>reserve area estimate from map Fig. 29</t>
  </si>
  <si>
    <t>reserve area estimate from map Fig. 30</t>
  </si>
  <si>
    <t>reserve area estimate from map Fig. 31</t>
  </si>
  <si>
    <t>reserve area estimate from map Fig. 32</t>
  </si>
  <si>
    <t>Keppel Island Group 1987 Reserve Network</t>
  </si>
  <si>
    <t>Keppel Island Group 2004 Reserve Netowrk</t>
  </si>
  <si>
    <t>Reserve network expanded in 2004</t>
  </si>
  <si>
    <t xml:space="preserve">Expanded to 164 in 2005. Going with older/smaller info. </t>
  </si>
  <si>
    <t xml:space="preserve">BRUV study. Expanded to 164 in 2005. Going with older/smaller info. </t>
  </si>
  <si>
    <t xml:space="preserve">High values checked JKH. Expanded to 164 in 2005. Going with older/smaller info. </t>
  </si>
  <si>
    <t>Has abundance data, but everything is based on 60min videos, so cant determine density. BRUV study</t>
  </si>
  <si>
    <t>La Graciosa Marine Protected Area</t>
  </si>
  <si>
    <t>La Palma Marine Protected Area</t>
  </si>
  <si>
    <t>Mar de Las Calmas Marine Protected Area</t>
  </si>
  <si>
    <t>Gives info (abundance, not biomass) on different life-history stages. Only adult biomass recorded. Reserve size estimated from map</t>
  </si>
  <si>
    <t>Half Moon Cay &amp; Blue Hole National Monuments</t>
  </si>
  <si>
    <t>Cayman Islands (UK Territory)</t>
  </si>
  <si>
    <t>Bloody Bay Marine Park &amp; Preston Bay Marine Park</t>
  </si>
  <si>
    <t>Reserve establishment datre from MPA atlas</t>
  </si>
  <si>
    <t>density of the number of colonies. Reserve establishment datre from MPA atlas</t>
  </si>
  <si>
    <t>reserve size estimated from figure 1</t>
  </si>
  <si>
    <t>Soufriere Marine Management Area L1</t>
  </si>
  <si>
    <t>Soufriere Marine Management Area L2</t>
  </si>
  <si>
    <t>Soufriere Marine Management Area L3</t>
  </si>
  <si>
    <t>Soufriere Marine Management Area L4</t>
  </si>
  <si>
    <t>Compliance issues until 1999 - Russ et al 2015</t>
  </si>
  <si>
    <t>now part of Blue cavern (Catalina Island) State conservation area (not no-take, though older smaller area is no-take), 7km2 no-take, est 2012</t>
  </si>
  <si>
    <t>notes that studies that don't separate out legal-sized animals may underestimate reserve effects. now part of Blue cavern (Catalina Island) State conservation area (not no-take, though older smaller area is no-take), 7km2 no-take, est 2012</t>
  </si>
  <si>
    <t>now part of Blue cavern (Catalina Island) State conservation area (not no-take, though older smaller area is no-take), 7km2 no-take, est 2013</t>
  </si>
  <si>
    <t>now part of Blue cavern (Catalina Island) State conservation area (not no-take, though older smaller area is no-take), 7km2 no-take, est 2014</t>
  </si>
  <si>
    <t>Malindi-Watamu Marine Reserve</t>
  </si>
  <si>
    <t>Malindi-Watamu Marine Reserve, Mombassa Marine Reserve &amp; Kiesite Marine Reserve</t>
  </si>
  <si>
    <t>Malindi closed in 1968, Watamu closed in 1972, Kisite closed in 1973 and Mombasa Marine Park closed in 1991. Aquatic Conserv: Mar. Freshw. Ecosyst. 21: 186–198 (2011)</t>
  </si>
  <si>
    <t>Malindi closed in 1968, Watamu closed in 1972, Kisite closed in 1973 and Mombasa Marine Park closed in 1991; size measurement not mentioned and used averages of the brackets. Aquatic Conserv: Mar. Freshw. Ecosyst. 21: 186–198 (2011)</t>
  </si>
  <si>
    <t>Area from McClanahan 2007 Ecol Apps</t>
  </si>
  <si>
    <t>Malindi &amp; Watamu National Parks</t>
  </si>
  <si>
    <t>Vipingo Community Closure,  &amp; Mombasa, Malindi &amp; Watamu Marine National Park</t>
  </si>
  <si>
    <t>Vipingo Community Closure Malindi-Watamu Marine Reserve, Mombassa Marine Reserve</t>
  </si>
  <si>
    <t>Malvan Marine National Sanctuary</t>
  </si>
  <si>
    <t>Mandu Marine Sanctuary</t>
  </si>
  <si>
    <t>Mantigue Island Reserve</t>
  </si>
  <si>
    <t>Selinog Island Reserve</t>
  </si>
  <si>
    <t xml:space="preserve">no-take area size from Sala et al. 2012 PlosOne, no-take/fished areas grouped by closest groupings (which is not done in the paper). </t>
  </si>
  <si>
    <t>no-take MPA size from Sala et al 2021 PLOS One. outside MPA incudes bufferzone - NOT all species recorded at sites (recorded as zero), Surveyed both hard and soft substrate</t>
  </si>
  <si>
    <t xml:space="preserve">Surveyed both hard and soft substrate. no-take MPA size from Sala et al 2021 PLOS One. </t>
  </si>
  <si>
    <t>Moliniere-Beausejour MPA</t>
  </si>
  <si>
    <t>Reserve age from MPA-atlas</t>
  </si>
  <si>
    <t>Puerto Rico (US territory)</t>
  </si>
  <si>
    <t>mean of two 'control' sites used</t>
  </si>
  <si>
    <t>Peel Island marine national park</t>
  </si>
  <si>
    <t>St Martin Island (Netherlands &amp; France)</t>
  </si>
  <si>
    <t>St Vincent and the Grenadines</t>
  </si>
  <si>
    <t>no size data; taken from supplenment attatched. Not enough info to get MPA used (&amp; therefore MPA size)</t>
  </si>
  <si>
    <t>Harris Point State Marine Reserve</t>
  </si>
  <si>
    <t>Carrington Point State Marine Reserve</t>
  </si>
  <si>
    <t>South Point State Marine Reserve</t>
  </si>
  <si>
    <t>Tabarca Island Marine Reserve No-take zone</t>
  </si>
  <si>
    <t>Reserve is smaller than reported as value includes buffer zone etc. Outside MPA incudes bufferzone - NOT all species recorded at sites (recorded as zero)</t>
  </si>
  <si>
    <t>Reserve is smaller than reported as value includes buffer zone etc. Data from final year of study &amp; ind/ transect</t>
  </si>
  <si>
    <t xml:space="preserve">Reserve is smaller than reported as value includes buffer zone etc. </t>
  </si>
  <si>
    <t xml:space="preserve">Surveyed both hard and soft substrate. Reserve is smaller than reported as value includes buffer zone etc. </t>
  </si>
  <si>
    <t>reserves established between 1981-2006. Not an official network</t>
  </si>
  <si>
    <t>New Caledonia multiple reserves</t>
  </si>
  <si>
    <t>Mexican Caribbean MPAs</t>
  </si>
  <si>
    <t>Different reserves est at different time 1986 - 2012. Not whole netowrk size - just ones in study</t>
  </si>
  <si>
    <t>Res size estiamted from Fig. 1 Hall Kingsford. Not Plam Island - Orpheus (by looking at their map in fig, 1)</t>
  </si>
  <si>
    <t>Res size estiamted from Fig. 1 Hall Kingsford</t>
  </si>
  <si>
    <t>not clear as to whether fully no-take areas or just for barnacles, also no clear delination of reserve areas</t>
  </si>
  <si>
    <t>Patagonian MPA</t>
  </si>
  <si>
    <t>Penisola del Sinis - Isola di Mal di Ventre MPA zone A</t>
  </si>
  <si>
    <t>Penisola del Sinis - Isola di Mal di Ventre MPA</t>
  </si>
  <si>
    <t>Tremiti Archipelago MPA</t>
  </si>
  <si>
    <t>res size estimated from Fig. 1</t>
  </si>
  <si>
    <t>Pinamgo, Cataban, Handumon, Jandayan Norte, Batasan, Bilang-Bilangan Reserves</t>
  </si>
  <si>
    <t>Danajon Bank multiple reserves</t>
  </si>
  <si>
    <t>Mix of multiple reserves over a large area, all of which are different sizes and ages</t>
  </si>
  <si>
    <t>Guam (US Territory)</t>
  </si>
  <si>
    <t>Pondoland MPA No-take zone</t>
  </si>
  <si>
    <t>Poor Knights Islands Marine Reserve</t>
  </si>
  <si>
    <t>Tawharanui Marine Reserve</t>
  </si>
  <si>
    <t>Te Paepae o Aotea Marine Reserve</t>
  </si>
  <si>
    <t>Whanganui A Hei Marine Reserve</t>
  </si>
  <si>
    <t>Res age and size from MPA atlas</t>
  </si>
  <si>
    <t>Porto Santo Island, Rocha do Navio, Desertas Islands, Selvagens Islands MPAs</t>
  </si>
  <si>
    <t>Punta Prieta Marine Reserve</t>
  </si>
  <si>
    <t>Punta Prieta &amp; La Plana-Las Cuevas Marine reserves</t>
  </si>
  <si>
    <t>Archipiélago de Revillagigedo Biosphere Reserve</t>
  </si>
  <si>
    <t>San Pedro Mártir Biosphere Reserve</t>
  </si>
  <si>
    <t>Kida, Nusa Hope/Heloro, &amp; Olive Marine Managed Areas</t>
  </si>
  <si>
    <t>Saba (Netherlands Territory)</t>
  </si>
  <si>
    <t>San Miguel Island MPA</t>
  </si>
  <si>
    <t>Santa Barbara State Marine Reserve</t>
  </si>
  <si>
    <t>Scorpion &amp; Gull Island State Marine Reserves</t>
  </si>
  <si>
    <t xml:space="preserve">Scorpion, Gull Island, Carrignton Sate Marine Reserves </t>
  </si>
  <si>
    <t>Scorpion State Marine Reserve</t>
  </si>
  <si>
    <t>Scandola Marine Reserve No-take area</t>
  </si>
  <si>
    <t>Kattegat MPA</t>
  </si>
  <si>
    <t>Not clear as to status of reserve</t>
  </si>
  <si>
    <t>Batbitim NTZ &amp; Daram NTZ</t>
  </si>
  <si>
    <t>size estimated from Fig 1</t>
  </si>
  <si>
    <t>St. Croix Island Temp Reserve</t>
  </si>
  <si>
    <t>Ste Anne Marine National Park</t>
  </si>
  <si>
    <t>Zone A, S1 and S2, 2008 data. Est 1997, enforced 2003</t>
  </si>
  <si>
    <t>seagrass density (per m2), 2008 data. Est 1997, enforced 2003</t>
  </si>
  <si>
    <t>no-take area size from Sala et al. 2012 PlosOne, no-take/fished areas grouped by closest groupings (which is not done in the paper). . Est 1997, enforced 2003</t>
  </si>
  <si>
    <t>no-take area size from Sala et al. 2012 PlosOne, no-take/fished areas grouped by closest groupings (which is not done in the paper). . Est 1997, enforced 2004</t>
  </si>
  <si>
    <t>no-take area size from Sala et al. 2012 PlosOne, no-take/fished areas grouped by closest groupings (which is not done in the paper). . Est 1997, enforced 2005</t>
  </si>
  <si>
    <t>no-take area size from Sala et al. 2012 PlosOne, no-take/fished areas grouped by closest groupings (which is not done in the paper). . Est 1997, enforced 2006</t>
  </si>
  <si>
    <t>no-take area size from Sala et al. 2012 PlosOne, no-take/fished areas grouped by closest groupings (which is not done in the paper). . Est 1997, enforced 2007</t>
  </si>
  <si>
    <t>no-take area size from Sala et al. 2012 PlosOne, no-take/fished areas grouped by closest groupings (which is not done in the paper). . Est 1997, enforced 2008</t>
  </si>
  <si>
    <t>no-take area size from Sala et al. 2012 PlosOne, no-take/fished areas grouped by closest groupings (which is not done in the paper). . Est 1997, enforced 2009</t>
  </si>
  <si>
    <t>no-take area size from Sala et al. 2012 PlosOne, no-take/fished areas grouped by closest groupings (which is not done in the paper). . Est 1997, enforced 2010</t>
  </si>
  <si>
    <t>no-take area size from Sala et al. 2012 PlosOne, no-take/fished areas grouped by closest groupings (which is not done in the paper). . Est 1997, enforced 2011</t>
  </si>
  <si>
    <t>no-take area size from Sala et al. 2012 PlosOne, no-take/fished areas grouped by closest groupings (which is not done in the paper). . Est 1997, enforced 2012</t>
  </si>
  <si>
    <t>no-take area size from Sala et al. 2012 PlosOne, no-take/fished areas grouped by closest groupings (which is not done in the paper). . Est 1997, enforced 2013</t>
  </si>
  <si>
    <t>Torre Guaceto MPA</t>
  </si>
  <si>
    <t>Torre Guaceto Zone A</t>
  </si>
  <si>
    <t>Column D: Total MPA size. Est. 1991, but enforcement issues until 2001</t>
  </si>
  <si>
    <t>no-take area size from Sala et al. 2012 PlosOne, no-take/fished areas grouped by closest groupings (which is not done in the paper). . Est. 1991, but enforcement issues until 2001</t>
  </si>
  <si>
    <t>no-take area size from Sala et al. 2012 PlosOne, no-take/fished areas grouped by closest groupings (which is not done in the paper). . Est. 1991, but enforcement issues until 2002</t>
  </si>
  <si>
    <t>no-take area size from Sala et al. 2012 PlosOne, no-take/fished areas grouped by closest groupings (which is not done in the paper). . Est. 1991, but enforcement issues until 2003</t>
  </si>
  <si>
    <t>no-take area size from Sala et al. 2012 PlosOne, no-take/fished areas grouped by closest groupings (which is not done in the paper). . Est. 1991, but enforcement issues until 2004</t>
  </si>
  <si>
    <t>no-take area size from Sala et al. 2012 PlosOne, no-take/fished areas grouped by closest groupings (which is not done in the paper). . Est. 1991, but enforcement issues until 2005</t>
  </si>
  <si>
    <t>no-take area size from Sala et al. 2012 PlosOne, no-take/fished areas grouped by closest groupings (which is not done in the paper). . Est. 1991, but enforcement issues until 2006</t>
  </si>
  <si>
    <t>no-take area size from Sala et al. 2012 PlosOne, no-take/fished areas grouped by closest groupings (which is not done in the paper). . Est. 1991, but enforcement issues until 2007</t>
  </si>
  <si>
    <t>no-take area size from Sala et al. 2012 PlosOne, no-take/fished areas grouped by closest groupings (which is not done in the paper). . Est. 1991, but enforcement issues until 2008</t>
  </si>
  <si>
    <t>no-take area size from Sala et al. 2012 PlosOne, no-take/fished areas grouped by closest groupings (which is not done in the paper). . Est. 1991, but enforcement issues until 2009</t>
  </si>
  <si>
    <t>no-take area size from Sala et al. 2012 PlosOne, no-take/fished areas grouped by closest groupings (which is not done in the paper). . Est. 1991, but enforcement issues until 2010</t>
  </si>
  <si>
    <t>no-take area size from Sala et al. 2012 PlosOne, no-take/fished areas grouped by closest groupings (which is not done in the paper). . Est. 1991, but enforcement issues until 2011</t>
  </si>
  <si>
    <t>Est. 1991, but enforcement issues until 2001</t>
  </si>
  <si>
    <t>Est. 1991, but enforcement issues until 2002</t>
  </si>
  <si>
    <t>Est. 1991, but enforcement issues until 2003</t>
  </si>
  <si>
    <t>Dry Tortugas National Park Research Area</t>
  </si>
  <si>
    <t>Res area reported for both Nth and Sth Ecological reserves, but data only from nrth. Area for North from MPA Atlas. Table 2 has aggrated time data that reports the minimum density change detected (did not report but can if you think fit)</t>
  </si>
  <si>
    <t>Tripcony Bight and Wiles Island reserves</t>
  </si>
  <si>
    <t>density data based on trawls of around 625 m^2. Pre-rezoning of Moreton Bay. Fewer reserves and less area</t>
  </si>
  <si>
    <t>Ustica Island MPA and Capo Gallo-Isola delle Femmine MPA</t>
  </si>
  <si>
    <t>Two separate areas, date est unknown</t>
  </si>
  <si>
    <t>West Island Reserve</t>
  </si>
  <si>
    <t xml:space="preserve">Various (17) Community managed MPAs </t>
  </si>
  <si>
    <t>Various (12) World protection areas</t>
  </si>
  <si>
    <t>Meta analysis from multiple published studies</t>
  </si>
  <si>
    <t xml:space="preserve">Unusable data </t>
  </si>
  <si>
    <t>Various (39) Community managed MPAs</t>
  </si>
  <si>
    <t xml:space="preserve">Solitary Islands Marine Park </t>
  </si>
  <si>
    <t>Various (9) marine protected areas</t>
  </si>
  <si>
    <t>no time data presented. Study start assumed.</t>
  </si>
  <si>
    <t>no time data presented. Reserve size estiamted from Fig. 1. Study start assumed.</t>
  </si>
  <si>
    <t>Lizard Island no-take zones</t>
  </si>
  <si>
    <t>Storm Cay no-take zones</t>
  </si>
  <si>
    <t>lleyakl Beluu MPA</t>
  </si>
  <si>
    <t>Ngederrak MPA</t>
  </si>
  <si>
    <t>Ngermasech MPA</t>
  </si>
  <si>
    <t>Upeneichthys</t>
  </si>
  <si>
    <t>Sargassum horneri</t>
  </si>
  <si>
    <t>great barradcuda</t>
  </si>
  <si>
    <t>native purple urchin</t>
  </si>
  <si>
    <t>Cystophora</t>
  </si>
  <si>
    <t>Atherina hepsetus</t>
  </si>
  <si>
    <t>based on flared lip conches, aka Lobatus gigas, aka Strombus gigas</t>
  </si>
  <si>
    <t>aka Lobatus gigas, aka Strombus gigas</t>
  </si>
  <si>
    <t>Strombus gigas in paper, aka Lobatus gigas</t>
  </si>
  <si>
    <t>Liocarcinus depurator</t>
  </si>
  <si>
    <t>Labrus merula</t>
  </si>
  <si>
    <t>Mobulidae</t>
  </si>
  <si>
    <t>Data based on mark-recapture data and only used for 1 MPA that was a NTA, also known as Mulloides flavolineatus</t>
  </si>
  <si>
    <t>aka Lobatus gigas, aka Strombus gigas. Reserve designated 1993, but no properly enforced until 2006 (Acosta 2019). Avg reserve size between Acosta 2019 and McClanahan 2011 used.</t>
  </si>
  <si>
    <t>Medialuna californiensis</t>
  </si>
  <si>
    <t>Polychaeta</t>
  </si>
  <si>
    <t>Semicossyphus pulcher (&gt;30cm)</t>
  </si>
  <si>
    <t>Macropodia spp</t>
  </si>
  <si>
    <t>benthic macrofauna</t>
  </si>
  <si>
    <t>Cromileptes altivelis</t>
  </si>
  <si>
    <t>Laminariales</t>
  </si>
  <si>
    <t>Macroepifauna</t>
  </si>
  <si>
    <t>prey mussels</t>
  </si>
  <si>
    <t>Chaetopterus spp</t>
  </si>
  <si>
    <t>suborder</t>
  </si>
  <si>
    <t>benthophagous predators</t>
  </si>
  <si>
    <t>generalist corallivores</t>
  </si>
  <si>
    <t>Taxonomic_unit</t>
  </si>
  <si>
    <t>Epinephelus polyphekadion</t>
  </si>
  <si>
    <t>Plectropomus areolatus</t>
  </si>
  <si>
    <t>Sarpa salpa (legal size)</t>
  </si>
  <si>
    <t>averaged across two depths (3m &amp; 8 m)</t>
  </si>
  <si>
    <t>Harris point on San Miguel Island, as per Hamilton 2010 PNAS. Island names used in main text, renamed to reserves that occur on those islands</t>
  </si>
  <si>
    <t>Island names used in main text, renamed to reserves that occur on those islands</t>
  </si>
  <si>
    <t>Carrington &amp; South Point Marine Reserves</t>
  </si>
  <si>
    <t>Solitary Islands Marine Park (old/small reserves)</t>
  </si>
  <si>
    <t>Solitary Islands Marine Park (young/large reserves)</t>
  </si>
  <si>
    <t>leaf &amp; epiphyte biomass averaged, 2008 data. Est 1997, enforced 2003</t>
  </si>
  <si>
    <t>avg size of males and females combined as both species fished (although egg-bearing females must be released), values for AO calculated as mean between 3 control sites (not including border of reserve)</t>
  </si>
  <si>
    <t>Sarpa salpa (not legal size)</t>
  </si>
  <si>
    <t>Diplodus vulgaris (early juvs)</t>
  </si>
  <si>
    <t>Diplodus vulgaris (juvs)</t>
  </si>
  <si>
    <t>Diplodus vulgaris (adults)</t>
  </si>
  <si>
    <t>Diplodus sargus (early juvs)</t>
  </si>
  <si>
    <t>Diplodus sargus (juvs)</t>
  </si>
  <si>
    <t>Diplodus sargus (adults)</t>
  </si>
  <si>
    <t>Hawkesbury Shelf bioregion reserves</t>
  </si>
  <si>
    <t>Hawkesbury Shelf bioregion reserve networks</t>
  </si>
  <si>
    <t>Rottnest Island Marine Reserve Network</t>
  </si>
  <si>
    <t>Area estimate from Manikandan &amp; Ravindran 2017 Environmental Science and Pollution Research International. Res age from MPA Atlas. Unfished sites are aggreagated (?)</t>
  </si>
  <si>
    <t>Loreto Bay National Park no-take sections</t>
  </si>
  <si>
    <t>rename the Fully Protected Area based in Sousa 2018</t>
  </si>
  <si>
    <t>St. Lucia reserve (name unknown)</t>
  </si>
  <si>
    <t>Mustique reserve (name unknown)</t>
  </si>
  <si>
    <t>St. Croix Reserve (name unknown)</t>
  </si>
  <si>
    <t>St. Maarten Reserve (name unknown)</t>
  </si>
  <si>
    <t>Tabago Cays Marine Park (name unknown)</t>
  </si>
  <si>
    <t>no size data; taken from supplenment attatched. Authors refer to reseves by island name (large geographic area), and cant get MPA size</t>
  </si>
  <si>
    <t>island</t>
  </si>
  <si>
    <t xml:space="preserve">ROV study. From Figure 6 using the lastest date 2008 </t>
  </si>
  <si>
    <t>BRUV_ROV_study</t>
  </si>
  <si>
    <t>ROV</t>
  </si>
  <si>
    <t>uses log response ratio, but with an off-set factor. Different to what we are using</t>
  </si>
  <si>
    <t xml:space="preserve">High RR values checked JKH. Expanded to 164 in 2005. Going with older/smaller info. </t>
  </si>
  <si>
    <t>High RR values checked JKH - fish density drops to near zero outside reserve</t>
  </si>
  <si>
    <t>High RR values checked JKH - cover was massive in res. Cover is also %</t>
  </si>
  <si>
    <t>High RR values checked JKH - practically no kelp outside</t>
  </si>
  <si>
    <t>High RR values checked JKH - direct from supp materials</t>
  </si>
  <si>
    <t>Site 1 - exact location not provided to protect area. Data is from figs 2-4, average across all transects for 2009. This is because they aggreagate</t>
  </si>
  <si>
    <t>Site 10 - exact location not provided to protect area, ref site is on Dyual Island.  Data is from figs 2-4, average across all transects for 2009. This is because they aggreagate</t>
  </si>
  <si>
    <t xml:space="preserve">High RR values checked JKH </t>
  </si>
  <si>
    <t>High RR values checked JKH. Malindi closed in 1968, Watamu closed in 1972, Kisite closed in 1973 and Mombasa Marine Park closed in 1991. Aquatic Conserv: Mar. Freshw. Ecosyst. 21: 186–198 (2011)</t>
  </si>
  <si>
    <t>points prior to typhoons used</t>
  </si>
  <si>
    <t>High RR values checked JKH. Area estimate from Manikandan &amp; Ravindran 2017 Environmental Science and Pollution Research International. Res age from MPA Atlas. Unfished sites are aggreagated (?)</t>
  </si>
  <si>
    <t>High RR values checked JKH.</t>
  </si>
  <si>
    <t>Data presented as log((change after)/(change before)) for each reserve and fished area. The response ratio is then the exp() of these with inside/outside. started off as an urchin barren, semi-metaanalysis. Kenyan reserves not included as unclear on where data is from</t>
  </si>
  <si>
    <t>Data presented as log((change after)/(change before)) for each reserve and fished area. The response ratio is then the exp() of these with inside/outside. semi-metaanalysis. Kenyan reserves not included as unclear on where data is from</t>
  </si>
  <si>
    <t>Data presented as log((change after)/(change before)) for each reserve and fished area. The response ratio is then the exp() of these with inside/outside. semi-metaanalysis. Kenyan reserves not included as unclear on where data is from, and Sumilon Island Reserve has had enforcement issues</t>
  </si>
  <si>
    <t>Data presented as log((change after)/(change before)) for each reserve and fished area. The response ratio is then the exp() of these with inside/outside. expanded to 29.9 km2 in 2012 (after study), semi-metaanalysis. Kenyan reserves not included as unclear on where data is from</t>
  </si>
  <si>
    <t>Data presented as log((change after)/(change before)) for each reserve and fished area. The response ratio is then the exp() of these with inside/outside. semi-metaanalysis. Kenyan reserves not included as unclear on where data is from. Compliance issues in Sumilon until 1999 - Russ et al 2015</t>
  </si>
  <si>
    <t>Perumytilus pupuratus</t>
  </si>
  <si>
    <t>Biomass is per transect. Combined San Jeromino (which is a reserve, but was sampled the year the reserve was established), Todos Santos &amp; San Roque Islands together for outside reference point</t>
  </si>
  <si>
    <t>Biomass is based on catch data. Only compared reserve to reference sites with intermediate eutrophication</t>
  </si>
  <si>
    <t>biomass is per transect</t>
  </si>
  <si>
    <t>biomass = mean individual biomass per unit fishing effort</t>
  </si>
  <si>
    <t>Timed surveys. reserve size estimated from figure 1</t>
  </si>
  <si>
    <t xml:space="preserve">Res size is 24 in paper, but use 18 from MPA Atlas,as suspect that paper uses land area of islands as well. synthesizes data from other published and unpublished studies and so habitat data not mentioned. </t>
  </si>
  <si>
    <t>Res size is 24 in paper, but use 18 from MPA Atlas,as suspect that paper uses land area of islands as well. Res start year is 1981, but not all areas fully closed until 1998. It is unclear from the studies which sites were closed or not, but susepct they were all part of the earlier closure. synthesizes data from other published and unpublished studies and so habitat data not mentioned</t>
  </si>
  <si>
    <t>Before data is from Battershil et al. 1993, but is included in this study as a BACI test. Sites are both within one singlre reserve, so I have taken the mean of the two sites as the inside values, but do not count this as aggreagated as the two sites are in the same reserve. Data is averaged over two years, but not aggregated data as two years is short</t>
  </si>
  <si>
    <t>Aggregated_time_inc</t>
  </si>
  <si>
    <t>fish surveys only occurred in one year 2008</t>
  </si>
  <si>
    <t xml:space="preserve">Res areas from Arias-Del-Razo 2019. </t>
  </si>
  <si>
    <t>only before data for all groupers, other data is all from final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</si>
</sst>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Arial"/>
    </font>
    <font>
      <sz val="11"/>
      <color theme="1"/>
      <name val="Calibri"/>
      <family val="2"/>
    </font>
    <font>
      <sz val="11"/>
      <color rgb="FF000000"/>
      <name val="Calibri"/>
      <family val="2"/>
    </font>
    <font>
      <b/>
      <sz val="11"/>
      <color theme="1"/>
      <name val="Calibri"/>
      <family val="2"/>
    </font>
    <font>
      <sz val="11"/>
      <color rgb="FF666666"/>
      <name val="Calibri"/>
      <family val="2"/>
    </font>
    <font>
      <sz val="11"/>
      <name val="Arial"/>
      <family val="2"/>
    </font>
    <font>
      <u/>
      <sz val="11"/>
      <color theme="1"/>
      <name val="Calibri"/>
      <family val="2"/>
    </font>
    <font>
      <sz val="11"/>
      <color rgb="FF000000"/>
      <name val="Calibri"/>
      <family val="2"/>
    </font>
    <font>
      <b/>
      <sz val="11"/>
      <color theme="1"/>
      <name val="Arial"/>
      <family val="2"/>
    </font>
    <font>
      <sz val="11"/>
      <color theme="1"/>
      <name val="Arial"/>
      <family val="2"/>
    </font>
    <font>
      <sz val="11"/>
      <name val="calibri"/>
      <family val="2"/>
      <scheme val="major"/>
    </font>
    <font>
      <sz val="11"/>
      <color theme="1"/>
      <name val="calibri"/>
      <family val="2"/>
      <scheme val="major"/>
    </font>
    <font>
      <b/>
      <sz val="11"/>
      <color theme="1"/>
      <name val="calibri"/>
      <family val="2"/>
      <scheme val="major"/>
    </font>
    <font>
      <b/>
      <sz val="11"/>
      <name val="calibri"/>
      <family val="2"/>
      <scheme val="major"/>
    </font>
    <font>
      <sz val="11"/>
      <color rgb="FF000000"/>
      <name val="calibri"/>
      <family val="2"/>
      <scheme val="major"/>
    </font>
    <font>
      <sz val="11"/>
      <color rgb="FF222222"/>
      <name val="calibri"/>
      <family val="2"/>
      <scheme val="major"/>
    </font>
    <font>
      <sz val="8"/>
      <name val="Arial"/>
      <family val="2"/>
    </font>
    <font>
      <sz val="11"/>
      <color theme="1"/>
      <name val="Calibri"/>
      <family val="2"/>
    </font>
    <font>
      <sz val="11"/>
      <name val="Calibri"/>
      <family val="2"/>
    </font>
    <font>
      <sz val="6"/>
      <color rgb="FF000000"/>
      <name val="Segoe UI"/>
      <family val="2"/>
    </font>
  </fonts>
  <fills count="7">
    <fill>
      <patternFill patternType="none"/>
    </fill>
    <fill>
      <patternFill patternType="gray125"/>
    </fill>
    <fill>
      <patternFill patternType="solid">
        <fgColor rgb="FFBFBFBF"/>
        <bgColor rgb="FFBFBFBF"/>
      </patternFill>
    </fill>
    <fill>
      <patternFill patternType="solid">
        <fgColor theme="9" tint="0.39997558519241921"/>
        <bgColor rgb="FFF2F2F2"/>
      </patternFill>
    </fill>
    <fill>
      <patternFill patternType="solid">
        <fgColor theme="9" tint="0.39997558519241921"/>
        <bgColor indexed="64"/>
      </patternFill>
    </fill>
    <fill>
      <patternFill patternType="solid">
        <fgColor theme="7" tint="0.79998168889431442"/>
        <bgColor indexed="64"/>
      </patternFill>
    </fill>
    <fill>
      <patternFill patternType="solid">
        <fgColor rgb="FFFFFF00"/>
        <bgColor indexed="64"/>
      </patternFill>
    </fill>
  </fills>
  <borders count="4">
    <border>
      <left/>
      <right/>
      <top/>
      <bottom/>
      <diagonal/>
    </border>
    <border>
      <left/>
      <right/>
      <top/>
      <bottom style="thin">
        <color rgb="FF000000"/>
      </bottom>
      <diagonal/>
    </border>
    <border>
      <left/>
      <right/>
      <top/>
      <bottom/>
      <diagonal/>
    </border>
    <border>
      <left style="thin">
        <color indexed="64"/>
      </left>
      <right/>
      <top/>
      <bottom/>
      <diagonal/>
    </border>
  </borders>
  <cellStyleXfs count="1">
    <xf numFmtId="0" fontId="0" fillId="0" borderId="0"/>
  </cellStyleXfs>
  <cellXfs count="87">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wrapText="1"/>
    </xf>
    <xf numFmtId="0" fontId="2" fillId="0" borderId="0" xfId="0" applyFont="1"/>
    <xf numFmtId="0" fontId="2" fillId="0" borderId="0" xfId="0" applyFont="1" applyAlignment="1">
      <alignment horizontal="right"/>
    </xf>
    <xf numFmtId="0" fontId="2" fillId="0" borderId="0" xfId="0" applyFont="1" applyAlignment="1">
      <alignment horizontal="left"/>
    </xf>
    <xf numFmtId="0" fontId="1" fillId="0" borderId="1" xfId="0" applyFont="1" applyBorder="1" applyAlignment="1">
      <alignment wrapText="1"/>
    </xf>
    <xf numFmtId="0" fontId="4" fillId="0" borderId="0" xfId="0" applyFont="1"/>
    <xf numFmtId="0" fontId="3" fillId="2" borderId="2" xfId="0" applyFont="1" applyFill="1" applyBorder="1" applyAlignment="1">
      <alignment wrapText="1"/>
    </xf>
    <xf numFmtId="0" fontId="0" fillId="0" borderId="0" xfId="0" applyAlignment="1">
      <alignment horizontal="left"/>
    </xf>
    <xf numFmtId="0" fontId="2" fillId="0" borderId="2" xfId="0" applyFont="1" applyBorder="1" applyAlignment="1">
      <alignment wrapText="1"/>
    </xf>
    <xf numFmtId="0" fontId="11" fillId="0" borderId="0" xfId="0" applyFont="1"/>
    <xf numFmtId="0" fontId="11" fillId="0" borderId="0" xfId="0" applyFont="1" applyAlignment="1">
      <alignment horizontal="left"/>
    </xf>
    <xf numFmtId="0" fontId="11" fillId="0" borderId="0" xfId="0" applyFont="1" applyAlignment="1">
      <alignment horizontal="right"/>
    </xf>
    <xf numFmtId="0" fontId="11" fillId="0" borderId="2" xfId="0" applyFont="1" applyBorder="1"/>
    <xf numFmtId="0" fontId="11" fillId="0" borderId="2" xfId="0" applyFont="1" applyBorder="1" applyAlignment="1">
      <alignment horizontal="left"/>
    </xf>
    <xf numFmtId="0" fontId="11" fillId="0" borderId="2" xfId="0" applyFont="1" applyBorder="1" applyAlignment="1">
      <alignment horizontal="right"/>
    </xf>
    <xf numFmtId="0" fontId="14" fillId="0" borderId="0" xfId="0" applyFont="1" applyAlignment="1">
      <alignment horizontal="right"/>
    </xf>
    <xf numFmtId="2" fontId="11" fillId="0" borderId="0" xfId="0" applyNumberFormat="1" applyFont="1" applyAlignment="1">
      <alignment horizontal="right"/>
    </xf>
    <xf numFmtId="2" fontId="11" fillId="0" borderId="2" xfId="0" applyNumberFormat="1" applyFont="1" applyBorder="1" applyAlignment="1">
      <alignment horizontal="right"/>
    </xf>
    <xf numFmtId="0" fontId="0" fillId="0" borderId="0" xfId="0" applyAlignment="1">
      <alignment horizontal="right"/>
    </xf>
    <xf numFmtId="164" fontId="11" fillId="0" borderId="2" xfId="0" applyNumberFormat="1" applyFont="1" applyBorder="1" applyAlignment="1">
      <alignment horizontal="right"/>
    </xf>
    <xf numFmtId="0" fontId="7" fillId="0" borderId="0" xfId="0" applyFont="1" applyAlignment="1">
      <alignment horizontal="right"/>
    </xf>
    <xf numFmtId="0" fontId="9" fillId="0" borderId="0" xfId="0" applyFont="1" applyAlignment="1">
      <alignment horizontal="right"/>
    </xf>
    <xf numFmtId="0" fontId="12" fillId="5" borderId="0" xfId="0" applyFont="1" applyFill="1" applyAlignment="1">
      <alignment vertical="center" wrapText="1"/>
    </xf>
    <xf numFmtId="0" fontId="17" fillId="0" borderId="0" xfId="0" applyFont="1" applyAlignment="1">
      <alignment wrapText="1"/>
    </xf>
    <xf numFmtId="0" fontId="2" fillId="0" borderId="3" xfId="0" applyFont="1" applyBorder="1"/>
    <xf numFmtId="0" fontId="0" fillId="0" borderId="3" xfId="0" applyBorder="1"/>
    <xf numFmtId="0" fontId="7" fillId="0" borderId="0" xfId="0" applyFont="1"/>
    <xf numFmtId="0" fontId="9" fillId="0" borderId="0" xfId="0" applyFont="1"/>
    <xf numFmtId="0" fontId="13" fillId="3" borderId="2" xfId="0" applyFont="1" applyFill="1" applyBorder="1" applyAlignment="1">
      <alignment vertical="center" wrapText="1"/>
    </xf>
    <xf numFmtId="0" fontId="12" fillId="5" borderId="0" xfId="0" applyFont="1" applyFill="1" applyAlignment="1">
      <alignment horizontal="left" vertical="center" wrapText="1"/>
    </xf>
    <xf numFmtId="0" fontId="12" fillId="4" borderId="0" xfId="0" applyFont="1" applyFill="1" applyAlignment="1">
      <alignment vertical="center" wrapText="1"/>
    </xf>
    <xf numFmtId="0" fontId="12" fillId="0" borderId="0" xfId="0" applyFont="1" applyAlignment="1">
      <alignment vertical="center" wrapText="1"/>
    </xf>
    <xf numFmtId="0" fontId="12" fillId="5" borderId="0" xfId="0" applyFont="1" applyFill="1" applyAlignment="1">
      <alignment vertical="center"/>
    </xf>
    <xf numFmtId="0" fontId="12" fillId="5" borderId="3" xfId="0" applyFont="1" applyFill="1" applyBorder="1" applyAlignment="1">
      <alignment vertical="center" wrapText="1"/>
    </xf>
    <xf numFmtId="0" fontId="12" fillId="5" borderId="0" xfId="0" applyFont="1" applyFill="1"/>
    <xf numFmtId="0" fontId="12" fillId="5" borderId="2" xfId="0" applyFont="1" applyFill="1" applyBorder="1" applyAlignment="1">
      <alignment vertical="center" wrapText="1"/>
    </xf>
    <xf numFmtId="0" fontId="2" fillId="0" borderId="2" xfId="0" applyFont="1" applyBorder="1"/>
    <xf numFmtId="0" fontId="0" fillId="0" borderId="2" xfId="0" applyBorder="1"/>
    <xf numFmtId="164" fontId="11" fillId="0" borderId="0" xfId="0" applyNumberFormat="1" applyFont="1" applyAlignment="1">
      <alignment horizontal="right"/>
    </xf>
    <xf numFmtId="0" fontId="10" fillId="0" borderId="0" xfId="0" applyFont="1" applyAlignment="1">
      <alignment horizontal="right"/>
    </xf>
    <xf numFmtId="0" fontId="10" fillId="0" borderId="2" xfId="0" applyFont="1" applyBorder="1"/>
    <xf numFmtId="0" fontId="10" fillId="0" borderId="0" xfId="0" applyFont="1"/>
    <xf numFmtId="0" fontId="11" fillId="0" borderId="3" xfId="0" applyFont="1" applyBorder="1"/>
    <xf numFmtId="0" fontId="2" fillId="0" borderId="2" xfId="0" applyFont="1" applyBorder="1" applyAlignment="1">
      <alignment horizontal="right"/>
    </xf>
    <xf numFmtId="0" fontId="14" fillId="0" borderId="2" xfId="0" applyFont="1" applyBorder="1" applyAlignment="1">
      <alignment horizontal="right"/>
    </xf>
    <xf numFmtId="0" fontId="1" fillId="0" borderId="3" xfId="0" applyFont="1" applyBorder="1"/>
    <xf numFmtId="0" fontId="18" fillId="0" borderId="0" xfId="0" applyFont="1"/>
    <xf numFmtId="0" fontId="14" fillId="0" borderId="0" xfId="0" applyFont="1"/>
    <xf numFmtId="0" fontId="11" fillId="0" borderId="2" xfId="0" applyFont="1" applyBorder="1" applyAlignment="1">
      <alignment horizontal="right" wrapText="1"/>
    </xf>
    <xf numFmtId="0" fontId="10" fillId="0" borderId="0" xfId="0" applyFont="1" applyAlignment="1">
      <alignment horizontal="left"/>
    </xf>
    <xf numFmtId="0" fontId="10" fillId="0" borderId="2" xfId="0" applyFont="1" applyBorder="1" applyAlignment="1">
      <alignment horizontal="right"/>
    </xf>
    <xf numFmtId="2" fontId="10" fillId="0" borderId="0" xfId="0" applyNumberFormat="1" applyFont="1" applyAlignment="1">
      <alignment horizontal="right"/>
    </xf>
    <xf numFmtId="0" fontId="10" fillId="0" borderId="3" xfId="0" applyFont="1" applyBorder="1"/>
    <xf numFmtId="0" fontId="10" fillId="0" borderId="2" xfId="0" applyFont="1" applyBorder="1" applyAlignment="1">
      <alignment horizontal="left"/>
    </xf>
    <xf numFmtId="2" fontId="10" fillId="0" borderId="2" xfId="0" applyNumberFormat="1" applyFont="1" applyBorder="1" applyAlignment="1">
      <alignment horizontal="right"/>
    </xf>
    <xf numFmtId="164" fontId="10" fillId="0" borderId="2" xfId="0" applyNumberFormat="1" applyFont="1" applyBorder="1" applyAlignment="1">
      <alignment horizontal="right"/>
    </xf>
    <xf numFmtId="0" fontId="14" fillId="0" borderId="2" xfId="0" applyFont="1" applyBorder="1"/>
    <xf numFmtId="3" fontId="11" fillId="0" borderId="2" xfId="0" applyNumberFormat="1" applyFont="1" applyBorder="1" applyAlignment="1">
      <alignment horizontal="right"/>
    </xf>
    <xf numFmtId="0" fontId="14" fillId="0" borderId="2" xfId="0" applyFont="1" applyBorder="1" applyAlignment="1">
      <alignment horizontal="left"/>
    </xf>
    <xf numFmtId="0" fontId="14" fillId="0" borderId="0" xfId="0" applyFont="1" applyAlignment="1">
      <alignment horizontal="left"/>
    </xf>
    <xf numFmtId="0" fontId="9" fillId="0" borderId="2" xfId="0" applyFont="1" applyBorder="1"/>
    <xf numFmtId="0" fontId="14" fillId="0" borderId="3" xfId="0" applyFont="1" applyBorder="1"/>
    <xf numFmtId="0" fontId="15" fillId="0" borderId="2" xfId="0" applyFont="1" applyBorder="1" applyAlignment="1">
      <alignment horizontal="right"/>
    </xf>
    <xf numFmtId="0" fontId="11" fillId="0" borderId="2" xfId="0" quotePrefix="1" applyFont="1" applyBorder="1" applyAlignment="1">
      <alignment horizontal="right"/>
    </xf>
    <xf numFmtId="0" fontId="19" fillId="0" borderId="0" xfId="0" applyFont="1"/>
    <xf numFmtId="0" fontId="11" fillId="6" borderId="0" xfId="0" applyFont="1" applyFill="1" applyAlignment="1">
      <alignment horizontal="right"/>
    </xf>
    <xf numFmtId="0" fontId="11" fillId="6" borderId="2" xfId="0" applyFont="1" applyFill="1" applyBorder="1" applyAlignment="1">
      <alignment horizontal="right"/>
    </xf>
    <xf numFmtId="164" fontId="11" fillId="6" borderId="0" xfId="0" applyNumberFormat="1" applyFont="1" applyFill="1" applyAlignment="1">
      <alignment horizontal="right"/>
    </xf>
    <xf numFmtId="3" fontId="11" fillId="0" borderId="0" xfId="0" applyNumberFormat="1" applyFont="1" applyAlignment="1">
      <alignment horizontal="right"/>
    </xf>
    <xf numFmtId="0" fontId="15" fillId="0" borderId="0" xfId="0" applyFont="1" applyAlignment="1">
      <alignment horizontal="right"/>
    </xf>
    <xf numFmtId="164" fontId="10" fillId="0" borderId="0" xfId="0" applyNumberFormat="1" applyFont="1" applyAlignment="1">
      <alignment horizontal="right"/>
    </xf>
    <xf numFmtId="0" fontId="11" fillId="0" borderId="0" xfId="0" quotePrefix="1" applyFont="1" applyAlignment="1">
      <alignment horizontal="right"/>
    </xf>
    <xf numFmtId="0" fontId="11" fillId="0" borderId="0" xfId="0" applyFont="1" applyAlignment="1">
      <alignment horizontal="right" wrapText="1"/>
    </xf>
    <xf numFmtId="0" fontId="11" fillId="0" borderId="2" xfId="0" applyFont="1" applyBorder="1" applyAlignment="1">
      <alignment wrapText="1"/>
    </xf>
    <xf numFmtId="0" fontId="11" fillId="0" borderId="0" xfId="0" applyFont="1" applyAlignment="1">
      <alignment wrapText="1"/>
    </xf>
    <xf numFmtId="0" fontId="7" fillId="0" borderId="2" xfId="0" applyFont="1" applyBorder="1" applyAlignment="1">
      <alignment horizontal="right"/>
    </xf>
    <xf numFmtId="0" fontId="2" fillId="0" borderId="2" xfId="0" applyFont="1" applyBorder="1" applyAlignment="1">
      <alignment horizontal="left"/>
    </xf>
    <xf numFmtId="0" fontId="9" fillId="0" borderId="2" xfId="0" applyFont="1" applyBorder="1" applyAlignment="1">
      <alignment horizontal="right"/>
    </xf>
    <xf numFmtId="0" fontId="8" fillId="0" borderId="0" xfId="0" applyFont="1"/>
    <xf numFmtId="0" fontId="5" fillId="0" borderId="0" xfId="0" applyFont="1"/>
    <xf numFmtId="0" fontId="3" fillId="0" borderId="2" xfId="0" applyFont="1" applyFill="1" applyBorder="1" applyAlignment="1">
      <alignment wrapText="1"/>
    </xf>
    <xf numFmtId="0" fontId="1" fillId="0" borderId="0" xfId="0" applyFont="1" applyFill="1" applyAlignment="1">
      <alignment wrapText="1"/>
    </xf>
    <xf numFmtId="0" fontId="1" fillId="0" borderId="2" xfId="0" applyFont="1" applyFill="1" applyBorder="1" applyAlignment="1">
      <alignment wrapText="1"/>
    </xf>
    <xf numFmtId="0" fontId="1" fillId="0" borderId="1" xfId="0" applyFont="1" applyFill="1" applyBorder="1" applyAlignment="1">
      <alignment wrapText="1"/>
    </xf>
  </cellXfs>
  <cellStyles count="1">
    <cellStyle name="Normal" xfId="0" builtinId="0"/>
  </cellStyles>
  <dxfs count="6">
    <dxf>
      <font>
        <color rgb="FF9C5700"/>
      </font>
      <fill>
        <patternFill>
          <bgColor rgb="FFFFEB9C"/>
        </patternFill>
      </fill>
    </dxf>
    <dxf>
      <font>
        <color rgb="FF9C5700"/>
      </font>
      <fill>
        <patternFill>
          <bgColor rgb="FFFFEB9C"/>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Q2658"/>
  <sheetViews>
    <sheetView tabSelected="1" zoomScale="70" zoomScaleNormal="70" workbookViewId="0">
      <pane xSplit="3" ySplit="1" topLeftCell="D616" activePane="bottomRight" state="frozen"/>
      <selection pane="topRight" activeCell="D1" sqref="D1"/>
      <selection pane="bottomLeft" activeCell="A2" sqref="A2"/>
      <selection pane="bottomRight" activeCell="AL1" sqref="AL1:AL1048576"/>
    </sheetView>
  </sheetViews>
  <sheetFormatPr defaultColWidth="12.6640625" defaultRowHeight="15" customHeight="1" x14ac:dyDescent="0.35"/>
  <cols>
    <col min="1" max="1" width="7.1640625" customWidth="1"/>
    <col min="2" max="2" width="9.83203125" customWidth="1"/>
    <col min="3" max="3" width="25.75" style="30" customWidth="1"/>
    <col min="4" max="4" width="32.25" style="30" customWidth="1"/>
    <col min="5" max="5" width="11.25" style="30" hidden="1" customWidth="1"/>
    <col min="6" max="6" width="8.9140625" style="10" hidden="1" customWidth="1"/>
    <col min="7" max="7" width="12.08203125" style="10" hidden="1" customWidth="1"/>
    <col min="8" max="8" width="14" style="10" hidden="1" customWidth="1"/>
    <col min="9" max="9" width="9.1640625" style="10" hidden="1" customWidth="1"/>
    <col min="10" max="10" width="14.1640625" style="14" customWidth="1"/>
    <col min="11" max="11" width="15.33203125" style="24" customWidth="1"/>
    <col min="12" max="12" width="24.9140625" style="21" customWidth="1"/>
    <col min="13" max="13" width="27.1640625" style="21" customWidth="1"/>
    <col min="14" max="14" width="13.33203125" style="21" customWidth="1"/>
    <col min="15" max="15" width="16.33203125" style="21" customWidth="1"/>
    <col min="16" max="16" width="14.83203125" style="21" customWidth="1"/>
    <col min="17" max="20" width="9.83203125" style="21" customWidth="1"/>
    <col min="21" max="21" width="12.25" style="21" customWidth="1"/>
    <col min="22" max="22" width="26.75" style="21" hidden="1" customWidth="1"/>
    <col min="23" max="23" width="28.83203125" style="21" hidden="1" customWidth="1"/>
    <col min="24" max="24" width="11" style="24" customWidth="1"/>
    <col min="25" max="25" width="13.1640625" style="14" customWidth="1"/>
    <col min="26" max="27" width="13.1640625" style="24" customWidth="1"/>
    <col min="28" max="28" width="8.83203125" style="21" customWidth="1"/>
    <col min="29" max="29" width="12.5" style="21" customWidth="1"/>
    <col min="30" max="31" width="9.83203125" style="21" customWidth="1"/>
    <col min="32" max="32" width="12.1640625" style="21" hidden="1" customWidth="1"/>
    <col min="33" max="33" width="8.25" style="24" customWidth="1"/>
    <col min="34" max="35" width="12.1640625" style="21" customWidth="1"/>
    <col min="36" max="36" width="21.83203125" style="21" hidden="1" customWidth="1"/>
    <col min="37" max="37" width="13.33203125" style="21" customWidth="1"/>
    <col min="38" max="38" width="14.75" bestFit="1" customWidth="1"/>
    <col min="39" max="39" width="8.6640625" customWidth="1"/>
    <col min="40" max="40" width="21.1640625" customWidth="1"/>
    <col min="41" max="41" width="7.4140625" hidden="1" customWidth="1"/>
    <col min="42" max="42" width="16.83203125" hidden="1" customWidth="1"/>
    <col min="43" max="43" width="9.83203125" hidden="1" customWidth="1"/>
    <col min="44" max="44" width="9.5" hidden="1" customWidth="1"/>
    <col min="45" max="45" width="9.5" customWidth="1"/>
    <col min="46" max="46" width="19.33203125" customWidth="1"/>
    <col min="47" max="47" width="48" style="28" customWidth="1"/>
    <col min="48" max="48" width="27.58203125" style="40" customWidth="1"/>
    <col min="49" max="49" width="149.33203125" customWidth="1"/>
  </cols>
  <sheetData>
    <row r="1" spans="1:49" s="81" customFormat="1" ht="45.75" customHeight="1" x14ac:dyDescent="0.35">
      <c r="A1" s="31" t="s">
        <v>0</v>
      </c>
      <c r="B1" s="25" t="s">
        <v>1</v>
      </c>
      <c r="C1" s="25" t="s">
        <v>2</v>
      </c>
      <c r="D1" s="25" t="s">
        <v>3</v>
      </c>
      <c r="E1" s="25" t="s">
        <v>4</v>
      </c>
      <c r="F1" s="25" t="s">
        <v>5</v>
      </c>
      <c r="G1" s="25" t="s">
        <v>6</v>
      </c>
      <c r="H1" s="32" t="s">
        <v>7</v>
      </c>
      <c r="I1" s="25" t="s">
        <v>8</v>
      </c>
      <c r="J1" s="25" t="s">
        <v>9</v>
      </c>
      <c r="K1" s="25" t="s">
        <v>10</v>
      </c>
      <c r="L1" s="25" t="s">
        <v>11</v>
      </c>
      <c r="M1" s="25" t="s">
        <v>12</v>
      </c>
      <c r="N1" s="25" t="s">
        <v>2805</v>
      </c>
      <c r="O1" s="25" t="s">
        <v>13</v>
      </c>
      <c r="P1" s="25" t="s">
        <v>14</v>
      </c>
      <c r="Q1" s="25" t="s">
        <v>15</v>
      </c>
      <c r="R1" s="25" t="s">
        <v>16</v>
      </c>
      <c r="S1" s="25" t="s">
        <v>17</v>
      </c>
      <c r="T1" s="25" t="s">
        <v>18</v>
      </c>
      <c r="U1" s="33" t="s">
        <v>19</v>
      </c>
      <c r="V1" s="33" t="s">
        <v>20</v>
      </c>
      <c r="W1" s="34" t="s">
        <v>21</v>
      </c>
      <c r="X1" s="25" t="s">
        <v>22</v>
      </c>
      <c r="Y1" s="25" t="s">
        <v>23</v>
      </c>
      <c r="Z1" s="25" t="s">
        <v>24</v>
      </c>
      <c r="AA1" s="25" t="s">
        <v>2867</v>
      </c>
      <c r="AB1" s="25" t="s">
        <v>25</v>
      </c>
      <c r="AC1" s="25" t="s">
        <v>26</v>
      </c>
      <c r="AD1" s="25" t="s">
        <v>27</v>
      </c>
      <c r="AE1" s="25" t="s">
        <v>28</v>
      </c>
      <c r="AF1" s="34" t="s">
        <v>29</v>
      </c>
      <c r="AG1" s="25" t="s">
        <v>30</v>
      </c>
      <c r="AH1" s="33" t="s">
        <v>31</v>
      </c>
      <c r="AI1" s="33" t="s">
        <v>32</v>
      </c>
      <c r="AJ1" s="34" t="s">
        <v>33</v>
      </c>
      <c r="AK1" s="25" t="s">
        <v>34</v>
      </c>
      <c r="AL1" s="25" t="s">
        <v>35</v>
      </c>
      <c r="AM1" s="25" t="s">
        <v>36</v>
      </c>
      <c r="AN1" s="25" t="s">
        <v>37</v>
      </c>
      <c r="AO1" s="35" t="s">
        <v>38</v>
      </c>
      <c r="AP1" s="35" t="s">
        <v>39</v>
      </c>
      <c r="AQ1" s="25" t="s">
        <v>40</v>
      </c>
      <c r="AR1" s="25" t="s">
        <v>41</v>
      </c>
      <c r="AS1" s="25" t="s">
        <v>42</v>
      </c>
      <c r="AT1" s="25" t="s">
        <v>43</v>
      </c>
      <c r="AU1" s="36" t="s">
        <v>44</v>
      </c>
      <c r="AV1" s="38" t="s">
        <v>2838</v>
      </c>
      <c r="AW1" s="37" t="s">
        <v>45</v>
      </c>
    </row>
    <row r="2" spans="1:49" ht="14.25" customHeight="1" x14ac:dyDescent="0.35">
      <c r="A2" s="12">
        <v>1</v>
      </c>
      <c r="B2" s="12" t="s">
        <v>210</v>
      </c>
      <c r="C2" s="12" t="s">
        <v>1258</v>
      </c>
      <c r="D2" s="59" t="s">
        <v>211</v>
      </c>
      <c r="E2" s="12"/>
      <c r="F2" s="13" t="s">
        <v>50</v>
      </c>
      <c r="G2" s="13" t="s">
        <v>51</v>
      </c>
      <c r="H2" s="13" t="s">
        <v>108</v>
      </c>
      <c r="I2" s="13" t="s">
        <v>156</v>
      </c>
      <c r="J2" s="14">
        <v>4.2</v>
      </c>
      <c r="K2" s="17"/>
      <c r="L2" s="14" t="s">
        <v>226</v>
      </c>
      <c r="M2" s="14" t="s">
        <v>1260</v>
      </c>
      <c r="N2" s="14" t="s">
        <v>85</v>
      </c>
      <c r="O2" s="17" t="s">
        <v>86</v>
      </c>
      <c r="P2" s="14"/>
      <c r="Q2" s="14"/>
      <c r="R2" s="14"/>
      <c r="S2" s="14"/>
      <c r="T2" s="14"/>
      <c r="U2" s="19">
        <v>1.7</v>
      </c>
      <c r="V2" s="14">
        <f>IF(U2 = "", "",(U2-1)*100)</f>
        <v>70</v>
      </c>
      <c r="W2" s="14">
        <v>52.12</v>
      </c>
      <c r="X2" s="14" t="s">
        <v>56</v>
      </c>
      <c r="Z2" s="14" t="s">
        <v>56</v>
      </c>
      <c r="AA2" s="14"/>
      <c r="AB2" s="14" t="s">
        <v>57</v>
      </c>
      <c r="AC2" s="14">
        <v>2009</v>
      </c>
      <c r="AD2" s="14">
        <v>2</v>
      </c>
      <c r="AE2" s="14"/>
      <c r="AF2" s="14">
        <v>4</v>
      </c>
      <c r="AG2" s="14">
        <v>2009</v>
      </c>
      <c r="AH2" s="14">
        <f t="shared" ref="AH2:AH65" si="0">IF(OR(AG2="NA",AC2="NA"),"NA",IF(OR(AC2="",AG2=""), "", AC2-AG2))</f>
        <v>0</v>
      </c>
      <c r="AI2" s="17">
        <f t="shared" ref="AI2:AI65" si="1">IF(AH2="NA", "NA",IF(OR(AH2="",AND(AD2="",AE2="")), "",AH2+AD2+AE2/12))</f>
        <v>2</v>
      </c>
      <c r="AJ2" s="14"/>
      <c r="AK2" s="14" t="s">
        <v>56</v>
      </c>
      <c r="AL2" s="13" t="s">
        <v>1261</v>
      </c>
      <c r="AM2" s="12">
        <v>2015</v>
      </c>
      <c r="AN2" s="12" t="s">
        <v>183</v>
      </c>
      <c r="AO2" s="12"/>
      <c r="AP2" s="12"/>
      <c r="AQ2" s="12" t="s">
        <v>56</v>
      </c>
      <c r="AR2" s="12" t="s">
        <v>58</v>
      </c>
      <c r="AS2" s="12" t="s">
        <v>163</v>
      </c>
      <c r="AT2" s="12" t="s">
        <v>151</v>
      </c>
      <c r="AU2" s="45" t="s">
        <v>1262</v>
      </c>
      <c r="AV2" s="15"/>
      <c r="AW2" s="12" t="str">
        <f>B2&amp;C2&amp;L2&amp;M2&amp;O2&amp;U2&amp;AL2&amp;AM2</f>
        <v>PortugalLuiz Saldanha Marine ParkDiplodus sarguswhite seabreamdensity1.7Abecasis2015</v>
      </c>
    </row>
    <row r="3" spans="1:49" ht="14.25" customHeight="1" x14ac:dyDescent="0.35">
      <c r="A3" s="12">
        <v>2</v>
      </c>
      <c r="B3" s="12" t="s">
        <v>210</v>
      </c>
      <c r="C3" s="12" t="s">
        <v>1258</v>
      </c>
      <c r="D3" s="59" t="s">
        <v>211</v>
      </c>
      <c r="E3" s="12"/>
      <c r="F3" s="13" t="s">
        <v>50</v>
      </c>
      <c r="G3" s="13" t="s">
        <v>51</v>
      </c>
      <c r="H3" s="13" t="s">
        <v>108</v>
      </c>
      <c r="I3" s="13" t="s">
        <v>156</v>
      </c>
      <c r="J3" s="14">
        <v>4.2</v>
      </c>
      <c r="K3" s="14"/>
      <c r="L3" s="14" t="s">
        <v>226</v>
      </c>
      <c r="M3" s="14" t="s">
        <v>1260</v>
      </c>
      <c r="N3" s="14" t="s">
        <v>85</v>
      </c>
      <c r="O3" s="17" t="s">
        <v>70</v>
      </c>
      <c r="P3" s="14"/>
      <c r="Q3" s="14"/>
      <c r="R3" s="14"/>
      <c r="S3" s="14"/>
      <c r="T3" s="14"/>
      <c r="U3" s="19">
        <v>1.9</v>
      </c>
      <c r="V3" s="14">
        <f>IF(U3 = "", "",(U3-1)*100)</f>
        <v>89.999999999999986</v>
      </c>
      <c r="W3" s="14">
        <v>76.209999999999994</v>
      </c>
      <c r="X3" s="14" t="s">
        <v>56</v>
      </c>
      <c r="Z3" s="14" t="s">
        <v>56</v>
      </c>
      <c r="AA3" s="14"/>
      <c r="AB3" s="14" t="s">
        <v>57</v>
      </c>
      <c r="AC3" s="14">
        <v>2009</v>
      </c>
      <c r="AD3" s="14">
        <v>2</v>
      </c>
      <c r="AE3" s="14"/>
      <c r="AF3" s="14">
        <v>4</v>
      </c>
      <c r="AG3" s="14">
        <v>2009</v>
      </c>
      <c r="AH3" s="14">
        <f t="shared" si="0"/>
        <v>0</v>
      </c>
      <c r="AI3" s="17">
        <f t="shared" si="1"/>
        <v>2</v>
      </c>
      <c r="AJ3" s="14"/>
      <c r="AK3" s="14" t="s">
        <v>56</v>
      </c>
      <c r="AL3" s="13" t="s">
        <v>1261</v>
      </c>
      <c r="AM3" s="12">
        <v>2015</v>
      </c>
      <c r="AN3" s="12" t="s">
        <v>183</v>
      </c>
      <c r="AO3" s="12"/>
      <c r="AP3" s="12"/>
      <c r="AQ3" s="12" t="s">
        <v>56</v>
      </c>
      <c r="AR3" s="12" t="s">
        <v>58</v>
      </c>
      <c r="AS3" s="12" t="s">
        <v>163</v>
      </c>
      <c r="AT3" s="12" t="s">
        <v>151</v>
      </c>
      <c r="AU3" s="45" t="s">
        <v>1263</v>
      </c>
      <c r="AV3" s="15"/>
      <c r="AW3" s="12" t="str">
        <f>B3&amp;C3&amp;L3&amp;M3&amp;O3&amp;U3&amp;AL3&amp;AM3</f>
        <v>PortugalLuiz Saldanha Marine ParkDiplodus sarguswhite seabreambiomassden1.9Abecasis2015</v>
      </c>
    </row>
    <row r="4" spans="1:49" ht="14.25" customHeight="1" x14ac:dyDescent="0.35">
      <c r="A4" s="12">
        <v>3</v>
      </c>
      <c r="B4" s="12" t="s">
        <v>1527</v>
      </c>
      <c r="C4" s="12" t="s">
        <v>2741</v>
      </c>
      <c r="D4" s="12" t="s">
        <v>2740</v>
      </c>
      <c r="E4" s="12"/>
      <c r="F4" s="13" t="s">
        <v>480</v>
      </c>
      <c r="G4" s="13" t="s">
        <v>51</v>
      </c>
      <c r="H4" s="13" t="s">
        <v>481</v>
      </c>
      <c r="I4" s="13" t="s">
        <v>156</v>
      </c>
      <c r="J4" s="14">
        <v>1.79</v>
      </c>
      <c r="K4" s="17"/>
      <c r="L4" s="14" t="s">
        <v>226</v>
      </c>
      <c r="M4" s="14" t="s">
        <v>1260</v>
      </c>
      <c r="N4" s="14" t="s">
        <v>85</v>
      </c>
      <c r="O4" s="17" t="s">
        <v>70</v>
      </c>
      <c r="P4" s="14"/>
      <c r="Q4" s="14"/>
      <c r="R4" s="14"/>
      <c r="S4" s="14" t="e">
        <f>11.45*(#REF!)</f>
        <v>#REF!</v>
      </c>
      <c r="T4" s="14" t="e">
        <f>58.5*#REF!</f>
        <v>#REF!</v>
      </c>
      <c r="U4" s="19" t="str">
        <f t="shared" ref="U4:U35" si="2">IFERROR(IF(AND(Q4="",R4="",S4="",T4=""),"",IF(AND(Q4&lt;&gt;"",R4&lt;&gt;"",S4&lt;&gt;"",T4&lt;&gt;""),(T4/R4)/(S4/Q4),IF(AND(Q4&lt;&gt;"",R4&lt;&gt;""),R4/Q4,IF(AND(S4&lt;&gt;"",T4&lt;&gt;""),T4/S4,IF(AND(Q4&lt;&gt;"",S4&lt;&gt;""),Q4/S4,IF(AND(R4&lt;&gt;"",T4&lt;&gt;""),T4/R4)))))), "N/A")</f>
        <v>N/A</v>
      </c>
      <c r="V4" s="41" t="str">
        <f t="shared" ref="V4:V67" si="3">IFERROR(IF(U4 = "", "",(U4-1)*100),"N/A")</f>
        <v>N/A</v>
      </c>
      <c r="W4" s="14">
        <v>631.16999999999996</v>
      </c>
      <c r="X4" s="14" t="s">
        <v>56</v>
      </c>
      <c r="Z4" s="14" t="s">
        <v>56</v>
      </c>
      <c r="AA4" s="14"/>
      <c r="AB4" s="14" t="s">
        <v>57</v>
      </c>
      <c r="AC4" s="14">
        <v>2010</v>
      </c>
      <c r="AD4" s="14">
        <v>0</v>
      </c>
      <c r="AE4" s="14">
        <v>1</v>
      </c>
      <c r="AF4" s="14">
        <v>0.9</v>
      </c>
      <c r="AG4" s="14">
        <v>2001</v>
      </c>
      <c r="AH4" s="14">
        <f t="shared" si="0"/>
        <v>9</v>
      </c>
      <c r="AI4" s="17">
        <f t="shared" si="1"/>
        <v>9.0833333333333339</v>
      </c>
      <c r="AJ4" s="14">
        <v>9</v>
      </c>
      <c r="AK4" s="14" t="s">
        <v>56</v>
      </c>
      <c r="AL4" s="13" t="s">
        <v>1999</v>
      </c>
      <c r="AM4" s="12">
        <v>2012</v>
      </c>
      <c r="AN4" s="12" t="s">
        <v>150</v>
      </c>
      <c r="AO4" s="12" t="s">
        <v>56</v>
      </c>
      <c r="AP4" s="12"/>
      <c r="AQ4" s="12" t="s">
        <v>56</v>
      </c>
      <c r="AR4" s="12" t="s">
        <v>58</v>
      </c>
      <c r="AS4" s="12" t="s">
        <v>258</v>
      </c>
      <c r="AT4" s="12" t="s">
        <v>151</v>
      </c>
      <c r="AU4" s="45" t="s">
        <v>2742</v>
      </c>
      <c r="AV4" s="15"/>
      <c r="AW4" s="12" t="str">
        <f>B4&amp;C4&amp;L4&amp;M4&amp;O4&amp;U4&amp;AL4&amp;AM4</f>
        <v>ItalyTorre Guaceto Zone ADiplodus sarguswhite seabreambiomassdenN/ADi Franco2012</v>
      </c>
    </row>
    <row r="5" spans="1:49" ht="14.15" customHeight="1" x14ac:dyDescent="0.35">
      <c r="A5" s="12">
        <v>4</v>
      </c>
      <c r="B5" s="12" t="s">
        <v>1527</v>
      </c>
      <c r="C5" s="12" t="s">
        <v>2741</v>
      </c>
      <c r="D5" s="12" t="s">
        <v>2740</v>
      </c>
      <c r="E5" s="12"/>
      <c r="F5" s="13" t="s">
        <v>480</v>
      </c>
      <c r="G5" s="13" t="s">
        <v>51</v>
      </c>
      <c r="H5" s="13" t="s">
        <v>481</v>
      </c>
      <c r="I5" s="13" t="s">
        <v>156</v>
      </c>
      <c r="J5" s="14">
        <v>1.79</v>
      </c>
      <c r="K5" s="17"/>
      <c r="L5" s="14" t="s">
        <v>226</v>
      </c>
      <c r="M5" s="14" t="s">
        <v>1260</v>
      </c>
      <c r="N5" s="14" t="s">
        <v>85</v>
      </c>
      <c r="O5" s="17" t="s">
        <v>86</v>
      </c>
      <c r="P5" s="14"/>
      <c r="Q5" s="14"/>
      <c r="R5" s="14"/>
      <c r="S5" s="14" t="e">
        <f>(#REF!)*8.5</f>
        <v>#REF!</v>
      </c>
      <c r="T5" s="14" t="e">
        <f>122*#REF!</f>
        <v>#REF!</v>
      </c>
      <c r="U5" s="19" t="str">
        <f t="shared" si="2"/>
        <v>N/A</v>
      </c>
      <c r="V5" s="41" t="str">
        <f t="shared" si="3"/>
        <v>N/A</v>
      </c>
      <c r="W5" s="14">
        <v>1324</v>
      </c>
      <c r="X5" s="14" t="s">
        <v>56</v>
      </c>
      <c r="Z5" s="14" t="s">
        <v>56</v>
      </c>
      <c r="AA5" s="14"/>
      <c r="AB5" s="14" t="s">
        <v>57</v>
      </c>
      <c r="AC5" s="14">
        <v>2010</v>
      </c>
      <c r="AD5" s="14">
        <v>0</v>
      </c>
      <c r="AE5" s="14">
        <v>1</v>
      </c>
      <c r="AF5" s="14">
        <v>0.9</v>
      </c>
      <c r="AG5" s="14">
        <v>2001</v>
      </c>
      <c r="AH5" s="14">
        <f t="shared" si="0"/>
        <v>9</v>
      </c>
      <c r="AI5" s="17">
        <f t="shared" si="1"/>
        <v>9.0833333333333339</v>
      </c>
      <c r="AJ5" s="14">
        <v>9</v>
      </c>
      <c r="AK5" s="14" t="s">
        <v>56</v>
      </c>
      <c r="AL5" s="13" t="s">
        <v>1999</v>
      </c>
      <c r="AM5" s="12">
        <v>2012</v>
      </c>
      <c r="AN5" s="12" t="s">
        <v>150</v>
      </c>
      <c r="AO5" s="12" t="s">
        <v>56</v>
      </c>
      <c r="AP5" s="12"/>
      <c r="AQ5" s="12" t="s">
        <v>56</v>
      </c>
      <c r="AR5" s="12" t="s">
        <v>58</v>
      </c>
      <c r="AS5" s="12" t="s">
        <v>258</v>
      </c>
      <c r="AT5" s="12" t="s">
        <v>151</v>
      </c>
      <c r="AU5" s="45" t="s">
        <v>2742</v>
      </c>
      <c r="AV5" s="15"/>
      <c r="AW5" s="12" t="str">
        <f>B5&amp;C5&amp;L5&amp;M5&amp;O5&amp;U5&amp;AL5&amp;AM5</f>
        <v>ItalyTorre Guaceto Zone ADiplodus sarguswhite seabreamdensityN/ADi Franco2012</v>
      </c>
    </row>
    <row r="6" spans="1:49" ht="14.25" customHeight="1" x14ac:dyDescent="0.35">
      <c r="A6" s="12">
        <v>5</v>
      </c>
      <c r="B6" s="12" t="s">
        <v>336</v>
      </c>
      <c r="C6" s="12" t="s">
        <v>337</v>
      </c>
      <c r="D6" s="15" t="s">
        <v>337</v>
      </c>
      <c r="E6" s="12" t="s">
        <v>405</v>
      </c>
      <c r="F6" s="13" t="s">
        <v>339</v>
      </c>
      <c r="G6" s="13" t="s">
        <v>51</v>
      </c>
      <c r="H6" s="13" t="s">
        <v>108</v>
      </c>
      <c r="I6" s="13" t="s">
        <v>156</v>
      </c>
      <c r="J6" s="14">
        <f t="shared" ref="J6:J12" si="4">68*0.8</f>
        <v>54.400000000000006</v>
      </c>
      <c r="K6" s="17"/>
      <c r="L6" s="14"/>
      <c r="M6" s="14" t="s">
        <v>406</v>
      </c>
      <c r="N6" s="14" t="s">
        <v>407</v>
      </c>
      <c r="O6" s="17" t="s">
        <v>104</v>
      </c>
      <c r="P6" s="14" t="s">
        <v>408</v>
      </c>
      <c r="Q6" s="14"/>
      <c r="R6" s="14">
        <v>21</v>
      </c>
      <c r="S6" s="14"/>
      <c r="T6" s="14">
        <v>19</v>
      </c>
      <c r="U6" s="19">
        <f t="shared" si="2"/>
        <v>0.90476190476190477</v>
      </c>
      <c r="V6" s="41">
        <f t="shared" si="3"/>
        <v>-9.5238095238095237</v>
      </c>
      <c r="W6" s="14"/>
      <c r="X6" s="14" t="s">
        <v>56</v>
      </c>
      <c r="Z6" s="14" t="s">
        <v>56</v>
      </c>
      <c r="AA6" s="14"/>
      <c r="AB6" s="14" t="s">
        <v>192</v>
      </c>
      <c r="AC6" s="14">
        <v>2003</v>
      </c>
      <c r="AD6" s="14">
        <v>4</v>
      </c>
      <c r="AE6" s="14"/>
      <c r="AF6" s="14">
        <v>4</v>
      </c>
      <c r="AG6" s="14">
        <v>2004</v>
      </c>
      <c r="AH6" s="14">
        <f t="shared" si="0"/>
        <v>-1</v>
      </c>
      <c r="AI6" s="17">
        <f t="shared" si="1"/>
        <v>3</v>
      </c>
      <c r="AJ6" s="14">
        <v>3</v>
      </c>
      <c r="AK6" s="14" t="s">
        <v>58</v>
      </c>
      <c r="AL6" s="13" t="s">
        <v>409</v>
      </c>
      <c r="AM6" s="12">
        <v>2014</v>
      </c>
      <c r="AN6" s="15" t="s">
        <v>343</v>
      </c>
      <c r="AO6" s="12" t="s">
        <v>56</v>
      </c>
      <c r="AP6" s="12"/>
      <c r="AQ6" s="12" t="s">
        <v>56</v>
      </c>
      <c r="AR6" s="12" t="s">
        <v>58</v>
      </c>
      <c r="AS6" s="12" t="s">
        <v>163</v>
      </c>
      <c r="AT6" s="12" t="s">
        <v>151</v>
      </c>
      <c r="AU6" s="45" t="s">
        <v>410</v>
      </c>
      <c r="AV6" s="15"/>
      <c r="AW6" s="12" t="str">
        <f>B6&amp;C6&amp;L6&amp;M6&amp;O6&amp;U6&amp;AL6&amp;AM6</f>
        <v>SenegalBamboung MPAScavenging-grazing herbivoressize0.904761904761905Ecoutin2014</v>
      </c>
    </row>
    <row r="7" spans="1:49" ht="14" customHeight="1" x14ac:dyDescent="0.35">
      <c r="A7" s="12">
        <v>6</v>
      </c>
      <c r="B7" s="12" t="s">
        <v>336</v>
      </c>
      <c r="C7" s="15" t="s">
        <v>337</v>
      </c>
      <c r="D7" s="15" t="s">
        <v>337</v>
      </c>
      <c r="E7" s="15" t="s">
        <v>405</v>
      </c>
      <c r="F7" s="13" t="s">
        <v>339</v>
      </c>
      <c r="G7" s="13" t="s">
        <v>51</v>
      </c>
      <c r="H7" s="16" t="s">
        <v>108</v>
      </c>
      <c r="I7" s="16" t="s">
        <v>156</v>
      </c>
      <c r="J7" s="17">
        <f t="shared" si="4"/>
        <v>54.400000000000006</v>
      </c>
      <c r="K7" s="17"/>
      <c r="L7" s="17"/>
      <c r="M7" s="17" t="s">
        <v>411</v>
      </c>
      <c r="N7" s="17" t="s">
        <v>407</v>
      </c>
      <c r="O7" s="17" t="s">
        <v>104</v>
      </c>
      <c r="P7" s="17" t="s">
        <v>408</v>
      </c>
      <c r="Q7" s="17"/>
      <c r="R7" s="17">
        <v>11</v>
      </c>
      <c r="S7" s="17"/>
      <c r="T7" s="17">
        <v>9</v>
      </c>
      <c r="U7" s="20">
        <f t="shared" si="2"/>
        <v>0.81818181818181823</v>
      </c>
      <c r="V7" s="22">
        <f t="shared" si="3"/>
        <v>-18.181818181818176</v>
      </c>
      <c r="W7" s="17"/>
      <c r="X7" s="14" t="s">
        <v>56</v>
      </c>
      <c r="Z7" s="17" t="s">
        <v>56</v>
      </c>
      <c r="AA7" s="17"/>
      <c r="AB7" s="17" t="s">
        <v>192</v>
      </c>
      <c r="AC7" s="17">
        <v>2003</v>
      </c>
      <c r="AD7" s="17">
        <v>4</v>
      </c>
      <c r="AE7" s="17"/>
      <c r="AF7" s="17">
        <v>4</v>
      </c>
      <c r="AG7" s="17">
        <v>2004</v>
      </c>
      <c r="AH7" s="14">
        <f t="shared" si="0"/>
        <v>-1</v>
      </c>
      <c r="AI7" s="17">
        <f t="shared" si="1"/>
        <v>3</v>
      </c>
      <c r="AJ7" s="17">
        <v>4</v>
      </c>
      <c r="AK7" s="17" t="s">
        <v>58</v>
      </c>
      <c r="AL7" s="16" t="s">
        <v>409</v>
      </c>
      <c r="AM7" s="15">
        <v>2014</v>
      </c>
      <c r="AN7" s="15" t="s">
        <v>343</v>
      </c>
      <c r="AO7" s="15" t="s">
        <v>56</v>
      </c>
      <c r="AP7" s="15"/>
      <c r="AQ7" s="15" t="s">
        <v>56</v>
      </c>
      <c r="AR7" s="15" t="s">
        <v>58</v>
      </c>
      <c r="AS7" s="15" t="s">
        <v>163</v>
      </c>
      <c r="AT7" s="15" t="s">
        <v>151</v>
      </c>
      <c r="AU7" s="45" t="s">
        <v>410</v>
      </c>
      <c r="AV7" s="15"/>
      <c r="AW7" s="12" t="str">
        <f>B7&amp;C7&amp;L7&amp;M7&amp;O7&amp;U7&amp;AL7&amp;AM7</f>
        <v>SenegalBamboung MPAPhytoplankton herbivoressize0.818181818181818Ecoutin2014</v>
      </c>
    </row>
    <row r="8" spans="1:49" ht="14.25" customHeight="1" x14ac:dyDescent="0.35">
      <c r="A8" s="12">
        <v>7</v>
      </c>
      <c r="B8" s="12" t="s">
        <v>336</v>
      </c>
      <c r="C8" s="15" t="s">
        <v>337</v>
      </c>
      <c r="D8" s="15" t="s">
        <v>337</v>
      </c>
      <c r="E8" s="15" t="s">
        <v>405</v>
      </c>
      <c r="F8" s="16" t="s">
        <v>339</v>
      </c>
      <c r="G8" s="16" t="s">
        <v>51</v>
      </c>
      <c r="H8" s="16" t="s">
        <v>108</v>
      </c>
      <c r="I8" s="16" t="s">
        <v>156</v>
      </c>
      <c r="J8" s="17">
        <f t="shared" si="4"/>
        <v>54.400000000000006</v>
      </c>
      <c r="K8" s="17"/>
      <c r="L8" s="17"/>
      <c r="M8" s="17" t="s">
        <v>412</v>
      </c>
      <c r="N8" s="17" t="s">
        <v>407</v>
      </c>
      <c r="O8" s="17" t="s">
        <v>104</v>
      </c>
      <c r="P8" s="17" t="s">
        <v>408</v>
      </c>
      <c r="Q8" s="17"/>
      <c r="R8" s="17">
        <v>23.5</v>
      </c>
      <c r="S8" s="17"/>
      <c r="T8" s="17">
        <v>20</v>
      </c>
      <c r="U8" s="20">
        <f t="shared" si="2"/>
        <v>0.85106382978723405</v>
      </c>
      <c r="V8" s="22">
        <f t="shared" si="3"/>
        <v>-14.893617021276595</v>
      </c>
      <c r="W8" s="17"/>
      <c r="X8" s="14" t="s">
        <v>56</v>
      </c>
      <c r="Z8" s="17" t="s">
        <v>56</v>
      </c>
      <c r="AA8" s="17"/>
      <c r="AB8" s="17" t="s">
        <v>192</v>
      </c>
      <c r="AC8" s="17">
        <v>2003</v>
      </c>
      <c r="AD8" s="17">
        <v>4</v>
      </c>
      <c r="AE8" s="17"/>
      <c r="AF8" s="17">
        <v>4</v>
      </c>
      <c r="AG8" s="17">
        <v>2004</v>
      </c>
      <c r="AH8" s="14">
        <f t="shared" si="0"/>
        <v>-1</v>
      </c>
      <c r="AI8" s="17">
        <f t="shared" si="1"/>
        <v>3</v>
      </c>
      <c r="AJ8" s="17">
        <v>5</v>
      </c>
      <c r="AK8" s="17" t="s">
        <v>58</v>
      </c>
      <c r="AL8" s="16" t="s">
        <v>409</v>
      </c>
      <c r="AM8" s="15">
        <v>2014</v>
      </c>
      <c r="AN8" s="15" t="s">
        <v>343</v>
      </c>
      <c r="AO8" s="15" t="s">
        <v>56</v>
      </c>
      <c r="AP8" s="15"/>
      <c r="AQ8" s="15" t="s">
        <v>56</v>
      </c>
      <c r="AR8" s="15" t="s">
        <v>58</v>
      </c>
      <c r="AS8" s="15" t="s">
        <v>163</v>
      </c>
      <c r="AT8" s="15" t="s">
        <v>151</v>
      </c>
      <c r="AU8" s="45" t="s">
        <v>410</v>
      </c>
      <c r="AV8" s="15"/>
      <c r="AW8" s="12" t="str">
        <f>B8&amp;C8&amp;L8&amp;M8&amp;O8&amp;U8&amp;AL8&amp;AM8</f>
        <v>SenegalBamboung MPAZooplankton predatorssize0.851063829787234Ecoutin2014</v>
      </c>
    </row>
    <row r="9" spans="1:49" ht="14.25" customHeight="1" x14ac:dyDescent="0.35">
      <c r="A9" s="12">
        <v>8</v>
      </c>
      <c r="B9" s="12" t="s">
        <v>336</v>
      </c>
      <c r="C9" s="12" t="s">
        <v>337</v>
      </c>
      <c r="D9" s="15" t="s">
        <v>337</v>
      </c>
      <c r="E9" s="12" t="s">
        <v>405</v>
      </c>
      <c r="F9" s="13" t="s">
        <v>339</v>
      </c>
      <c r="G9" s="13" t="s">
        <v>51</v>
      </c>
      <c r="H9" s="13" t="s">
        <v>108</v>
      </c>
      <c r="I9" s="13" t="s">
        <v>156</v>
      </c>
      <c r="J9" s="14">
        <f t="shared" si="4"/>
        <v>54.400000000000006</v>
      </c>
      <c r="K9" s="17"/>
      <c r="L9" s="14"/>
      <c r="M9" s="14" t="s">
        <v>2803</v>
      </c>
      <c r="N9" s="14" t="s">
        <v>407</v>
      </c>
      <c r="O9" s="17" t="s">
        <v>104</v>
      </c>
      <c r="P9" s="14" t="s">
        <v>408</v>
      </c>
      <c r="Q9" s="14"/>
      <c r="R9" s="14">
        <v>11</v>
      </c>
      <c r="S9" s="14"/>
      <c r="T9" s="14">
        <v>10</v>
      </c>
      <c r="U9" s="19">
        <f t="shared" si="2"/>
        <v>0.90909090909090906</v>
      </c>
      <c r="V9" s="41">
        <f t="shared" si="3"/>
        <v>-9.0909090909090935</v>
      </c>
      <c r="W9" s="14"/>
      <c r="X9" s="14" t="s">
        <v>56</v>
      </c>
      <c r="Z9" s="14" t="s">
        <v>56</v>
      </c>
      <c r="AA9" s="14"/>
      <c r="AB9" s="14" t="s">
        <v>192</v>
      </c>
      <c r="AC9" s="14">
        <v>2003</v>
      </c>
      <c r="AD9" s="14">
        <v>4</v>
      </c>
      <c r="AE9" s="14"/>
      <c r="AF9" s="14">
        <v>4</v>
      </c>
      <c r="AG9" s="14">
        <v>2004</v>
      </c>
      <c r="AH9" s="14">
        <f t="shared" si="0"/>
        <v>-1</v>
      </c>
      <c r="AI9" s="17">
        <f t="shared" si="1"/>
        <v>3</v>
      </c>
      <c r="AJ9" s="14">
        <v>6</v>
      </c>
      <c r="AK9" s="14" t="s">
        <v>58</v>
      </c>
      <c r="AL9" s="13" t="s">
        <v>409</v>
      </c>
      <c r="AM9" s="12">
        <v>2014</v>
      </c>
      <c r="AN9" s="15" t="s">
        <v>343</v>
      </c>
      <c r="AO9" s="12" t="s">
        <v>56</v>
      </c>
      <c r="AP9" s="12"/>
      <c r="AQ9" s="12" t="s">
        <v>56</v>
      </c>
      <c r="AR9" s="12" t="s">
        <v>58</v>
      </c>
      <c r="AS9" s="12" t="s">
        <v>163</v>
      </c>
      <c r="AT9" s="12" t="s">
        <v>151</v>
      </c>
      <c r="AU9" s="45" t="s">
        <v>410</v>
      </c>
      <c r="AV9" s="15"/>
      <c r="AW9" s="12" t="str">
        <f>B9&amp;C9&amp;L9&amp;M9&amp;O9&amp;U9&amp;AL9&amp;AM9</f>
        <v>SenegalBamboung MPAbenthophagous predatorssize0.909090909090909Ecoutin2014</v>
      </c>
    </row>
    <row r="10" spans="1:49" ht="14.25" customHeight="1" x14ac:dyDescent="0.35">
      <c r="A10" s="12">
        <v>9</v>
      </c>
      <c r="B10" s="12" t="s">
        <v>336</v>
      </c>
      <c r="C10" s="12" t="s">
        <v>337</v>
      </c>
      <c r="D10" s="15" t="s">
        <v>337</v>
      </c>
      <c r="E10" s="12" t="s">
        <v>405</v>
      </c>
      <c r="F10" s="13" t="s">
        <v>339</v>
      </c>
      <c r="G10" s="13" t="s">
        <v>51</v>
      </c>
      <c r="H10" s="13" t="s">
        <v>108</v>
      </c>
      <c r="I10" s="13" t="s">
        <v>156</v>
      </c>
      <c r="J10" s="14">
        <f t="shared" si="4"/>
        <v>54.400000000000006</v>
      </c>
      <c r="K10" s="17"/>
      <c r="L10" s="14"/>
      <c r="M10" s="14" t="s">
        <v>413</v>
      </c>
      <c r="N10" s="14" t="s">
        <v>407</v>
      </c>
      <c r="O10" s="17" t="s">
        <v>104</v>
      </c>
      <c r="P10" s="14" t="s">
        <v>408</v>
      </c>
      <c r="Q10" s="14"/>
      <c r="R10" s="14">
        <v>10</v>
      </c>
      <c r="S10" s="14"/>
      <c r="T10" s="14">
        <v>9</v>
      </c>
      <c r="U10" s="19">
        <f t="shared" si="2"/>
        <v>0.9</v>
      </c>
      <c r="V10" s="41">
        <f t="shared" si="3"/>
        <v>-9.9999999999999982</v>
      </c>
      <c r="W10" s="14"/>
      <c r="X10" s="14" t="s">
        <v>56</v>
      </c>
      <c r="Z10" s="14" t="s">
        <v>56</v>
      </c>
      <c r="AA10" s="14"/>
      <c r="AB10" s="14" t="s">
        <v>192</v>
      </c>
      <c r="AC10" s="14">
        <v>2003</v>
      </c>
      <c r="AD10" s="14">
        <v>4</v>
      </c>
      <c r="AE10" s="14"/>
      <c r="AF10" s="14">
        <v>4</v>
      </c>
      <c r="AG10" s="14">
        <v>2004</v>
      </c>
      <c r="AH10" s="14">
        <f t="shared" si="0"/>
        <v>-1</v>
      </c>
      <c r="AI10" s="17">
        <f t="shared" si="1"/>
        <v>3</v>
      </c>
      <c r="AJ10" s="14">
        <v>7</v>
      </c>
      <c r="AK10" s="14" t="s">
        <v>58</v>
      </c>
      <c r="AL10" s="13" t="s">
        <v>409</v>
      </c>
      <c r="AM10" s="12">
        <v>2014</v>
      </c>
      <c r="AN10" s="12" t="s">
        <v>343</v>
      </c>
      <c r="AO10" s="12" t="s">
        <v>56</v>
      </c>
      <c r="AP10" s="12"/>
      <c r="AQ10" s="12" t="s">
        <v>56</v>
      </c>
      <c r="AR10" s="12" t="s">
        <v>58</v>
      </c>
      <c r="AS10" s="12" t="s">
        <v>163</v>
      </c>
      <c r="AT10" s="12" t="s">
        <v>151</v>
      </c>
      <c r="AU10" s="45" t="s">
        <v>410</v>
      </c>
      <c r="AV10" s="15"/>
      <c r="AW10" s="12" t="str">
        <f>B10&amp;C10&amp;L10&amp;M10&amp;O10&amp;U10&amp;AL10&amp;AM10</f>
        <v>SenegalBamboung MPAFirst-level generalistsize0.9Ecoutin2014</v>
      </c>
    </row>
    <row r="11" spans="1:49" ht="14.25" customHeight="1" x14ac:dyDescent="0.35">
      <c r="A11" s="12">
        <v>10</v>
      </c>
      <c r="B11" s="12" t="s">
        <v>336</v>
      </c>
      <c r="C11" s="15" t="s">
        <v>337</v>
      </c>
      <c r="D11" s="15" t="s">
        <v>337</v>
      </c>
      <c r="E11" s="15" t="s">
        <v>405</v>
      </c>
      <c r="F11" s="13" t="s">
        <v>339</v>
      </c>
      <c r="G11" s="13" t="s">
        <v>51</v>
      </c>
      <c r="H11" s="16" t="s">
        <v>108</v>
      </c>
      <c r="I11" s="16" t="s">
        <v>156</v>
      </c>
      <c r="J11" s="17">
        <f t="shared" si="4"/>
        <v>54.400000000000006</v>
      </c>
      <c r="K11" s="17"/>
      <c r="L11" s="17"/>
      <c r="M11" s="17" t="s">
        <v>414</v>
      </c>
      <c r="N11" s="17" t="s">
        <v>407</v>
      </c>
      <c r="O11" s="17" t="s">
        <v>104</v>
      </c>
      <c r="P11" s="17" t="s">
        <v>408</v>
      </c>
      <c r="Q11" s="17"/>
      <c r="R11" s="17">
        <v>16</v>
      </c>
      <c r="S11" s="17"/>
      <c r="T11" s="17">
        <v>28</v>
      </c>
      <c r="U11" s="20">
        <f t="shared" si="2"/>
        <v>1.75</v>
      </c>
      <c r="V11" s="22">
        <f t="shared" si="3"/>
        <v>75</v>
      </c>
      <c r="W11" s="17"/>
      <c r="X11" s="14" t="s">
        <v>56</v>
      </c>
      <c r="Z11" s="17" t="s">
        <v>56</v>
      </c>
      <c r="AA11" s="17"/>
      <c r="AB11" s="17" t="s">
        <v>192</v>
      </c>
      <c r="AC11" s="17">
        <v>2003</v>
      </c>
      <c r="AD11" s="17">
        <v>4</v>
      </c>
      <c r="AE11" s="17"/>
      <c r="AF11" s="17">
        <v>4</v>
      </c>
      <c r="AG11" s="17">
        <v>2004</v>
      </c>
      <c r="AH11" s="14">
        <f t="shared" si="0"/>
        <v>-1</v>
      </c>
      <c r="AI11" s="17">
        <f t="shared" si="1"/>
        <v>3</v>
      </c>
      <c r="AJ11" s="17">
        <v>8</v>
      </c>
      <c r="AK11" s="17" t="s">
        <v>58</v>
      </c>
      <c r="AL11" s="16" t="s">
        <v>409</v>
      </c>
      <c r="AM11" s="15">
        <v>2014</v>
      </c>
      <c r="AN11" s="15" t="s">
        <v>343</v>
      </c>
      <c r="AO11" s="15" t="s">
        <v>56</v>
      </c>
      <c r="AP11" s="15"/>
      <c r="AQ11" s="15" t="s">
        <v>56</v>
      </c>
      <c r="AR11" s="15" t="s">
        <v>58</v>
      </c>
      <c r="AS11" s="15" t="s">
        <v>163</v>
      </c>
      <c r="AT11" s="15" t="s">
        <v>151</v>
      </c>
      <c r="AU11" s="45" t="s">
        <v>410</v>
      </c>
      <c r="AV11" s="15"/>
      <c r="AW11" s="12" t="str">
        <f>B11&amp;C11&amp;L11&amp;M11&amp;O11&amp;U11&amp;AL11&amp;AM11</f>
        <v>SenegalBamboung MPASecond-level generalistsize1.75Ecoutin2014</v>
      </c>
    </row>
    <row r="12" spans="1:49" ht="14.25" customHeight="1" x14ac:dyDescent="0.35">
      <c r="A12" s="12">
        <v>11</v>
      </c>
      <c r="B12" s="12" t="s">
        <v>336</v>
      </c>
      <c r="C12" s="15" t="s">
        <v>337</v>
      </c>
      <c r="D12" s="15" t="s">
        <v>337</v>
      </c>
      <c r="E12" s="12" t="s">
        <v>405</v>
      </c>
      <c r="F12" s="13" t="s">
        <v>339</v>
      </c>
      <c r="G12" s="13" t="s">
        <v>51</v>
      </c>
      <c r="H12" s="16" t="s">
        <v>108</v>
      </c>
      <c r="I12" s="16" t="s">
        <v>156</v>
      </c>
      <c r="J12" s="17">
        <f t="shared" si="4"/>
        <v>54.400000000000006</v>
      </c>
      <c r="K12" s="17"/>
      <c r="L12" s="17"/>
      <c r="M12" s="17" t="s">
        <v>415</v>
      </c>
      <c r="N12" s="17" t="s">
        <v>407</v>
      </c>
      <c r="O12" s="17" t="s">
        <v>104</v>
      </c>
      <c r="P12" s="17" t="s">
        <v>408</v>
      </c>
      <c r="Q12" s="17"/>
      <c r="R12" s="17">
        <v>36.5</v>
      </c>
      <c r="S12" s="17"/>
      <c r="T12" s="17">
        <v>35.5</v>
      </c>
      <c r="U12" s="19">
        <f t="shared" si="2"/>
        <v>0.9726027397260274</v>
      </c>
      <c r="V12" s="41">
        <f t="shared" si="3"/>
        <v>-2.7397260273972601</v>
      </c>
      <c r="W12" s="14"/>
      <c r="X12" s="14" t="s">
        <v>56</v>
      </c>
      <c r="Z12" s="17" t="s">
        <v>56</v>
      </c>
      <c r="AA12" s="17"/>
      <c r="AB12" s="17" t="s">
        <v>192</v>
      </c>
      <c r="AC12" s="17">
        <v>2003</v>
      </c>
      <c r="AD12" s="17">
        <v>4</v>
      </c>
      <c r="AE12" s="17"/>
      <c r="AF12" s="17">
        <v>4</v>
      </c>
      <c r="AG12" s="17">
        <v>2004</v>
      </c>
      <c r="AH12" s="14">
        <f t="shared" si="0"/>
        <v>-1</v>
      </c>
      <c r="AI12" s="17">
        <f t="shared" si="1"/>
        <v>3</v>
      </c>
      <c r="AJ12" s="17">
        <v>9</v>
      </c>
      <c r="AK12" s="17" t="s">
        <v>58</v>
      </c>
      <c r="AL12" s="16" t="s">
        <v>409</v>
      </c>
      <c r="AM12" s="15">
        <v>2014</v>
      </c>
      <c r="AN12" s="12" t="s">
        <v>343</v>
      </c>
      <c r="AO12" s="15" t="s">
        <v>56</v>
      </c>
      <c r="AP12" s="15"/>
      <c r="AQ12" s="15" t="s">
        <v>56</v>
      </c>
      <c r="AR12" s="15" t="s">
        <v>58</v>
      </c>
      <c r="AS12" s="15" t="s">
        <v>163</v>
      </c>
      <c r="AT12" s="12" t="s">
        <v>151</v>
      </c>
      <c r="AU12" s="45" t="s">
        <v>410</v>
      </c>
      <c r="AV12" s="15"/>
      <c r="AW12" s="12" t="str">
        <f>B12&amp;C12&amp;L12&amp;M12&amp;O12&amp;U12&amp;AL12&amp;AM12</f>
        <v>SenegalBamboung MPASecond-level piscivorous predatorssize0.972602739726027Ecoutin2014</v>
      </c>
    </row>
    <row r="13" spans="1:49" ht="14.25" customHeight="1" x14ac:dyDescent="0.35">
      <c r="A13" s="12">
        <v>12</v>
      </c>
      <c r="B13" s="15" t="s">
        <v>477</v>
      </c>
      <c r="C13" s="43" t="s">
        <v>1363</v>
      </c>
      <c r="D13" s="43" t="s">
        <v>1375</v>
      </c>
      <c r="E13" s="12" t="s">
        <v>479</v>
      </c>
      <c r="F13" s="13" t="s">
        <v>50</v>
      </c>
      <c r="G13" s="13" t="s">
        <v>51</v>
      </c>
      <c r="H13" s="16" t="s">
        <v>481</v>
      </c>
      <c r="I13" s="16" t="s">
        <v>156</v>
      </c>
      <c r="J13" s="17">
        <v>0.94</v>
      </c>
      <c r="K13" s="17"/>
      <c r="L13" s="17" t="s">
        <v>482</v>
      </c>
      <c r="M13" s="17" t="s">
        <v>483</v>
      </c>
      <c r="N13" s="17" t="s">
        <v>85</v>
      </c>
      <c r="O13" s="17" t="s">
        <v>70</v>
      </c>
      <c r="P13" s="17"/>
      <c r="Q13" s="17"/>
      <c r="R13" s="17"/>
      <c r="S13" s="17">
        <v>1800</v>
      </c>
      <c r="T13" s="17">
        <v>27000</v>
      </c>
      <c r="U13" s="19">
        <f t="shared" si="2"/>
        <v>15</v>
      </c>
      <c r="V13" s="41">
        <f t="shared" si="3"/>
        <v>1400</v>
      </c>
      <c r="W13" s="14"/>
      <c r="X13" s="17" t="s">
        <v>56</v>
      </c>
      <c r="Z13" s="17" t="s">
        <v>56</v>
      </c>
      <c r="AA13" s="17"/>
      <c r="AB13" s="17" t="s">
        <v>57</v>
      </c>
      <c r="AC13" s="17">
        <v>1992</v>
      </c>
      <c r="AD13" s="17">
        <v>17</v>
      </c>
      <c r="AE13" s="17"/>
      <c r="AF13" s="17">
        <v>17</v>
      </c>
      <c r="AG13" s="17">
        <v>1983</v>
      </c>
      <c r="AH13" s="14">
        <f t="shared" si="0"/>
        <v>9</v>
      </c>
      <c r="AI13" s="17">
        <f t="shared" si="1"/>
        <v>26</v>
      </c>
      <c r="AJ13" s="17">
        <v>26</v>
      </c>
      <c r="AK13" s="17" t="s">
        <v>58</v>
      </c>
      <c r="AL13" s="16" t="s">
        <v>1364</v>
      </c>
      <c r="AM13" s="15">
        <v>2013</v>
      </c>
      <c r="AN13" s="12" t="s">
        <v>150</v>
      </c>
      <c r="AO13" s="15" t="s">
        <v>56</v>
      </c>
      <c r="AP13" s="15"/>
      <c r="AQ13" s="15" t="s">
        <v>56</v>
      </c>
      <c r="AR13" s="15" t="s">
        <v>58</v>
      </c>
      <c r="AS13" s="15" t="s">
        <v>163</v>
      </c>
      <c r="AT13" s="12" t="s">
        <v>151</v>
      </c>
      <c r="AU13" s="45" t="s">
        <v>1365</v>
      </c>
      <c r="AV13" s="15"/>
      <c r="AW13" s="12" t="str">
        <f>B13&amp;C13&amp;L13&amp;M13&amp;O13&amp;U13&amp;AL13&amp;AM13</f>
        <v>SpainMedes Islands Marine ReserveEpinephelus marginatusdusky grouperbiomassden15Garcia-Rubies2013</v>
      </c>
    </row>
    <row r="14" spans="1:49" ht="14.25" customHeight="1" x14ac:dyDescent="0.35">
      <c r="A14" s="12">
        <v>13</v>
      </c>
      <c r="B14" s="15" t="s">
        <v>477</v>
      </c>
      <c r="C14" s="43" t="s">
        <v>1363</v>
      </c>
      <c r="D14" s="43" t="s">
        <v>1375</v>
      </c>
      <c r="E14" s="12" t="s">
        <v>479</v>
      </c>
      <c r="F14" s="13" t="s">
        <v>50</v>
      </c>
      <c r="G14" s="13" t="s">
        <v>51</v>
      </c>
      <c r="H14" s="16" t="s">
        <v>481</v>
      </c>
      <c r="I14" s="16" t="s">
        <v>156</v>
      </c>
      <c r="J14" s="17">
        <v>0.94</v>
      </c>
      <c r="K14" s="17"/>
      <c r="L14" s="17" t="s">
        <v>498</v>
      </c>
      <c r="M14" s="17" t="s">
        <v>1366</v>
      </c>
      <c r="N14" s="17" t="s">
        <v>85</v>
      </c>
      <c r="O14" s="17" t="s">
        <v>70</v>
      </c>
      <c r="P14" s="17"/>
      <c r="Q14" s="17"/>
      <c r="R14" s="17"/>
      <c r="S14" s="17">
        <v>700</v>
      </c>
      <c r="T14" s="17">
        <v>8800</v>
      </c>
      <c r="U14" s="19">
        <f t="shared" si="2"/>
        <v>12.571428571428571</v>
      </c>
      <c r="V14" s="41">
        <f t="shared" si="3"/>
        <v>1157.1428571428571</v>
      </c>
      <c r="W14" s="14"/>
      <c r="X14" s="17" t="s">
        <v>56</v>
      </c>
      <c r="Z14" s="17" t="s">
        <v>56</v>
      </c>
      <c r="AA14" s="17"/>
      <c r="AB14" s="17" t="s">
        <v>57</v>
      </c>
      <c r="AC14" s="17">
        <v>1992</v>
      </c>
      <c r="AD14" s="17">
        <v>17</v>
      </c>
      <c r="AE14" s="17"/>
      <c r="AF14" s="17">
        <v>17</v>
      </c>
      <c r="AG14" s="17">
        <v>1983</v>
      </c>
      <c r="AH14" s="14">
        <f t="shared" si="0"/>
        <v>9</v>
      </c>
      <c r="AI14" s="17">
        <f t="shared" si="1"/>
        <v>26</v>
      </c>
      <c r="AJ14" s="17">
        <v>26</v>
      </c>
      <c r="AK14" s="17" t="s">
        <v>58</v>
      </c>
      <c r="AL14" s="16" t="s">
        <v>1364</v>
      </c>
      <c r="AM14" s="15">
        <v>2013</v>
      </c>
      <c r="AN14" s="12" t="s">
        <v>150</v>
      </c>
      <c r="AO14" s="15" t="s">
        <v>56</v>
      </c>
      <c r="AP14" s="15"/>
      <c r="AQ14" s="15" t="s">
        <v>56</v>
      </c>
      <c r="AR14" s="15" t="s">
        <v>58</v>
      </c>
      <c r="AS14" s="15" t="s">
        <v>163</v>
      </c>
      <c r="AT14" s="12" t="s">
        <v>151</v>
      </c>
      <c r="AU14" s="45" t="s">
        <v>1365</v>
      </c>
      <c r="AV14" s="15"/>
      <c r="AW14" s="12" t="str">
        <f>B14&amp;C14&amp;L14&amp;M14&amp;O14&amp;U14&amp;AL14&amp;AM14</f>
        <v>SpainMedes Islands Marine ReserveDentex dentexCommon dentexbiomassden12.5714285714286Garcia-Rubies2013</v>
      </c>
    </row>
    <row r="15" spans="1:49" ht="14.25" customHeight="1" x14ac:dyDescent="0.35">
      <c r="A15" s="12">
        <v>14</v>
      </c>
      <c r="B15" s="15" t="s">
        <v>477</v>
      </c>
      <c r="C15" s="43" t="s">
        <v>1363</v>
      </c>
      <c r="D15" s="43" t="s">
        <v>1375</v>
      </c>
      <c r="E15" s="12" t="s">
        <v>479</v>
      </c>
      <c r="F15" s="13" t="s">
        <v>50</v>
      </c>
      <c r="G15" s="13" t="s">
        <v>51</v>
      </c>
      <c r="H15" s="16" t="s">
        <v>481</v>
      </c>
      <c r="I15" s="16" t="s">
        <v>156</v>
      </c>
      <c r="J15" s="17">
        <v>0.94</v>
      </c>
      <c r="K15" s="17"/>
      <c r="L15" s="17" t="s">
        <v>1367</v>
      </c>
      <c r="M15" s="17" t="s">
        <v>1368</v>
      </c>
      <c r="N15" s="17" t="s">
        <v>85</v>
      </c>
      <c r="O15" s="17" t="s">
        <v>70</v>
      </c>
      <c r="P15" s="17"/>
      <c r="Q15" s="17"/>
      <c r="R15" s="17"/>
      <c r="S15" s="17">
        <v>100</v>
      </c>
      <c r="T15" s="17">
        <v>3400</v>
      </c>
      <c r="U15" s="19">
        <f t="shared" si="2"/>
        <v>34</v>
      </c>
      <c r="V15" s="41">
        <f t="shared" si="3"/>
        <v>3300</v>
      </c>
      <c r="W15" s="14"/>
      <c r="X15" s="17" t="s">
        <v>56</v>
      </c>
      <c r="Z15" s="17" t="s">
        <v>56</v>
      </c>
      <c r="AA15" s="17"/>
      <c r="AB15" s="17" t="s">
        <v>57</v>
      </c>
      <c r="AC15" s="17">
        <v>1992</v>
      </c>
      <c r="AD15" s="17">
        <v>17</v>
      </c>
      <c r="AE15" s="17"/>
      <c r="AF15" s="17">
        <v>17</v>
      </c>
      <c r="AG15" s="17">
        <v>1983</v>
      </c>
      <c r="AH15" s="14">
        <f t="shared" si="0"/>
        <v>9</v>
      </c>
      <c r="AI15" s="17">
        <f t="shared" si="1"/>
        <v>26</v>
      </c>
      <c r="AJ15" s="17">
        <v>26</v>
      </c>
      <c r="AK15" s="17" t="s">
        <v>58</v>
      </c>
      <c r="AL15" s="16" t="s">
        <v>1364</v>
      </c>
      <c r="AM15" s="15">
        <v>2013</v>
      </c>
      <c r="AN15" s="12" t="s">
        <v>150</v>
      </c>
      <c r="AO15" s="15" t="s">
        <v>56</v>
      </c>
      <c r="AP15" s="15"/>
      <c r="AQ15" s="15" t="s">
        <v>56</v>
      </c>
      <c r="AR15" s="15" t="s">
        <v>58</v>
      </c>
      <c r="AS15" s="15" t="s">
        <v>163</v>
      </c>
      <c r="AT15" s="12" t="s">
        <v>151</v>
      </c>
      <c r="AU15" s="45" t="s">
        <v>1365</v>
      </c>
      <c r="AV15" s="15"/>
      <c r="AW15" s="12" t="str">
        <f>B15&amp;C15&amp;L15&amp;M15&amp;O15&amp;U15&amp;AL15&amp;AM15</f>
        <v>SpainMedes Islands Marine ReserveDicentrarchus labraxEuropean bassbiomassden34Garcia-Rubies2013</v>
      </c>
    </row>
    <row r="16" spans="1:49" ht="14.25" customHeight="1" x14ac:dyDescent="0.35">
      <c r="A16" s="12">
        <v>15</v>
      </c>
      <c r="B16" s="15" t="s">
        <v>477</v>
      </c>
      <c r="C16" s="43" t="s">
        <v>1363</v>
      </c>
      <c r="D16" s="43" t="s">
        <v>1375</v>
      </c>
      <c r="E16" s="12" t="s">
        <v>479</v>
      </c>
      <c r="F16" s="13" t="s">
        <v>50</v>
      </c>
      <c r="G16" s="13" t="s">
        <v>51</v>
      </c>
      <c r="H16" s="16" t="s">
        <v>481</v>
      </c>
      <c r="I16" s="16" t="s">
        <v>156</v>
      </c>
      <c r="J16" s="17">
        <v>0.94</v>
      </c>
      <c r="K16" s="17"/>
      <c r="L16" s="17" t="s">
        <v>499</v>
      </c>
      <c r="M16" s="17" t="s">
        <v>1369</v>
      </c>
      <c r="N16" s="17" t="s">
        <v>85</v>
      </c>
      <c r="O16" s="17" t="s">
        <v>70</v>
      </c>
      <c r="P16" s="17"/>
      <c r="Q16" s="17"/>
      <c r="R16" s="17"/>
      <c r="S16" s="17">
        <v>200</v>
      </c>
      <c r="T16" s="17">
        <v>3000</v>
      </c>
      <c r="U16" s="19">
        <f t="shared" si="2"/>
        <v>15</v>
      </c>
      <c r="V16" s="41">
        <f t="shared" si="3"/>
        <v>1400</v>
      </c>
      <c r="W16" s="14"/>
      <c r="X16" s="17" t="s">
        <v>56</v>
      </c>
      <c r="Z16" s="17" t="s">
        <v>56</v>
      </c>
      <c r="AA16" s="17"/>
      <c r="AB16" s="17" t="s">
        <v>57</v>
      </c>
      <c r="AC16" s="17">
        <v>1992</v>
      </c>
      <c r="AD16" s="17">
        <v>17</v>
      </c>
      <c r="AE16" s="17"/>
      <c r="AF16" s="17">
        <v>17</v>
      </c>
      <c r="AG16" s="17">
        <v>1983</v>
      </c>
      <c r="AH16" s="14">
        <f t="shared" si="0"/>
        <v>9</v>
      </c>
      <c r="AI16" s="17">
        <f t="shared" si="1"/>
        <v>26</v>
      </c>
      <c r="AJ16" s="17">
        <v>26</v>
      </c>
      <c r="AK16" s="17" t="s">
        <v>58</v>
      </c>
      <c r="AL16" s="16" t="s">
        <v>1364</v>
      </c>
      <c r="AM16" s="15">
        <v>2013</v>
      </c>
      <c r="AN16" s="12" t="s">
        <v>150</v>
      </c>
      <c r="AO16" s="15" t="s">
        <v>56</v>
      </c>
      <c r="AP16" s="15"/>
      <c r="AQ16" s="15" t="s">
        <v>56</v>
      </c>
      <c r="AR16" s="15" t="s">
        <v>58</v>
      </c>
      <c r="AS16" s="15" t="s">
        <v>163</v>
      </c>
      <c r="AT16" s="12" t="s">
        <v>151</v>
      </c>
      <c r="AU16" s="45" t="s">
        <v>1365</v>
      </c>
      <c r="AV16" s="15"/>
      <c r="AW16" s="12" t="str">
        <f>B16&amp;C16&amp;L16&amp;M16&amp;O16&amp;U16&amp;AL16&amp;AM16</f>
        <v>SpainMedes Islands Marine ReserveDiplodus cervinuszebra sea breambiomassden15Garcia-Rubies2013</v>
      </c>
    </row>
    <row r="17" spans="1:49" ht="14.25" customHeight="1" x14ac:dyDescent="0.35">
      <c r="A17" s="12">
        <v>16</v>
      </c>
      <c r="B17" s="12" t="s">
        <v>477</v>
      </c>
      <c r="C17" s="44" t="s">
        <v>1363</v>
      </c>
      <c r="D17" s="43" t="s">
        <v>1375</v>
      </c>
      <c r="E17" s="12" t="s">
        <v>479</v>
      </c>
      <c r="F17" s="13" t="s">
        <v>50</v>
      </c>
      <c r="G17" s="13" t="s">
        <v>51</v>
      </c>
      <c r="H17" s="13" t="s">
        <v>481</v>
      </c>
      <c r="I17" s="13" t="s">
        <v>156</v>
      </c>
      <c r="J17" s="14">
        <v>0.94</v>
      </c>
      <c r="K17" s="17"/>
      <c r="L17" s="14" t="s">
        <v>497</v>
      </c>
      <c r="M17" s="14" t="s">
        <v>1370</v>
      </c>
      <c r="N17" s="14" t="s">
        <v>85</v>
      </c>
      <c r="O17" s="17" t="s">
        <v>70</v>
      </c>
      <c r="P17" s="14"/>
      <c r="Q17" s="14"/>
      <c r="R17" s="14"/>
      <c r="S17" s="14">
        <v>100</v>
      </c>
      <c r="T17" s="14">
        <v>3800</v>
      </c>
      <c r="U17" s="19">
        <f t="shared" si="2"/>
        <v>38</v>
      </c>
      <c r="V17" s="41">
        <f t="shared" si="3"/>
        <v>3700</v>
      </c>
      <c r="W17" s="14"/>
      <c r="X17" s="14" t="s">
        <v>56</v>
      </c>
      <c r="Z17" s="14" t="s">
        <v>56</v>
      </c>
      <c r="AA17" s="14"/>
      <c r="AB17" s="14" t="s">
        <v>57</v>
      </c>
      <c r="AC17" s="14">
        <v>1992</v>
      </c>
      <c r="AD17" s="14">
        <v>17</v>
      </c>
      <c r="AE17" s="14"/>
      <c r="AF17" s="14">
        <v>17</v>
      </c>
      <c r="AG17" s="14">
        <v>1983</v>
      </c>
      <c r="AH17" s="14">
        <f t="shared" si="0"/>
        <v>9</v>
      </c>
      <c r="AI17" s="17">
        <f t="shared" si="1"/>
        <v>26</v>
      </c>
      <c r="AJ17" s="14">
        <v>26</v>
      </c>
      <c r="AK17" s="14" t="s">
        <v>58</v>
      </c>
      <c r="AL17" s="13" t="s">
        <v>1364</v>
      </c>
      <c r="AM17" s="12">
        <v>2013</v>
      </c>
      <c r="AN17" s="15" t="s">
        <v>150</v>
      </c>
      <c r="AO17" s="12" t="s">
        <v>56</v>
      </c>
      <c r="AP17" s="12"/>
      <c r="AQ17" s="12" t="s">
        <v>56</v>
      </c>
      <c r="AR17" s="12" t="s">
        <v>58</v>
      </c>
      <c r="AS17" s="12" t="s">
        <v>163</v>
      </c>
      <c r="AT17" s="12" t="s">
        <v>151</v>
      </c>
      <c r="AU17" s="45" t="s">
        <v>1365</v>
      </c>
      <c r="AV17" s="15"/>
      <c r="AW17" s="12" t="str">
        <f>B17&amp;C17&amp;L17&amp;M17&amp;O17&amp;U17&amp;AL17&amp;AM17</f>
        <v>SpainMedes Islands Marine ReserveSciaena umbraBrown meagrebiomassden38Garcia-Rubies2013</v>
      </c>
    </row>
    <row r="18" spans="1:49" ht="14.25" customHeight="1" x14ac:dyDescent="0.35">
      <c r="A18" s="12">
        <v>17</v>
      </c>
      <c r="B18" s="12" t="s">
        <v>477</v>
      </c>
      <c r="C18" s="44" t="s">
        <v>1363</v>
      </c>
      <c r="D18" s="43" t="s">
        <v>1375</v>
      </c>
      <c r="E18" s="12" t="s">
        <v>479</v>
      </c>
      <c r="F18" s="13" t="s">
        <v>50</v>
      </c>
      <c r="G18" s="13" t="s">
        <v>51</v>
      </c>
      <c r="H18" s="13" t="s">
        <v>481</v>
      </c>
      <c r="I18" s="13" t="s">
        <v>156</v>
      </c>
      <c r="J18" s="14">
        <v>0.94</v>
      </c>
      <c r="K18" s="17"/>
      <c r="L18" s="14" t="s">
        <v>1371</v>
      </c>
      <c r="M18" s="14" t="s">
        <v>1372</v>
      </c>
      <c r="N18" s="14" t="s">
        <v>85</v>
      </c>
      <c r="O18" s="17" t="s">
        <v>70</v>
      </c>
      <c r="P18" s="14"/>
      <c r="Q18" s="14"/>
      <c r="R18" s="14"/>
      <c r="S18" s="14">
        <v>400</v>
      </c>
      <c r="T18" s="14">
        <v>1000</v>
      </c>
      <c r="U18" s="19">
        <f t="shared" si="2"/>
        <v>2.5</v>
      </c>
      <c r="V18" s="41">
        <f t="shared" si="3"/>
        <v>150</v>
      </c>
      <c r="W18" s="14"/>
      <c r="X18" s="14" t="s">
        <v>56</v>
      </c>
      <c r="Z18" s="14" t="s">
        <v>56</v>
      </c>
      <c r="AA18" s="14"/>
      <c r="AB18" s="14" t="s">
        <v>57</v>
      </c>
      <c r="AC18" s="14">
        <v>1992</v>
      </c>
      <c r="AD18" s="14">
        <v>17</v>
      </c>
      <c r="AE18" s="14"/>
      <c r="AF18" s="14">
        <v>17</v>
      </c>
      <c r="AG18" s="14">
        <v>1983</v>
      </c>
      <c r="AH18" s="14">
        <f t="shared" si="0"/>
        <v>9</v>
      </c>
      <c r="AI18" s="17">
        <f t="shared" si="1"/>
        <v>26</v>
      </c>
      <c r="AJ18" s="14">
        <v>26</v>
      </c>
      <c r="AK18" s="14" t="s">
        <v>58</v>
      </c>
      <c r="AL18" s="13" t="s">
        <v>1364</v>
      </c>
      <c r="AM18" s="12">
        <v>2013</v>
      </c>
      <c r="AN18" s="15" t="s">
        <v>150</v>
      </c>
      <c r="AO18" s="12" t="s">
        <v>56</v>
      </c>
      <c r="AP18" s="12"/>
      <c r="AQ18" s="12" t="s">
        <v>56</v>
      </c>
      <c r="AR18" s="12" t="s">
        <v>58</v>
      </c>
      <c r="AS18" s="12" t="s">
        <v>163</v>
      </c>
      <c r="AT18" s="12" t="s">
        <v>151</v>
      </c>
      <c r="AU18" s="45" t="s">
        <v>1365</v>
      </c>
      <c r="AV18" s="15"/>
      <c r="AW18" s="12" t="str">
        <f>B18&amp;C18&amp;L18&amp;M18&amp;O18&amp;U18&amp;AL18&amp;AM18</f>
        <v>SpainMedes Islands Marine ReserveSparus auratagilt-head bream biomassden2.5Garcia-Rubies2013</v>
      </c>
    </row>
    <row r="19" spans="1:49" ht="14.25" customHeight="1" x14ac:dyDescent="0.35">
      <c r="A19" s="12">
        <v>18</v>
      </c>
      <c r="B19" s="12" t="s">
        <v>477</v>
      </c>
      <c r="C19" s="44" t="s">
        <v>1363</v>
      </c>
      <c r="D19" s="43" t="s">
        <v>1375</v>
      </c>
      <c r="E19" s="12" t="s">
        <v>479</v>
      </c>
      <c r="F19" s="13" t="s">
        <v>50</v>
      </c>
      <c r="G19" s="13" t="s">
        <v>51</v>
      </c>
      <c r="H19" s="13" t="s">
        <v>481</v>
      </c>
      <c r="I19" s="13" t="s">
        <v>156</v>
      </c>
      <c r="J19" s="14">
        <v>0.94</v>
      </c>
      <c r="K19" s="17"/>
      <c r="L19" s="14" t="s">
        <v>482</v>
      </c>
      <c r="M19" s="14" t="s">
        <v>483</v>
      </c>
      <c r="N19" s="14" t="s">
        <v>85</v>
      </c>
      <c r="O19" s="17" t="s">
        <v>104</v>
      </c>
      <c r="P19" s="14"/>
      <c r="Q19" s="14"/>
      <c r="R19" s="14"/>
      <c r="S19" s="14">
        <v>5.5</v>
      </c>
      <c r="T19" s="14">
        <v>6.3</v>
      </c>
      <c r="U19" s="19">
        <f t="shared" si="2"/>
        <v>1.1454545454545455</v>
      </c>
      <c r="V19" s="41">
        <f t="shared" si="3"/>
        <v>14.54545454545455</v>
      </c>
      <c r="W19" s="14"/>
      <c r="X19" s="14" t="s">
        <v>56</v>
      </c>
      <c r="Z19" s="14" t="s">
        <v>56</v>
      </c>
      <c r="AA19" s="14"/>
      <c r="AB19" s="14" t="s">
        <v>57</v>
      </c>
      <c r="AC19" s="14">
        <v>1992</v>
      </c>
      <c r="AD19" s="14">
        <v>17</v>
      </c>
      <c r="AE19" s="14"/>
      <c r="AF19" s="14">
        <v>17</v>
      </c>
      <c r="AG19" s="14">
        <v>1983</v>
      </c>
      <c r="AH19" s="14">
        <f t="shared" si="0"/>
        <v>9</v>
      </c>
      <c r="AI19" s="17">
        <f t="shared" si="1"/>
        <v>26</v>
      </c>
      <c r="AJ19" s="14">
        <v>26</v>
      </c>
      <c r="AK19" s="14" t="s">
        <v>58</v>
      </c>
      <c r="AL19" s="13" t="s">
        <v>1364</v>
      </c>
      <c r="AM19" s="12">
        <v>2013</v>
      </c>
      <c r="AN19" s="15" t="s">
        <v>150</v>
      </c>
      <c r="AO19" s="12" t="s">
        <v>56</v>
      </c>
      <c r="AP19" s="12"/>
      <c r="AQ19" s="12" t="s">
        <v>56</v>
      </c>
      <c r="AR19" s="12" t="s">
        <v>58</v>
      </c>
      <c r="AS19" s="12" t="s">
        <v>163</v>
      </c>
      <c r="AT19" s="12" t="s">
        <v>151</v>
      </c>
      <c r="AU19" s="45" t="s">
        <v>1365</v>
      </c>
      <c r="AV19" s="15"/>
      <c r="AW19" s="12" t="str">
        <f>B19&amp;C19&amp;L19&amp;M19&amp;O19&amp;U19&amp;AL19&amp;AM19</f>
        <v>SpainMedes Islands Marine ReserveEpinephelus marginatusdusky groupersize1.14545454545455Garcia-Rubies2013</v>
      </c>
    </row>
    <row r="20" spans="1:49" ht="14.25" customHeight="1" x14ac:dyDescent="0.35">
      <c r="A20" s="12">
        <v>19</v>
      </c>
      <c r="B20" s="15" t="s">
        <v>477</v>
      </c>
      <c r="C20" s="43" t="s">
        <v>1363</v>
      </c>
      <c r="D20" s="43" t="s">
        <v>1375</v>
      </c>
      <c r="E20" s="12" t="s">
        <v>479</v>
      </c>
      <c r="F20" s="13" t="s">
        <v>50</v>
      </c>
      <c r="G20" s="13" t="s">
        <v>51</v>
      </c>
      <c r="H20" s="16" t="s">
        <v>481</v>
      </c>
      <c r="I20" s="16" t="s">
        <v>156</v>
      </c>
      <c r="J20" s="17">
        <v>0.94</v>
      </c>
      <c r="K20" s="17"/>
      <c r="L20" s="17" t="s">
        <v>1371</v>
      </c>
      <c r="M20" s="17" t="s">
        <v>1372</v>
      </c>
      <c r="N20" s="17" t="s">
        <v>85</v>
      </c>
      <c r="O20" s="17" t="s">
        <v>104</v>
      </c>
      <c r="P20" s="17"/>
      <c r="Q20" s="17"/>
      <c r="R20" s="17"/>
      <c r="S20" s="17">
        <v>3.6</v>
      </c>
      <c r="T20" s="17">
        <v>4.4000000000000004</v>
      </c>
      <c r="U20" s="19">
        <f t="shared" si="2"/>
        <v>1.2222222222222223</v>
      </c>
      <c r="V20" s="41">
        <f t="shared" si="3"/>
        <v>22.222222222222232</v>
      </c>
      <c r="W20" s="14"/>
      <c r="X20" s="17" t="s">
        <v>56</v>
      </c>
      <c r="Y20" s="17"/>
      <c r="Z20" s="17" t="s">
        <v>56</v>
      </c>
      <c r="AA20" s="17"/>
      <c r="AB20" s="17" t="s">
        <v>57</v>
      </c>
      <c r="AC20" s="17">
        <v>1992</v>
      </c>
      <c r="AD20" s="17">
        <v>17</v>
      </c>
      <c r="AE20" s="17"/>
      <c r="AF20" s="17">
        <v>17</v>
      </c>
      <c r="AG20" s="17">
        <v>1983</v>
      </c>
      <c r="AH20" s="14">
        <f t="shared" si="0"/>
        <v>9</v>
      </c>
      <c r="AI20" s="17">
        <f t="shared" si="1"/>
        <v>26</v>
      </c>
      <c r="AJ20" s="17">
        <v>26</v>
      </c>
      <c r="AK20" s="17" t="s">
        <v>58</v>
      </c>
      <c r="AL20" s="16" t="s">
        <v>1364</v>
      </c>
      <c r="AM20" s="15">
        <v>2013</v>
      </c>
      <c r="AN20" s="15" t="s">
        <v>150</v>
      </c>
      <c r="AO20" s="15" t="s">
        <v>56</v>
      </c>
      <c r="AP20" s="15"/>
      <c r="AQ20" s="15" t="s">
        <v>56</v>
      </c>
      <c r="AR20" s="15" t="s">
        <v>58</v>
      </c>
      <c r="AS20" s="15" t="s">
        <v>163</v>
      </c>
      <c r="AT20" s="12" t="s">
        <v>151</v>
      </c>
      <c r="AU20" s="45" t="s">
        <v>1365</v>
      </c>
      <c r="AV20" s="15"/>
      <c r="AW20" s="12" t="str">
        <f>B20&amp;C20&amp;L20&amp;M20&amp;O20&amp;U20&amp;AL20&amp;AM20</f>
        <v>SpainMedes Islands Marine ReserveSparus auratagilt-head bream size1.22222222222222Garcia-Rubies2013</v>
      </c>
    </row>
    <row r="21" spans="1:49" ht="14.25" customHeight="1" x14ac:dyDescent="0.35">
      <c r="A21" s="12">
        <v>20</v>
      </c>
      <c r="B21" s="15" t="s">
        <v>477</v>
      </c>
      <c r="C21" s="43" t="s">
        <v>1363</v>
      </c>
      <c r="D21" s="43" t="s">
        <v>1375</v>
      </c>
      <c r="E21" s="15" t="s">
        <v>479</v>
      </c>
      <c r="F21" s="16" t="s">
        <v>50</v>
      </c>
      <c r="G21" s="16" t="s">
        <v>51</v>
      </c>
      <c r="H21" s="16" t="s">
        <v>481</v>
      </c>
      <c r="I21" s="16" t="s">
        <v>156</v>
      </c>
      <c r="J21" s="17">
        <v>0.94</v>
      </c>
      <c r="K21" s="17"/>
      <c r="L21" s="17" t="s">
        <v>1373</v>
      </c>
      <c r="M21" s="17" t="s">
        <v>1374</v>
      </c>
      <c r="N21" s="17" t="s">
        <v>288</v>
      </c>
      <c r="O21" s="17" t="s">
        <v>55</v>
      </c>
      <c r="P21" s="17"/>
      <c r="Q21" s="17"/>
      <c r="R21" s="17"/>
      <c r="S21" s="17">
        <v>0.9</v>
      </c>
      <c r="T21" s="17">
        <v>2.4</v>
      </c>
      <c r="U21" s="20">
        <f t="shared" si="2"/>
        <v>2.6666666666666665</v>
      </c>
      <c r="V21" s="22">
        <f t="shared" si="3"/>
        <v>166.66666666666666</v>
      </c>
      <c r="W21" s="17"/>
      <c r="X21" s="17" t="s">
        <v>56</v>
      </c>
      <c r="Y21" s="17"/>
      <c r="Z21" s="17" t="s">
        <v>56</v>
      </c>
      <c r="AA21" s="17"/>
      <c r="AB21" s="17" t="s">
        <v>57</v>
      </c>
      <c r="AC21" s="17">
        <v>1992</v>
      </c>
      <c r="AD21" s="17">
        <v>17</v>
      </c>
      <c r="AE21" s="17"/>
      <c r="AF21" s="17">
        <v>17</v>
      </c>
      <c r="AG21" s="17">
        <v>1983</v>
      </c>
      <c r="AH21" s="14">
        <f t="shared" si="0"/>
        <v>9</v>
      </c>
      <c r="AI21" s="17">
        <f t="shared" si="1"/>
        <v>26</v>
      </c>
      <c r="AJ21" s="17">
        <v>26</v>
      </c>
      <c r="AK21" s="17" t="s">
        <v>58</v>
      </c>
      <c r="AL21" s="16" t="s">
        <v>1364</v>
      </c>
      <c r="AM21" s="15">
        <v>2013</v>
      </c>
      <c r="AN21" s="15" t="s">
        <v>150</v>
      </c>
      <c r="AO21" s="15" t="s">
        <v>56</v>
      </c>
      <c r="AP21" s="15"/>
      <c r="AQ21" s="15" t="s">
        <v>56</v>
      </c>
      <c r="AR21" s="15" t="s">
        <v>58</v>
      </c>
      <c r="AS21" s="15" t="s">
        <v>163</v>
      </c>
      <c r="AT21" s="15" t="s">
        <v>151</v>
      </c>
      <c r="AU21" s="45" t="s">
        <v>1365</v>
      </c>
      <c r="AV21" s="15"/>
      <c r="AW21" s="12" t="str">
        <f>B21&amp;C21&amp;L21&amp;M21&amp;O21&amp;U21&amp;AL21&amp;AM21</f>
        <v>SpainMedes Islands Marine ReservePerciformesray-finned fishrichness2.66666666666667Garcia-Rubies2013</v>
      </c>
    </row>
    <row r="22" spans="1:49" ht="14.25" customHeight="1" x14ac:dyDescent="0.35">
      <c r="A22" s="12">
        <v>21</v>
      </c>
      <c r="B22" s="15" t="s">
        <v>477</v>
      </c>
      <c r="C22" s="43" t="s">
        <v>1363</v>
      </c>
      <c r="D22" s="43" t="s">
        <v>1375</v>
      </c>
      <c r="E22" s="12" t="s">
        <v>479</v>
      </c>
      <c r="F22" s="13" t="s">
        <v>50</v>
      </c>
      <c r="G22" s="13" t="s">
        <v>51</v>
      </c>
      <c r="H22" s="16" t="s">
        <v>481</v>
      </c>
      <c r="I22" s="16" t="s">
        <v>156</v>
      </c>
      <c r="J22" s="17">
        <v>0.94</v>
      </c>
      <c r="K22" s="17"/>
      <c r="L22" s="17" t="s">
        <v>1373</v>
      </c>
      <c r="M22" s="17" t="s">
        <v>1374</v>
      </c>
      <c r="N22" s="17" t="s">
        <v>288</v>
      </c>
      <c r="O22" s="17" t="s">
        <v>86</v>
      </c>
      <c r="P22" s="17"/>
      <c r="Q22" s="17"/>
      <c r="R22" s="17"/>
      <c r="S22" s="17">
        <f>1.6/0.000001</f>
        <v>1600000.0000000002</v>
      </c>
      <c r="T22" s="17">
        <f>9.4/0.000001</f>
        <v>9400000</v>
      </c>
      <c r="U22" s="19">
        <f t="shared" si="2"/>
        <v>5.8749999999999991</v>
      </c>
      <c r="V22" s="41">
        <f t="shared" si="3"/>
        <v>487.49999999999989</v>
      </c>
      <c r="W22" s="14"/>
      <c r="X22" s="17" t="s">
        <v>56</v>
      </c>
      <c r="Y22" s="17"/>
      <c r="Z22" s="17" t="s">
        <v>56</v>
      </c>
      <c r="AA22" s="17"/>
      <c r="AB22" s="17" t="s">
        <v>57</v>
      </c>
      <c r="AC22" s="17">
        <v>1992</v>
      </c>
      <c r="AD22" s="17">
        <v>17</v>
      </c>
      <c r="AE22" s="17"/>
      <c r="AF22" s="17">
        <v>17</v>
      </c>
      <c r="AG22" s="17">
        <v>1983</v>
      </c>
      <c r="AH22" s="14">
        <f t="shared" si="0"/>
        <v>9</v>
      </c>
      <c r="AI22" s="17">
        <f t="shared" si="1"/>
        <v>26</v>
      </c>
      <c r="AJ22" s="17">
        <v>26</v>
      </c>
      <c r="AK22" s="17" t="s">
        <v>58</v>
      </c>
      <c r="AL22" s="16" t="s">
        <v>1364</v>
      </c>
      <c r="AM22" s="15">
        <v>2013</v>
      </c>
      <c r="AN22" s="15" t="s">
        <v>150</v>
      </c>
      <c r="AO22" s="15" t="s">
        <v>56</v>
      </c>
      <c r="AP22" s="15"/>
      <c r="AQ22" s="15" t="s">
        <v>56</v>
      </c>
      <c r="AR22" s="15" t="s">
        <v>58</v>
      </c>
      <c r="AS22" s="15" t="s">
        <v>163</v>
      </c>
      <c r="AT22" s="12" t="s">
        <v>151</v>
      </c>
      <c r="AU22" s="45" t="s">
        <v>1365</v>
      </c>
      <c r="AV22" s="15"/>
      <c r="AW22" s="12" t="str">
        <f>B22&amp;C22&amp;L22&amp;M22&amp;O22&amp;U22&amp;AL22&amp;AM22</f>
        <v>SpainMedes Islands Marine ReservePerciformesray-finned fishdensity5.875Garcia-Rubies2013</v>
      </c>
    </row>
    <row r="23" spans="1:49" ht="14.25" customHeight="1" x14ac:dyDescent="0.35">
      <c r="A23" s="12">
        <v>22</v>
      </c>
      <c r="B23" s="15" t="s">
        <v>1095</v>
      </c>
      <c r="C23" s="15" t="s">
        <v>1096</v>
      </c>
      <c r="D23" s="15" t="s">
        <v>1096</v>
      </c>
      <c r="E23" s="15" t="s">
        <v>1097</v>
      </c>
      <c r="F23" s="13" t="s">
        <v>50</v>
      </c>
      <c r="G23" s="13" t="s">
        <v>51</v>
      </c>
      <c r="H23" s="16" t="s">
        <v>52</v>
      </c>
      <c r="I23" s="16" t="s">
        <v>156</v>
      </c>
      <c r="J23" s="17">
        <v>60.6</v>
      </c>
      <c r="K23" s="17"/>
      <c r="L23" s="17"/>
      <c r="M23" s="17" t="s">
        <v>474</v>
      </c>
      <c r="N23" s="17" t="s">
        <v>1070</v>
      </c>
      <c r="O23" s="17" t="s">
        <v>55</v>
      </c>
      <c r="P23" s="17"/>
      <c r="Q23" s="17"/>
      <c r="R23" s="17"/>
      <c r="S23" s="17">
        <v>3</v>
      </c>
      <c r="T23" s="17">
        <v>3.8</v>
      </c>
      <c r="U23" s="20">
        <f t="shared" si="2"/>
        <v>1.2666666666666666</v>
      </c>
      <c r="V23" s="22">
        <f t="shared" si="3"/>
        <v>26.666666666666661</v>
      </c>
      <c r="W23" s="17">
        <v>27.46</v>
      </c>
      <c r="X23" s="17" t="s">
        <v>56</v>
      </c>
      <c r="Y23" s="17"/>
      <c r="Z23" s="17" t="s">
        <v>56</v>
      </c>
      <c r="AA23" s="17"/>
      <c r="AB23" s="17" t="s">
        <v>57</v>
      </c>
      <c r="AC23" s="17">
        <v>2009</v>
      </c>
      <c r="AD23" s="17">
        <v>0</v>
      </c>
      <c r="AE23" s="17">
        <v>1</v>
      </c>
      <c r="AF23" s="17">
        <v>0.33</v>
      </c>
      <c r="AG23" s="17">
        <v>1997</v>
      </c>
      <c r="AH23" s="14">
        <f t="shared" si="0"/>
        <v>12</v>
      </c>
      <c r="AI23" s="17">
        <f t="shared" si="1"/>
        <v>12.083333333333334</v>
      </c>
      <c r="AJ23" s="17">
        <v>12</v>
      </c>
      <c r="AK23" s="17" t="s">
        <v>56</v>
      </c>
      <c r="AL23" s="16" t="s">
        <v>1098</v>
      </c>
      <c r="AM23" s="15">
        <v>2011</v>
      </c>
      <c r="AN23" s="15" t="s">
        <v>160</v>
      </c>
      <c r="AO23" s="15" t="s">
        <v>56</v>
      </c>
      <c r="AP23" s="15"/>
      <c r="AQ23" s="15" t="s">
        <v>56</v>
      </c>
      <c r="AR23" s="15" t="s">
        <v>58</v>
      </c>
      <c r="AS23" s="15" t="s">
        <v>163</v>
      </c>
      <c r="AT23" s="15" t="s">
        <v>151</v>
      </c>
      <c r="AU23" s="45" t="s">
        <v>2635</v>
      </c>
      <c r="AV23" s="15" t="s">
        <v>767</v>
      </c>
      <c r="AW23" s="12" t="str">
        <f>B23&amp;C23&amp;L23&amp;M23&amp;O23&amp;U23&amp;AL23&amp;AM23</f>
        <v>FijiNamena Marine Reservereef fishrichness1.26666666666667Goetze 2011</v>
      </c>
    </row>
    <row r="24" spans="1:49" ht="14.25" customHeight="1" x14ac:dyDescent="0.35">
      <c r="A24" s="12">
        <v>23</v>
      </c>
      <c r="B24" s="15" t="s">
        <v>1095</v>
      </c>
      <c r="C24" s="15" t="s">
        <v>1100</v>
      </c>
      <c r="D24" s="12" t="s">
        <v>1100</v>
      </c>
      <c r="E24" s="15" t="s">
        <v>1097</v>
      </c>
      <c r="F24" s="13" t="s">
        <v>50</v>
      </c>
      <c r="G24" s="13" t="s">
        <v>51</v>
      </c>
      <c r="H24" s="16" t="s">
        <v>52</v>
      </c>
      <c r="I24" s="16" t="s">
        <v>156</v>
      </c>
      <c r="J24" s="17">
        <v>4.25</v>
      </c>
      <c r="K24" s="17"/>
      <c r="L24" s="17"/>
      <c r="M24" s="17" t="s">
        <v>474</v>
      </c>
      <c r="N24" s="17" t="s">
        <v>1070</v>
      </c>
      <c r="O24" s="17" t="s">
        <v>55</v>
      </c>
      <c r="P24" s="17"/>
      <c r="Q24" s="17"/>
      <c r="R24" s="17"/>
      <c r="S24" s="17">
        <v>3</v>
      </c>
      <c r="T24" s="17">
        <v>2.8</v>
      </c>
      <c r="U24" s="20">
        <f t="shared" si="2"/>
        <v>0.93333333333333324</v>
      </c>
      <c r="V24" s="22">
        <f t="shared" si="3"/>
        <v>-6.6666666666666767</v>
      </c>
      <c r="W24" s="17">
        <v>-3.9</v>
      </c>
      <c r="X24" s="17" t="s">
        <v>56</v>
      </c>
      <c r="Y24" s="17"/>
      <c r="Z24" s="17" t="s">
        <v>56</v>
      </c>
      <c r="AA24" s="17"/>
      <c r="AB24" s="17" t="s">
        <v>57</v>
      </c>
      <c r="AC24" s="17">
        <v>2009</v>
      </c>
      <c r="AD24" s="17">
        <v>0</v>
      </c>
      <c r="AE24" s="17">
        <v>1</v>
      </c>
      <c r="AF24" s="17">
        <v>0.33</v>
      </c>
      <c r="AG24" s="17">
        <v>2005</v>
      </c>
      <c r="AH24" s="14">
        <f t="shared" si="0"/>
        <v>4</v>
      </c>
      <c r="AI24" s="17">
        <f t="shared" si="1"/>
        <v>4.083333333333333</v>
      </c>
      <c r="AJ24" s="17">
        <v>4</v>
      </c>
      <c r="AK24" s="17" t="s">
        <v>56</v>
      </c>
      <c r="AL24" s="16" t="s">
        <v>1098</v>
      </c>
      <c r="AM24" s="15">
        <v>2011</v>
      </c>
      <c r="AN24" s="15" t="s">
        <v>160</v>
      </c>
      <c r="AO24" s="15" t="s">
        <v>56</v>
      </c>
      <c r="AP24" s="15"/>
      <c r="AQ24" s="15" t="s">
        <v>56</v>
      </c>
      <c r="AR24" s="15" t="s">
        <v>58</v>
      </c>
      <c r="AS24" s="15" t="s">
        <v>163</v>
      </c>
      <c r="AT24" s="15" t="s">
        <v>151</v>
      </c>
      <c r="AU24" s="45" t="s">
        <v>2635</v>
      </c>
      <c r="AV24" s="15" t="s">
        <v>767</v>
      </c>
      <c r="AW24" s="12" t="str">
        <f>B24&amp;C24&amp;L24&amp;M24&amp;O24&amp;U24&amp;AL24&amp;AM24</f>
        <v>FijiNamuri Marine Reservereef fishrichness0.933333333333333Goetze 2011</v>
      </c>
    </row>
    <row r="25" spans="1:49" ht="14.25" customHeight="1" x14ac:dyDescent="0.35">
      <c r="A25" s="12">
        <v>24</v>
      </c>
      <c r="B25" s="12" t="s">
        <v>1095</v>
      </c>
      <c r="C25" s="12" t="s">
        <v>1096</v>
      </c>
      <c r="D25" s="12" t="s">
        <v>1096</v>
      </c>
      <c r="E25" s="12" t="s">
        <v>1097</v>
      </c>
      <c r="F25" s="13" t="s">
        <v>50</v>
      </c>
      <c r="G25" s="13" t="s">
        <v>51</v>
      </c>
      <c r="H25" s="13" t="s">
        <v>52</v>
      </c>
      <c r="I25" s="13" t="s">
        <v>156</v>
      </c>
      <c r="J25" s="14">
        <v>60.6</v>
      </c>
      <c r="K25" s="17"/>
      <c r="L25" s="14"/>
      <c r="M25" s="14" t="s">
        <v>1099</v>
      </c>
      <c r="N25" s="17" t="s">
        <v>1070</v>
      </c>
      <c r="O25" s="17" t="s">
        <v>70</v>
      </c>
      <c r="P25" s="14"/>
      <c r="Q25" s="14"/>
      <c r="R25" s="14"/>
      <c r="S25" s="14">
        <v>3.65</v>
      </c>
      <c r="T25" s="14">
        <v>10.95</v>
      </c>
      <c r="U25" s="19">
        <f t="shared" si="2"/>
        <v>3</v>
      </c>
      <c r="V25" s="41">
        <f t="shared" si="3"/>
        <v>200</v>
      </c>
      <c r="W25" s="14">
        <v>178.02</v>
      </c>
      <c r="X25" s="14" t="s">
        <v>56</v>
      </c>
      <c r="Z25" s="14" t="s">
        <v>56</v>
      </c>
      <c r="AA25" s="14"/>
      <c r="AB25" s="14" t="s">
        <v>57</v>
      </c>
      <c r="AC25" s="14">
        <v>2009</v>
      </c>
      <c r="AD25" s="14">
        <v>0</v>
      </c>
      <c r="AE25" s="14">
        <v>1</v>
      </c>
      <c r="AF25" s="14">
        <v>0.33</v>
      </c>
      <c r="AG25" s="14">
        <v>1997</v>
      </c>
      <c r="AH25" s="14">
        <f t="shared" si="0"/>
        <v>12</v>
      </c>
      <c r="AI25" s="17">
        <f t="shared" si="1"/>
        <v>12.083333333333334</v>
      </c>
      <c r="AJ25" s="14">
        <v>12</v>
      </c>
      <c r="AK25" s="14" t="s">
        <v>56</v>
      </c>
      <c r="AL25" s="13" t="s">
        <v>1098</v>
      </c>
      <c r="AM25" s="12">
        <v>2013</v>
      </c>
      <c r="AN25" s="12" t="s">
        <v>160</v>
      </c>
      <c r="AO25" s="12" t="s">
        <v>56</v>
      </c>
      <c r="AP25" s="12"/>
      <c r="AQ25" s="12" t="s">
        <v>56</v>
      </c>
      <c r="AR25" s="12" t="s">
        <v>58</v>
      </c>
      <c r="AS25" s="12" t="s">
        <v>163</v>
      </c>
      <c r="AT25" s="12" t="s">
        <v>151</v>
      </c>
      <c r="AU25" s="45" t="s">
        <v>2635</v>
      </c>
      <c r="AV25" s="15" t="s">
        <v>767</v>
      </c>
      <c r="AW25" s="12" t="str">
        <f>B25&amp;C25&amp;L25&amp;M25&amp;O25&amp;U25&amp;AL25&amp;AM25</f>
        <v>FijiNamena Marine Reservereef sharksbiomassden3Goetze 2013</v>
      </c>
    </row>
    <row r="26" spans="1:49" ht="14.25" customHeight="1" x14ac:dyDescent="0.35">
      <c r="A26" s="12">
        <v>25</v>
      </c>
      <c r="B26" s="12" t="s">
        <v>477</v>
      </c>
      <c r="C26" s="12" t="s">
        <v>521</v>
      </c>
      <c r="D26" s="15" t="s">
        <v>522</v>
      </c>
      <c r="E26" s="12" t="s">
        <v>479</v>
      </c>
      <c r="F26" s="13" t="s">
        <v>480</v>
      </c>
      <c r="G26" s="13" t="s">
        <v>51</v>
      </c>
      <c r="H26" s="13" t="s">
        <v>481</v>
      </c>
      <c r="I26" s="13" t="s">
        <v>156</v>
      </c>
      <c r="J26" s="14">
        <v>3.6</v>
      </c>
      <c r="K26" s="17"/>
      <c r="L26" s="14" t="s">
        <v>482</v>
      </c>
      <c r="M26" s="14" t="s">
        <v>483</v>
      </c>
      <c r="N26" s="14" t="s">
        <v>85</v>
      </c>
      <c r="O26" s="17" t="s">
        <v>70</v>
      </c>
      <c r="P26" s="14"/>
      <c r="Q26" s="14"/>
      <c r="R26" s="14"/>
      <c r="S26" s="14" t="e">
        <f>((6.58+0.5)/2)*#REF!</f>
        <v>#REF!</v>
      </c>
      <c r="T26" s="14" t="e">
        <f>2.78*(#REF!)</f>
        <v>#REF!</v>
      </c>
      <c r="U26" s="19" t="str">
        <f t="shared" si="2"/>
        <v>N/A</v>
      </c>
      <c r="V26" s="41" t="str">
        <f t="shared" si="3"/>
        <v>N/A</v>
      </c>
      <c r="W26" s="14">
        <v>-21.8</v>
      </c>
      <c r="X26" s="14" t="s">
        <v>56</v>
      </c>
      <c r="Z26" s="14" t="s">
        <v>56</v>
      </c>
      <c r="AA26" s="14"/>
      <c r="AB26" s="14" t="s">
        <v>57</v>
      </c>
      <c r="AC26" s="14">
        <v>2003</v>
      </c>
      <c r="AD26" s="14">
        <v>1</v>
      </c>
      <c r="AE26" s="14"/>
      <c r="AF26" s="14">
        <v>1</v>
      </c>
      <c r="AG26" s="14">
        <v>1991</v>
      </c>
      <c r="AH26" s="14">
        <f t="shared" si="0"/>
        <v>12</v>
      </c>
      <c r="AI26" s="17">
        <f t="shared" si="1"/>
        <v>13</v>
      </c>
      <c r="AJ26" s="14">
        <v>13</v>
      </c>
      <c r="AK26" s="14" t="s">
        <v>56</v>
      </c>
      <c r="AL26" s="13" t="s">
        <v>484</v>
      </c>
      <c r="AM26" s="12">
        <v>2014</v>
      </c>
      <c r="AN26" s="12" t="s">
        <v>150</v>
      </c>
      <c r="AO26" s="12" t="s">
        <v>56</v>
      </c>
      <c r="AP26" s="12"/>
      <c r="AQ26" s="12" t="s">
        <v>56</v>
      </c>
      <c r="AR26" s="12" t="s">
        <v>58</v>
      </c>
      <c r="AS26" s="12" t="s">
        <v>258</v>
      </c>
      <c r="AT26" s="12" t="s">
        <v>151</v>
      </c>
      <c r="AU26" s="45" t="s">
        <v>2668</v>
      </c>
      <c r="AV26" s="15"/>
      <c r="AW26" s="12" t="str">
        <f>B26&amp;C26&amp;L26&amp;M26&amp;O26&amp;U26&amp;AL26&amp;AM26</f>
        <v>SpainCabrera Archipelago National ParkEpinephelus marginatusdusky grouperbiomassdenN/AHackradt2014</v>
      </c>
    </row>
    <row r="27" spans="1:49" ht="14.25" customHeight="1" x14ac:dyDescent="0.35">
      <c r="A27" s="12">
        <v>26</v>
      </c>
      <c r="B27" s="12" t="s">
        <v>477</v>
      </c>
      <c r="C27" s="12" t="s">
        <v>521</v>
      </c>
      <c r="D27" s="15" t="s">
        <v>522</v>
      </c>
      <c r="E27" s="12" t="s">
        <v>479</v>
      </c>
      <c r="F27" s="13" t="s">
        <v>480</v>
      </c>
      <c r="G27" s="13" t="s">
        <v>51</v>
      </c>
      <c r="H27" s="13" t="s">
        <v>481</v>
      </c>
      <c r="I27" s="13" t="s">
        <v>156</v>
      </c>
      <c r="J27" s="14">
        <v>3.6</v>
      </c>
      <c r="K27" s="17"/>
      <c r="L27" s="14" t="s">
        <v>486</v>
      </c>
      <c r="M27" s="14" t="s">
        <v>487</v>
      </c>
      <c r="N27" s="14" t="s">
        <v>85</v>
      </c>
      <c r="O27" s="17" t="s">
        <v>70</v>
      </c>
      <c r="P27" s="14"/>
      <c r="Q27" s="14"/>
      <c r="R27" s="14"/>
      <c r="S27" s="14" t="e">
        <f>((0.36+0.05)/2)*#REF!</f>
        <v>#REF!</v>
      </c>
      <c r="T27" s="14" t="e">
        <f>0.11*#REF!</f>
        <v>#REF!</v>
      </c>
      <c r="U27" s="19" t="str">
        <f t="shared" si="2"/>
        <v>N/A</v>
      </c>
      <c r="V27" s="41" t="str">
        <f t="shared" si="3"/>
        <v>N/A</v>
      </c>
      <c r="W27" s="14">
        <v>-32.299999999999997</v>
      </c>
      <c r="X27" s="14" t="s">
        <v>56</v>
      </c>
      <c r="Z27" s="14" t="s">
        <v>56</v>
      </c>
      <c r="AA27" s="14"/>
      <c r="AB27" s="14" t="s">
        <v>57</v>
      </c>
      <c r="AC27" s="14">
        <v>2003</v>
      </c>
      <c r="AD27" s="14">
        <v>1</v>
      </c>
      <c r="AE27" s="14"/>
      <c r="AF27" s="14">
        <v>1</v>
      </c>
      <c r="AG27" s="14">
        <v>1991</v>
      </c>
      <c r="AH27" s="14">
        <f t="shared" si="0"/>
        <v>12</v>
      </c>
      <c r="AI27" s="17">
        <f t="shared" si="1"/>
        <v>13</v>
      </c>
      <c r="AJ27" s="14">
        <v>13</v>
      </c>
      <c r="AK27" s="14" t="s">
        <v>56</v>
      </c>
      <c r="AL27" s="13" t="s">
        <v>484</v>
      </c>
      <c r="AM27" s="12">
        <v>2014</v>
      </c>
      <c r="AN27" s="12" t="s">
        <v>150</v>
      </c>
      <c r="AO27" s="12" t="s">
        <v>56</v>
      </c>
      <c r="AP27" s="12"/>
      <c r="AQ27" s="12" t="s">
        <v>56</v>
      </c>
      <c r="AR27" s="12" t="s">
        <v>58</v>
      </c>
      <c r="AS27" s="12" t="s">
        <v>258</v>
      </c>
      <c r="AT27" s="12" t="s">
        <v>151</v>
      </c>
      <c r="AU27" s="45" t="s">
        <v>2668</v>
      </c>
      <c r="AV27" s="15"/>
      <c r="AW27" s="12" t="str">
        <f>B27&amp;C27&amp;L27&amp;M27&amp;O27&amp;U27&amp;AL27&amp;AM27</f>
        <v>SpainCabrera Archipelago National ParkEpinephelus costaegoldbloch grouperbiomassdenN/AHackradt2014</v>
      </c>
    </row>
    <row r="28" spans="1:49" ht="14.25" customHeight="1" x14ac:dyDescent="0.35">
      <c r="A28" s="12">
        <v>27</v>
      </c>
      <c r="B28" s="12" t="s">
        <v>477</v>
      </c>
      <c r="C28" s="12" t="s">
        <v>521</v>
      </c>
      <c r="D28" s="12" t="s">
        <v>522</v>
      </c>
      <c r="E28" s="12" t="s">
        <v>479</v>
      </c>
      <c r="F28" s="13" t="s">
        <v>480</v>
      </c>
      <c r="G28" s="13" t="s">
        <v>51</v>
      </c>
      <c r="H28" s="13" t="s">
        <v>481</v>
      </c>
      <c r="I28" s="13" t="s">
        <v>156</v>
      </c>
      <c r="J28" s="14">
        <v>3.6</v>
      </c>
      <c r="K28" s="14"/>
      <c r="L28" s="14" t="s">
        <v>488</v>
      </c>
      <c r="M28" s="14" t="s">
        <v>489</v>
      </c>
      <c r="N28" s="14" t="s">
        <v>85</v>
      </c>
      <c r="O28" s="17" t="s">
        <v>70</v>
      </c>
      <c r="P28" s="14"/>
      <c r="Q28" s="14"/>
      <c r="R28" s="14"/>
      <c r="S28" s="14" t="e">
        <f>((0.45+0.045)/2)*#REF!</f>
        <v>#REF!</v>
      </c>
      <c r="T28" s="14" t="e">
        <f>0.045*#REF!</f>
        <v>#REF!</v>
      </c>
      <c r="U28" s="19" t="str">
        <f t="shared" si="2"/>
        <v>N/A</v>
      </c>
      <c r="V28" s="41" t="str">
        <f t="shared" si="3"/>
        <v>N/A</v>
      </c>
      <c r="W28" s="14">
        <v>-80.400000000000006</v>
      </c>
      <c r="X28" s="14" t="s">
        <v>56</v>
      </c>
      <c r="Z28" s="14" t="s">
        <v>56</v>
      </c>
      <c r="AA28" s="14"/>
      <c r="AB28" s="14" t="s">
        <v>57</v>
      </c>
      <c r="AC28" s="14">
        <v>2003</v>
      </c>
      <c r="AD28" s="14">
        <v>1</v>
      </c>
      <c r="AE28" s="14"/>
      <c r="AF28" s="14">
        <v>1</v>
      </c>
      <c r="AG28" s="14">
        <v>1991</v>
      </c>
      <c r="AH28" s="14">
        <f t="shared" si="0"/>
        <v>12</v>
      </c>
      <c r="AI28" s="17">
        <f t="shared" si="1"/>
        <v>13</v>
      </c>
      <c r="AJ28" s="14">
        <v>13</v>
      </c>
      <c r="AK28" s="14" t="s">
        <v>56</v>
      </c>
      <c r="AL28" s="13" t="s">
        <v>484</v>
      </c>
      <c r="AM28" s="12">
        <v>2014</v>
      </c>
      <c r="AN28" s="12" t="s">
        <v>150</v>
      </c>
      <c r="AO28" s="12" t="s">
        <v>56</v>
      </c>
      <c r="AP28" s="12"/>
      <c r="AQ28" s="12" t="s">
        <v>56</v>
      </c>
      <c r="AR28" s="12" t="s">
        <v>58</v>
      </c>
      <c r="AS28" s="12" t="s">
        <v>258</v>
      </c>
      <c r="AT28" s="12" t="s">
        <v>151</v>
      </c>
      <c r="AU28" s="45" t="s">
        <v>2668</v>
      </c>
      <c r="AV28" s="15"/>
      <c r="AW28" s="12" t="str">
        <f>B28&amp;C28&amp;L28&amp;M28&amp;O28&amp;U28&amp;AL28&amp;AM28</f>
        <v>SpainCabrera Archipelago National ParkMycteroperca rubramottled grouperbiomassdenN/AHackradt2014</v>
      </c>
    </row>
    <row r="29" spans="1:49" ht="14.25" customHeight="1" x14ac:dyDescent="0.35">
      <c r="A29" s="12">
        <v>28</v>
      </c>
      <c r="B29" s="12" t="s">
        <v>477</v>
      </c>
      <c r="C29" s="44" t="s">
        <v>1363</v>
      </c>
      <c r="D29" s="44" t="s">
        <v>1375</v>
      </c>
      <c r="E29" s="12" t="s">
        <v>479</v>
      </c>
      <c r="F29" s="13" t="s">
        <v>480</v>
      </c>
      <c r="G29" s="13" t="s">
        <v>51</v>
      </c>
      <c r="H29" s="13" t="s">
        <v>481</v>
      </c>
      <c r="I29" s="13" t="s">
        <v>156</v>
      </c>
      <c r="J29" s="14">
        <v>0.94</v>
      </c>
      <c r="K29" s="14"/>
      <c r="L29" s="14" t="s">
        <v>482</v>
      </c>
      <c r="M29" s="14" t="s">
        <v>483</v>
      </c>
      <c r="N29" s="14" t="s">
        <v>85</v>
      </c>
      <c r="O29" s="17" t="s">
        <v>70</v>
      </c>
      <c r="P29" s="14"/>
      <c r="Q29" s="14"/>
      <c r="R29" s="14"/>
      <c r="S29" s="14">
        <v>0</v>
      </c>
      <c r="T29" s="14" t="e">
        <f>8.01*#REF!</f>
        <v>#REF!</v>
      </c>
      <c r="U29" s="19" t="str">
        <f t="shared" si="2"/>
        <v>N/A</v>
      </c>
      <c r="V29" s="41" t="str">
        <f t="shared" si="3"/>
        <v>N/A</v>
      </c>
      <c r="W29" s="14">
        <v>303.60000000000002</v>
      </c>
      <c r="X29" s="14" t="s">
        <v>56</v>
      </c>
      <c r="Z29" s="14" t="s">
        <v>56</v>
      </c>
      <c r="AA29" s="14"/>
      <c r="AB29" s="14" t="s">
        <v>57</v>
      </c>
      <c r="AC29" s="14">
        <v>2003</v>
      </c>
      <c r="AD29" s="14">
        <v>1</v>
      </c>
      <c r="AE29" s="14"/>
      <c r="AF29" s="14">
        <v>1</v>
      </c>
      <c r="AG29" s="14">
        <v>1983</v>
      </c>
      <c r="AH29" s="14">
        <f t="shared" si="0"/>
        <v>20</v>
      </c>
      <c r="AI29" s="17">
        <f t="shared" si="1"/>
        <v>21</v>
      </c>
      <c r="AJ29" s="14">
        <v>21</v>
      </c>
      <c r="AK29" s="14" t="s">
        <v>56</v>
      </c>
      <c r="AL29" s="13" t="s">
        <v>484</v>
      </c>
      <c r="AM29" s="12">
        <v>2014</v>
      </c>
      <c r="AN29" s="12" t="s">
        <v>150</v>
      </c>
      <c r="AO29" s="12" t="s">
        <v>56</v>
      </c>
      <c r="AP29" s="12"/>
      <c r="AQ29" s="12" t="s">
        <v>56</v>
      </c>
      <c r="AR29" s="12" t="s">
        <v>58</v>
      </c>
      <c r="AS29" s="12" t="s">
        <v>258</v>
      </c>
      <c r="AT29" s="12" t="s">
        <v>151</v>
      </c>
      <c r="AU29" s="45" t="s">
        <v>1357</v>
      </c>
      <c r="AV29" s="15"/>
      <c r="AW29" s="12" t="str">
        <f>B29&amp;C29&amp;L29&amp;M29&amp;O29&amp;U29&amp;AL29&amp;AM29</f>
        <v>SpainMedes Islands Marine ReserveEpinephelus marginatusdusky grouperbiomassdenN/AHackradt2014</v>
      </c>
    </row>
    <row r="30" spans="1:49" ht="14.25" customHeight="1" x14ac:dyDescent="0.35">
      <c r="A30" s="12">
        <v>29</v>
      </c>
      <c r="B30" s="12" t="s">
        <v>477</v>
      </c>
      <c r="C30" s="44" t="s">
        <v>1363</v>
      </c>
      <c r="D30" s="44" t="s">
        <v>1375</v>
      </c>
      <c r="E30" s="12" t="s">
        <v>479</v>
      </c>
      <c r="F30" s="13" t="s">
        <v>480</v>
      </c>
      <c r="G30" s="13" t="s">
        <v>51</v>
      </c>
      <c r="H30" s="13" t="s">
        <v>481</v>
      </c>
      <c r="I30" s="13" t="s">
        <v>156</v>
      </c>
      <c r="J30" s="14">
        <v>0.94</v>
      </c>
      <c r="K30" s="14"/>
      <c r="L30" s="14" t="s">
        <v>486</v>
      </c>
      <c r="M30" s="14" t="s">
        <v>487</v>
      </c>
      <c r="N30" s="14" t="s">
        <v>85</v>
      </c>
      <c r="O30" s="14" t="s">
        <v>70</v>
      </c>
      <c r="P30" s="14"/>
      <c r="Q30" s="14"/>
      <c r="R30" s="14"/>
      <c r="S30" s="14">
        <v>0</v>
      </c>
      <c r="T30" s="14">
        <v>0</v>
      </c>
      <c r="U30" s="19" t="str">
        <f t="shared" si="2"/>
        <v>N/A</v>
      </c>
      <c r="V30" s="41" t="str">
        <f t="shared" si="3"/>
        <v>N/A</v>
      </c>
      <c r="W30" s="14">
        <v>425.5</v>
      </c>
      <c r="X30" s="14" t="s">
        <v>56</v>
      </c>
      <c r="Z30" s="14" t="s">
        <v>56</v>
      </c>
      <c r="AA30" s="14"/>
      <c r="AB30" s="14" t="s">
        <v>57</v>
      </c>
      <c r="AC30" s="14">
        <v>2003</v>
      </c>
      <c r="AD30" s="14">
        <v>1</v>
      </c>
      <c r="AE30" s="14"/>
      <c r="AF30" s="14">
        <v>1</v>
      </c>
      <c r="AG30" s="14">
        <v>1983</v>
      </c>
      <c r="AH30" s="14">
        <f t="shared" si="0"/>
        <v>20</v>
      </c>
      <c r="AI30" s="17">
        <f t="shared" si="1"/>
        <v>21</v>
      </c>
      <c r="AJ30" s="14">
        <v>21</v>
      </c>
      <c r="AK30" s="14" t="s">
        <v>56</v>
      </c>
      <c r="AL30" s="13" t="s">
        <v>484</v>
      </c>
      <c r="AM30" s="12">
        <v>2014</v>
      </c>
      <c r="AN30" s="12" t="s">
        <v>150</v>
      </c>
      <c r="AO30" s="12" t="s">
        <v>56</v>
      </c>
      <c r="AP30" s="12"/>
      <c r="AQ30" s="12" t="s">
        <v>56</v>
      </c>
      <c r="AR30" s="12" t="s">
        <v>58</v>
      </c>
      <c r="AS30" s="12" t="s">
        <v>258</v>
      </c>
      <c r="AT30" s="12" t="s">
        <v>151</v>
      </c>
      <c r="AU30" s="45" t="s">
        <v>1357</v>
      </c>
      <c r="AV30" s="15"/>
      <c r="AW30" s="12" t="str">
        <f>B30&amp;C30&amp;L30&amp;M30&amp;O30&amp;U30&amp;AL30&amp;AM30</f>
        <v>SpainMedes Islands Marine ReserveEpinephelus costaegoldbloch grouperbiomassdenN/AHackradt2014</v>
      </c>
    </row>
    <row r="31" spans="1:49" ht="14.25" customHeight="1" x14ac:dyDescent="0.35">
      <c r="A31" s="12">
        <v>30</v>
      </c>
      <c r="B31" s="12" t="s">
        <v>477</v>
      </c>
      <c r="C31" s="43" t="s">
        <v>1363</v>
      </c>
      <c r="D31" s="43" t="s">
        <v>1375</v>
      </c>
      <c r="E31" s="15" t="s">
        <v>479</v>
      </c>
      <c r="F31" s="13" t="s">
        <v>480</v>
      </c>
      <c r="G31" s="13" t="s">
        <v>51</v>
      </c>
      <c r="H31" s="16" t="s">
        <v>481</v>
      </c>
      <c r="I31" s="16" t="s">
        <v>156</v>
      </c>
      <c r="J31" s="14">
        <v>0.94</v>
      </c>
      <c r="K31" s="17"/>
      <c r="L31" s="17" t="s">
        <v>488</v>
      </c>
      <c r="M31" s="17" t="s">
        <v>489</v>
      </c>
      <c r="N31" s="17" t="s">
        <v>85</v>
      </c>
      <c r="O31" s="17" t="s">
        <v>70</v>
      </c>
      <c r="P31" s="17"/>
      <c r="Q31" s="17"/>
      <c r="R31" s="17"/>
      <c r="S31" s="17">
        <v>0</v>
      </c>
      <c r="T31" s="17">
        <v>0</v>
      </c>
      <c r="U31" s="20" t="str">
        <f t="shared" si="2"/>
        <v>N/A</v>
      </c>
      <c r="V31" s="22" t="str">
        <f t="shared" si="3"/>
        <v>N/A</v>
      </c>
      <c r="W31" s="17">
        <v>1522.6</v>
      </c>
      <c r="X31" s="14" t="s">
        <v>56</v>
      </c>
      <c r="Y31" s="17"/>
      <c r="Z31" s="14" t="s">
        <v>56</v>
      </c>
      <c r="AA31" s="14"/>
      <c r="AB31" s="17" t="s">
        <v>57</v>
      </c>
      <c r="AC31" s="17">
        <v>2003</v>
      </c>
      <c r="AD31" s="17">
        <v>1</v>
      </c>
      <c r="AE31" s="17"/>
      <c r="AF31" s="17">
        <v>1</v>
      </c>
      <c r="AG31" s="17">
        <v>1983</v>
      </c>
      <c r="AH31" s="14">
        <f t="shared" si="0"/>
        <v>20</v>
      </c>
      <c r="AI31" s="17">
        <f t="shared" si="1"/>
        <v>21</v>
      </c>
      <c r="AJ31" s="17">
        <v>21</v>
      </c>
      <c r="AK31" s="17" t="s">
        <v>56</v>
      </c>
      <c r="AL31" s="16" t="s">
        <v>484</v>
      </c>
      <c r="AM31" s="15">
        <v>2014</v>
      </c>
      <c r="AN31" s="15" t="s">
        <v>150</v>
      </c>
      <c r="AO31" s="15" t="s">
        <v>56</v>
      </c>
      <c r="AP31" s="15"/>
      <c r="AQ31" s="15" t="s">
        <v>56</v>
      </c>
      <c r="AR31" s="15" t="s">
        <v>58</v>
      </c>
      <c r="AS31" s="15" t="s">
        <v>258</v>
      </c>
      <c r="AT31" s="15" t="s">
        <v>151</v>
      </c>
      <c r="AU31" s="45" t="s">
        <v>1357</v>
      </c>
      <c r="AV31" s="15"/>
      <c r="AW31" s="12" t="str">
        <f>B31&amp;C31&amp;L31&amp;M31&amp;O31&amp;U31&amp;AL31&amp;AM31</f>
        <v>SpainMedes Islands Marine ReserveMycteroperca rubramottled grouperbiomassdenN/AHackradt2014</v>
      </c>
    </row>
    <row r="32" spans="1:49" ht="14.25" customHeight="1" x14ac:dyDescent="0.35">
      <c r="A32" s="12">
        <v>31</v>
      </c>
      <c r="B32" s="12" t="s">
        <v>477</v>
      </c>
      <c r="C32" s="15" t="s">
        <v>2681</v>
      </c>
      <c r="D32" s="15" t="s">
        <v>1900</v>
      </c>
      <c r="E32" s="15" t="s">
        <v>1358</v>
      </c>
      <c r="F32" s="13" t="s">
        <v>480</v>
      </c>
      <c r="G32" s="13" t="s">
        <v>51</v>
      </c>
      <c r="H32" s="16" t="s">
        <v>481</v>
      </c>
      <c r="I32" s="16" t="s">
        <v>156</v>
      </c>
      <c r="J32" s="14">
        <v>14</v>
      </c>
      <c r="K32" s="17"/>
      <c r="L32" s="17" t="s">
        <v>482</v>
      </c>
      <c r="M32" s="17" t="s">
        <v>483</v>
      </c>
      <c r="N32" s="17" t="s">
        <v>85</v>
      </c>
      <c r="O32" s="17" t="s">
        <v>70</v>
      </c>
      <c r="P32" s="17"/>
      <c r="Q32" s="17"/>
      <c r="R32" s="17"/>
      <c r="S32" s="17" t="e">
        <f>((0.92+0.34)/2)*#REF!</f>
        <v>#REF!</v>
      </c>
      <c r="T32" s="17" t="e">
        <f>((3.37+5.06)/2)*#REF!</f>
        <v>#REF!</v>
      </c>
      <c r="U32" s="20" t="str">
        <f t="shared" si="2"/>
        <v>N/A</v>
      </c>
      <c r="V32" s="22" t="str">
        <f t="shared" si="3"/>
        <v>N/A</v>
      </c>
      <c r="W32" s="17">
        <v>10.43</v>
      </c>
      <c r="X32" s="14" t="s">
        <v>56</v>
      </c>
      <c r="Y32" s="17"/>
      <c r="Z32" s="14" t="s">
        <v>56</v>
      </c>
      <c r="AA32" s="14"/>
      <c r="AB32" s="17" t="s">
        <v>57</v>
      </c>
      <c r="AC32" s="17">
        <v>2003</v>
      </c>
      <c r="AD32" s="17">
        <v>1</v>
      </c>
      <c r="AE32" s="17"/>
      <c r="AF32" s="17">
        <v>1</v>
      </c>
      <c r="AG32" s="17">
        <v>1986</v>
      </c>
      <c r="AH32" s="14">
        <f t="shared" si="0"/>
        <v>17</v>
      </c>
      <c r="AI32" s="17">
        <f t="shared" si="1"/>
        <v>18</v>
      </c>
      <c r="AJ32" s="17">
        <v>18</v>
      </c>
      <c r="AK32" s="17" t="s">
        <v>56</v>
      </c>
      <c r="AL32" s="16" t="s">
        <v>484</v>
      </c>
      <c r="AM32" s="15">
        <v>2014</v>
      </c>
      <c r="AN32" s="15" t="s">
        <v>150</v>
      </c>
      <c r="AO32" s="15" t="s">
        <v>56</v>
      </c>
      <c r="AP32" s="15"/>
      <c r="AQ32" s="15" t="s">
        <v>56</v>
      </c>
      <c r="AR32" s="15" t="s">
        <v>58</v>
      </c>
      <c r="AS32" s="15" t="s">
        <v>258</v>
      </c>
      <c r="AT32" s="15" t="s">
        <v>151</v>
      </c>
      <c r="AU32" s="45" t="s">
        <v>2682</v>
      </c>
      <c r="AV32" s="15"/>
      <c r="AW32" s="12" t="str">
        <f>B32&amp;C32&amp;L32&amp;M32&amp;O32&amp;U32&amp;AL32&amp;AM32</f>
        <v>SpainTabarca Island Marine Reserve No-take zoneEpinephelus marginatusdusky grouperbiomassdenN/AHackradt2014</v>
      </c>
    </row>
    <row r="33" spans="1:49" ht="14.25" customHeight="1" x14ac:dyDescent="0.35">
      <c r="A33" s="12">
        <v>32</v>
      </c>
      <c r="B33" s="15" t="s">
        <v>477</v>
      </c>
      <c r="C33" s="15" t="s">
        <v>2681</v>
      </c>
      <c r="D33" s="15" t="s">
        <v>1900</v>
      </c>
      <c r="E33" s="15" t="s">
        <v>1358</v>
      </c>
      <c r="F33" s="16" t="s">
        <v>480</v>
      </c>
      <c r="G33" s="16" t="s">
        <v>51</v>
      </c>
      <c r="H33" s="16" t="s">
        <v>481</v>
      </c>
      <c r="I33" s="16" t="s">
        <v>156</v>
      </c>
      <c r="J33" s="17">
        <v>14</v>
      </c>
      <c r="K33" s="17"/>
      <c r="L33" s="17" t="s">
        <v>486</v>
      </c>
      <c r="M33" s="17" t="s">
        <v>487</v>
      </c>
      <c r="N33" s="17" t="s">
        <v>85</v>
      </c>
      <c r="O33" s="17" t="s">
        <v>70</v>
      </c>
      <c r="P33" s="17"/>
      <c r="Q33" s="17"/>
      <c r="R33" s="17"/>
      <c r="S33" s="17" t="e">
        <f>0.08*#REF!</f>
        <v>#REF!</v>
      </c>
      <c r="T33" s="17" t="e">
        <f>0.25*#REF!</f>
        <v>#REF!</v>
      </c>
      <c r="U33" s="20" t="str">
        <f t="shared" si="2"/>
        <v>N/A</v>
      </c>
      <c r="V33" s="22" t="str">
        <f t="shared" si="3"/>
        <v>N/A</v>
      </c>
      <c r="W33" s="17" t="s">
        <v>509</v>
      </c>
      <c r="X33" s="14" t="s">
        <v>56</v>
      </c>
      <c r="Y33" s="17"/>
      <c r="Z33" s="14" t="s">
        <v>56</v>
      </c>
      <c r="AA33" s="14"/>
      <c r="AB33" s="17" t="s">
        <v>57</v>
      </c>
      <c r="AC33" s="17">
        <v>2003</v>
      </c>
      <c r="AD33" s="17">
        <v>1</v>
      </c>
      <c r="AE33" s="17"/>
      <c r="AF33" s="17">
        <v>1</v>
      </c>
      <c r="AG33" s="17">
        <v>1986</v>
      </c>
      <c r="AH33" s="14">
        <f t="shared" si="0"/>
        <v>17</v>
      </c>
      <c r="AI33" s="17">
        <f t="shared" si="1"/>
        <v>18</v>
      </c>
      <c r="AJ33" s="17">
        <v>18</v>
      </c>
      <c r="AK33" s="17" t="s">
        <v>56</v>
      </c>
      <c r="AL33" s="16" t="s">
        <v>484</v>
      </c>
      <c r="AM33" s="15">
        <v>2014</v>
      </c>
      <c r="AN33" s="15" t="s">
        <v>150</v>
      </c>
      <c r="AO33" s="15" t="s">
        <v>56</v>
      </c>
      <c r="AP33" s="15"/>
      <c r="AQ33" s="15" t="s">
        <v>56</v>
      </c>
      <c r="AR33" s="15" t="s">
        <v>58</v>
      </c>
      <c r="AS33" s="15" t="s">
        <v>258</v>
      </c>
      <c r="AT33" s="15" t="s">
        <v>151</v>
      </c>
      <c r="AU33" s="45" t="s">
        <v>2682</v>
      </c>
      <c r="AV33" s="15"/>
      <c r="AW33" s="12" t="str">
        <f>B33&amp;C33&amp;L33&amp;M33&amp;O33&amp;U33&amp;AL33&amp;AM33</f>
        <v>SpainTabarca Island Marine Reserve No-take zoneEpinephelus costaegoldbloch grouperbiomassdenN/AHackradt2014</v>
      </c>
    </row>
    <row r="34" spans="1:49" ht="14.25" customHeight="1" x14ac:dyDescent="0.35">
      <c r="A34" s="12">
        <v>33</v>
      </c>
      <c r="B34" s="15" t="s">
        <v>477</v>
      </c>
      <c r="C34" s="15" t="s">
        <v>2681</v>
      </c>
      <c r="D34" s="15" t="s">
        <v>1900</v>
      </c>
      <c r="E34" s="15" t="s">
        <v>1358</v>
      </c>
      <c r="F34" s="16" t="s">
        <v>480</v>
      </c>
      <c r="G34" s="16" t="s">
        <v>51</v>
      </c>
      <c r="H34" s="16" t="s">
        <v>481</v>
      </c>
      <c r="I34" s="16" t="s">
        <v>156</v>
      </c>
      <c r="J34" s="17">
        <v>14</v>
      </c>
      <c r="K34" s="17"/>
      <c r="L34" s="17" t="s">
        <v>488</v>
      </c>
      <c r="M34" s="17" t="s">
        <v>489</v>
      </c>
      <c r="N34" s="17" t="s">
        <v>85</v>
      </c>
      <c r="O34" s="17" t="s">
        <v>70</v>
      </c>
      <c r="P34" s="17"/>
      <c r="Q34" s="17"/>
      <c r="R34" s="17"/>
      <c r="S34" s="17" t="e">
        <f>((0.045+0.06)/2)*#REF!</f>
        <v>#REF!</v>
      </c>
      <c r="T34" s="17" t="e">
        <f>1.25*#REF!</f>
        <v>#REF!</v>
      </c>
      <c r="U34" s="20" t="str">
        <f t="shared" si="2"/>
        <v>N/A</v>
      </c>
      <c r="V34" s="22" t="str">
        <f t="shared" si="3"/>
        <v>N/A</v>
      </c>
      <c r="W34" s="17" t="s">
        <v>509</v>
      </c>
      <c r="X34" s="14" t="s">
        <v>56</v>
      </c>
      <c r="Y34" s="17"/>
      <c r="Z34" s="14" t="s">
        <v>56</v>
      </c>
      <c r="AA34" s="14"/>
      <c r="AB34" s="17" t="s">
        <v>57</v>
      </c>
      <c r="AC34" s="17">
        <v>2003</v>
      </c>
      <c r="AD34" s="17">
        <v>1</v>
      </c>
      <c r="AE34" s="17"/>
      <c r="AF34" s="17">
        <v>1</v>
      </c>
      <c r="AG34" s="17">
        <v>1986</v>
      </c>
      <c r="AH34" s="14">
        <f t="shared" si="0"/>
        <v>17</v>
      </c>
      <c r="AI34" s="17">
        <f t="shared" si="1"/>
        <v>18</v>
      </c>
      <c r="AJ34" s="17">
        <v>18</v>
      </c>
      <c r="AK34" s="17" t="s">
        <v>56</v>
      </c>
      <c r="AL34" s="16" t="s">
        <v>484</v>
      </c>
      <c r="AM34" s="15">
        <v>2014</v>
      </c>
      <c r="AN34" s="15" t="s">
        <v>150</v>
      </c>
      <c r="AO34" s="15" t="s">
        <v>56</v>
      </c>
      <c r="AP34" s="15"/>
      <c r="AQ34" s="15" t="s">
        <v>56</v>
      </c>
      <c r="AR34" s="15" t="s">
        <v>58</v>
      </c>
      <c r="AS34" s="15" t="s">
        <v>258</v>
      </c>
      <c r="AT34" s="15" t="s">
        <v>151</v>
      </c>
      <c r="AU34" s="45" t="s">
        <v>2682</v>
      </c>
      <c r="AV34" s="15"/>
      <c r="AW34" s="12" t="str">
        <f>B34&amp;C34&amp;L34&amp;M34&amp;O34&amp;U34&amp;AL34&amp;AM34</f>
        <v>SpainTabarca Island Marine Reserve No-take zoneMycteroperca rubramottled grouperbiomassdenN/AHackradt2014</v>
      </c>
    </row>
    <row r="35" spans="1:49" ht="14.25" customHeight="1" x14ac:dyDescent="0.35">
      <c r="A35" s="12">
        <v>34</v>
      </c>
      <c r="B35" s="15" t="s">
        <v>477</v>
      </c>
      <c r="C35" s="15" t="s">
        <v>478</v>
      </c>
      <c r="D35" s="15" t="s">
        <v>478</v>
      </c>
      <c r="E35" s="15" t="s">
        <v>479</v>
      </c>
      <c r="F35" s="16" t="s">
        <v>480</v>
      </c>
      <c r="G35" s="16" t="s">
        <v>51</v>
      </c>
      <c r="H35" s="16" t="s">
        <v>481</v>
      </c>
      <c r="I35" s="16" t="s">
        <v>156</v>
      </c>
      <c r="J35" s="17">
        <v>19</v>
      </c>
      <c r="K35" s="17"/>
      <c r="L35" s="17" t="s">
        <v>482</v>
      </c>
      <c r="M35" s="17" t="s">
        <v>483</v>
      </c>
      <c r="N35" s="17" t="s">
        <v>85</v>
      </c>
      <c r="O35" s="17" t="s">
        <v>70</v>
      </c>
      <c r="P35" s="17"/>
      <c r="Q35" s="17"/>
      <c r="R35" s="17"/>
      <c r="S35" s="17" t="e">
        <f>((10.96+0.33)/2)*#REF!</f>
        <v>#REF!</v>
      </c>
      <c r="T35" s="17" t="e">
        <f>10.62*#REF!</f>
        <v>#REF!</v>
      </c>
      <c r="U35" s="20" t="str">
        <f t="shared" si="2"/>
        <v>N/A</v>
      </c>
      <c r="V35" s="22" t="str">
        <f t="shared" si="3"/>
        <v>N/A</v>
      </c>
      <c r="W35" s="17">
        <v>81.3</v>
      </c>
      <c r="X35" s="14" t="s">
        <v>56</v>
      </c>
      <c r="Y35" s="17"/>
      <c r="Z35" s="14" t="s">
        <v>56</v>
      </c>
      <c r="AA35" s="14"/>
      <c r="AB35" s="17" t="s">
        <v>57</v>
      </c>
      <c r="AC35" s="17">
        <v>2003</v>
      </c>
      <c r="AD35" s="17">
        <v>1</v>
      </c>
      <c r="AE35" s="17"/>
      <c r="AF35" s="17">
        <v>1</v>
      </c>
      <c r="AG35" s="17">
        <v>1995</v>
      </c>
      <c r="AH35" s="14">
        <f t="shared" si="0"/>
        <v>8</v>
      </c>
      <c r="AI35" s="17">
        <f t="shared" si="1"/>
        <v>9</v>
      </c>
      <c r="AJ35" s="17">
        <v>9</v>
      </c>
      <c r="AK35" s="17" t="s">
        <v>56</v>
      </c>
      <c r="AL35" s="16" t="s">
        <v>484</v>
      </c>
      <c r="AM35" s="15">
        <v>2014</v>
      </c>
      <c r="AN35" s="15" t="s">
        <v>150</v>
      </c>
      <c r="AO35" s="15" t="s">
        <v>56</v>
      </c>
      <c r="AP35" s="15"/>
      <c r="AQ35" s="15" t="s">
        <v>56</v>
      </c>
      <c r="AR35" s="15" t="s">
        <v>58</v>
      </c>
      <c r="AS35" s="15" t="s">
        <v>258</v>
      </c>
      <c r="AT35" s="15" t="s">
        <v>151</v>
      </c>
      <c r="AU35" s="45" t="s">
        <v>485</v>
      </c>
      <c r="AV35" s="15"/>
      <c r="AW35" s="12" t="str">
        <f>B35&amp;C35&amp;L35&amp;M35&amp;O35&amp;U35&amp;AL35&amp;AM35</f>
        <v>SpainCabo de Palos – Islas Hormigas Marine ReserveEpinephelus marginatusdusky grouperbiomassdenN/AHackradt2014</v>
      </c>
    </row>
    <row r="36" spans="1:49" ht="14.25" customHeight="1" x14ac:dyDescent="0.35">
      <c r="A36" s="12">
        <v>35</v>
      </c>
      <c r="B36" s="12" t="s">
        <v>477</v>
      </c>
      <c r="C36" s="12" t="s">
        <v>478</v>
      </c>
      <c r="D36" s="12" t="s">
        <v>478</v>
      </c>
      <c r="E36" s="12" t="s">
        <v>479</v>
      </c>
      <c r="F36" s="13" t="s">
        <v>480</v>
      </c>
      <c r="G36" s="13" t="s">
        <v>51</v>
      </c>
      <c r="H36" s="13" t="s">
        <v>481</v>
      </c>
      <c r="I36" s="13" t="s">
        <v>156</v>
      </c>
      <c r="J36" s="14">
        <v>19</v>
      </c>
      <c r="K36" s="14"/>
      <c r="L36" s="14" t="s">
        <v>486</v>
      </c>
      <c r="M36" s="14" t="s">
        <v>487</v>
      </c>
      <c r="N36" s="14" t="s">
        <v>85</v>
      </c>
      <c r="O36" s="14" t="s">
        <v>70</v>
      </c>
      <c r="P36" s="14"/>
      <c r="Q36" s="14"/>
      <c r="R36" s="14"/>
      <c r="S36" s="14" t="e">
        <f>((2.16+0.072)/2)*#REF!</f>
        <v>#REF!</v>
      </c>
      <c r="T36" s="14" t="e">
        <f>0.67*#REF!</f>
        <v>#REF!</v>
      </c>
      <c r="U36" s="19" t="str">
        <f t="shared" ref="U36:U67" si="5">IFERROR(IF(AND(Q36="",R36="",S36="",T36=""),"",IF(AND(Q36&lt;&gt;"",R36&lt;&gt;"",S36&lt;&gt;"",T36&lt;&gt;""),(T36/R36)/(S36/Q36),IF(AND(Q36&lt;&gt;"",R36&lt;&gt;""),R36/Q36,IF(AND(S36&lt;&gt;"",T36&lt;&gt;""),T36/S36,IF(AND(Q36&lt;&gt;"",S36&lt;&gt;""),Q36/S36,IF(AND(R36&lt;&gt;"",T36&lt;&gt;""),T36/R36)))))), "N/A")</f>
        <v>N/A</v>
      </c>
      <c r="V36" s="41" t="str">
        <f t="shared" si="3"/>
        <v>N/A</v>
      </c>
      <c r="W36" s="14">
        <v>-36.78</v>
      </c>
      <c r="X36" s="14" t="s">
        <v>56</v>
      </c>
      <c r="Z36" s="14" t="s">
        <v>56</v>
      </c>
      <c r="AA36" s="14"/>
      <c r="AB36" s="14" t="s">
        <v>57</v>
      </c>
      <c r="AC36" s="14">
        <v>2003</v>
      </c>
      <c r="AD36" s="14">
        <v>1</v>
      </c>
      <c r="AE36" s="14"/>
      <c r="AF36" s="14">
        <v>1</v>
      </c>
      <c r="AG36" s="14">
        <v>1995</v>
      </c>
      <c r="AH36" s="14">
        <f t="shared" si="0"/>
        <v>8</v>
      </c>
      <c r="AI36" s="17">
        <f t="shared" si="1"/>
        <v>9</v>
      </c>
      <c r="AJ36" s="14">
        <v>9</v>
      </c>
      <c r="AK36" s="14" t="s">
        <v>56</v>
      </c>
      <c r="AL36" s="13" t="s">
        <v>484</v>
      </c>
      <c r="AM36" s="12">
        <v>2014</v>
      </c>
      <c r="AN36" s="12" t="s">
        <v>150</v>
      </c>
      <c r="AO36" s="12" t="s">
        <v>56</v>
      </c>
      <c r="AP36" s="12"/>
      <c r="AQ36" s="12" t="s">
        <v>56</v>
      </c>
      <c r="AR36" s="12" t="s">
        <v>58</v>
      </c>
      <c r="AS36" s="12" t="s">
        <v>258</v>
      </c>
      <c r="AT36" s="12" t="s">
        <v>151</v>
      </c>
      <c r="AU36" s="45" t="s">
        <v>485</v>
      </c>
      <c r="AV36" s="15"/>
      <c r="AW36" s="12" t="str">
        <f>B36&amp;C36&amp;L36&amp;M36&amp;O36&amp;U36&amp;AL36&amp;AM36</f>
        <v>SpainCabo de Palos – Islas Hormigas Marine ReserveEpinephelus costaegoldbloch grouperbiomassdenN/AHackradt2014</v>
      </c>
    </row>
    <row r="37" spans="1:49" ht="14.25" customHeight="1" x14ac:dyDescent="0.35">
      <c r="A37" s="12">
        <v>36</v>
      </c>
      <c r="B37" s="12" t="s">
        <v>477</v>
      </c>
      <c r="C37" s="12" t="s">
        <v>478</v>
      </c>
      <c r="D37" s="12" t="s">
        <v>478</v>
      </c>
      <c r="E37" s="12" t="s">
        <v>479</v>
      </c>
      <c r="F37" s="13" t="s">
        <v>480</v>
      </c>
      <c r="G37" s="13" t="s">
        <v>51</v>
      </c>
      <c r="H37" s="13" t="s">
        <v>481</v>
      </c>
      <c r="I37" s="13" t="s">
        <v>156</v>
      </c>
      <c r="J37" s="14">
        <v>19</v>
      </c>
      <c r="K37" s="17"/>
      <c r="L37" s="14" t="s">
        <v>488</v>
      </c>
      <c r="M37" s="14" t="s">
        <v>489</v>
      </c>
      <c r="N37" s="14" t="s">
        <v>85</v>
      </c>
      <c r="O37" s="14" t="s">
        <v>70</v>
      </c>
      <c r="P37" s="14"/>
      <c r="Q37" s="14"/>
      <c r="R37" s="14"/>
      <c r="S37" s="14" t="e">
        <f>((0.16+0.045)/2)*#REF!</f>
        <v>#REF!</v>
      </c>
      <c r="T37" s="14" t="e">
        <f>1.6*#REF!</f>
        <v>#REF!</v>
      </c>
      <c r="U37" s="19" t="str">
        <f t="shared" si="5"/>
        <v>N/A</v>
      </c>
      <c r="V37" s="41" t="str">
        <f t="shared" si="3"/>
        <v>N/A</v>
      </c>
      <c r="W37" s="14">
        <v>1090.3</v>
      </c>
      <c r="X37" s="14" t="s">
        <v>56</v>
      </c>
      <c r="Z37" s="14" t="s">
        <v>56</v>
      </c>
      <c r="AA37" s="14"/>
      <c r="AB37" s="14" t="s">
        <v>57</v>
      </c>
      <c r="AC37" s="14">
        <v>2003</v>
      </c>
      <c r="AD37" s="14">
        <v>1</v>
      </c>
      <c r="AE37" s="14"/>
      <c r="AF37" s="14">
        <v>1</v>
      </c>
      <c r="AG37" s="14">
        <v>1995</v>
      </c>
      <c r="AH37" s="14">
        <f t="shared" si="0"/>
        <v>8</v>
      </c>
      <c r="AI37" s="17">
        <f t="shared" si="1"/>
        <v>9</v>
      </c>
      <c r="AJ37" s="14">
        <v>9</v>
      </c>
      <c r="AK37" s="14" t="s">
        <v>56</v>
      </c>
      <c r="AL37" s="13" t="s">
        <v>484</v>
      </c>
      <c r="AM37" s="12">
        <v>2014</v>
      </c>
      <c r="AN37" s="12" t="s">
        <v>150</v>
      </c>
      <c r="AO37" s="12" t="s">
        <v>56</v>
      </c>
      <c r="AP37" s="12"/>
      <c r="AQ37" s="12" t="s">
        <v>56</v>
      </c>
      <c r="AR37" s="12" t="s">
        <v>58</v>
      </c>
      <c r="AS37" s="12" t="s">
        <v>258</v>
      </c>
      <c r="AT37" s="12" t="s">
        <v>151</v>
      </c>
      <c r="AU37" s="45" t="s">
        <v>485</v>
      </c>
      <c r="AV37" s="15"/>
      <c r="AW37" s="12" t="str">
        <f>B37&amp;C37&amp;L37&amp;M37&amp;O37&amp;U37&amp;AL37&amp;AM37</f>
        <v>SpainCabo de Palos – Islas Hormigas Marine ReserveMycteroperca rubramottled grouperbiomassdenN/AHackradt2014</v>
      </c>
    </row>
    <row r="38" spans="1:49" ht="14.25" customHeight="1" x14ac:dyDescent="0.35">
      <c r="A38" s="12">
        <v>37</v>
      </c>
      <c r="B38" s="15" t="s">
        <v>1240</v>
      </c>
      <c r="C38" s="15" t="s">
        <v>2646</v>
      </c>
      <c r="D38" s="15" t="s">
        <v>1241</v>
      </c>
      <c r="E38" s="15" t="s">
        <v>1242</v>
      </c>
      <c r="F38" s="13" t="s">
        <v>50</v>
      </c>
      <c r="G38" s="13" t="s">
        <v>51</v>
      </c>
      <c r="H38" s="16" t="s">
        <v>108</v>
      </c>
      <c r="I38" s="16" t="s">
        <v>156</v>
      </c>
      <c r="J38" s="17">
        <v>0.1</v>
      </c>
      <c r="K38" s="17"/>
      <c r="L38" s="14" t="s">
        <v>1476</v>
      </c>
      <c r="M38" s="17" t="s">
        <v>961</v>
      </c>
      <c r="N38" s="14" t="s">
        <v>170</v>
      </c>
      <c r="O38" s="17" t="s">
        <v>70</v>
      </c>
      <c r="P38" s="17"/>
      <c r="Q38" s="17">
        <v>79</v>
      </c>
      <c r="R38" s="17">
        <v>256</v>
      </c>
      <c r="S38" s="17">
        <v>128</v>
      </c>
      <c r="T38" s="17">
        <v>1000</v>
      </c>
      <c r="U38" s="20">
        <f t="shared" si="5"/>
        <v>2.410888671875</v>
      </c>
      <c r="V38" s="22">
        <f t="shared" si="3"/>
        <v>141.0888671875</v>
      </c>
      <c r="W38" s="17"/>
      <c r="X38" s="17" t="s">
        <v>56</v>
      </c>
      <c r="Y38" s="17"/>
      <c r="Z38" s="17" t="s">
        <v>56</v>
      </c>
      <c r="AA38" s="17"/>
      <c r="AB38" s="17" t="s">
        <v>111</v>
      </c>
      <c r="AC38" s="17">
        <v>1995</v>
      </c>
      <c r="AD38" s="17">
        <v>7</v>
      </c>
      <c r="AE38" s="17"/>
      <c r="AF38" s="17">
        <v>8</v>
      </c>
      <c r="AG38" s="17">
        <v>1995</v>
      </c>
      <c r="AH38" s="14">
        <f t="shared" si="0"/>
        <v>0</v>
      </c>
      <c r="AI38" s="17">
        <f t="shared" si="1"/>
        <v>7</v>
      </c>
      <c r="AJ38" s="17">
        <v>8</v>
      </c>
      <c r="AK38" s="17" t="s">
        <v>58</v>
      </c>
      <c r="AL38" s="16" t="s">
        <v>1243</v>
      </c>
      <c r="AM38" s="15">
        <v>2006</v>
      </c>
      <c r="AN38" s="15" t="s">
        <v>263</v>
      </c>
      <c r="AO38" s="15" t="s">
        <v>56</v>
      </c>
      <c r="AP38" s="15"/>
      <c r="AQ38" s="15" t="s">
        <v>56</v>
      </c>
      <c r="AR38" s="15" t="s">
        <v>58</v>
      </c>
      <c r="AS38" s="15" t="s">
        <v>163</v>
      </c>
      <c r="AT38" s="15" t="s">
        <v>151</v>
      </c>
      <c r="AU38" s="45" t="s">
        <v>2863</v>
      </c>
      <c r="AV38" s="15"/>
      <c r="AW38" s="12" t="str">
        <f>B38&amp;C38&amp;L38&amp;M38&amp;O38&amp;U38&amp;AL38&amp;AM38</f>
        <v>St. LuciaSoufriere Marine Management Area L1Epinephelidaegroupersbiomassden2.410888671875Hawkins2006</v>
      </c>
    </row>
    <row r="39" spans="1:49" ht="14.25" customHeight="1" x14ac:dyDescent="0.35">
      <c r="A39" s="12">
        <v>38</v>
      </c>
      <c r="B39" s="15" t="s">
        <v>1887</v>
      </c>
      <c r="C39" s="12" t="s">
        <v>2647</v>
      </c>
      <c r="D39" s="12" t="s">
        <v>1241</v>
      </c>
      <c r="E39" s="12" t="s">
        <v>1242</v>
      </c>
      <c r="F39" s="13" t="s">
        <v>50</v>
      </c>
      <c r="G39" s="13" t="s">
        <v>51</v>
      </c>
      <c r="H39" s="13" t="s">
        <v>108</v>
      </c>
      <c r="I39" s="13" t="s">
        <v>156</v>
      </c>
      <c r="J39" s="14">
        <v>0.4</v>
      </c>
      <c r="K39" s="14"/>
      <c r="L39" s="14" t="s">
        <v>1476</v>
      </c>
      <c r="M39" s="14" t="s">
        <v>961</v>
      </c>
      <c r="N39" s="14" t="s">
        <v>170</v>
      </c>
      <c r="O39" s="14" t="s">
        <v>70</v>
      </c>
      <c r="P39" s="14"/>
      <c r="Q39" s="14">
        <v>141</v>
      </c>
      <c r="R39" s="14">
        <v>73</v>
      </c>
      <c r="S39" s="14">
        <v>88</v>
      </c>
      <c r="T39" s="14">
        <v>299</v>
      </c>
      <c r="U39" s="19">
        <f t="shared" si="5"/>
        <v>6.5627334993773347</v>
      </c>
      <c r="V39" s="41">
        <f t="shared" si="3"/>
        <v>556.27334993773343</v>
      </c>
      <c r="W39" s="14"/>
      <c r="X39" s="14" t="s">
        <v>56</v>
      </c>
      <c r="Z39" s="14" t="s">
        <v>56</v>
      </c>
      <c r="AA39" s="14"/>
      <c r="AB39" s="14" t="s">
        <v>111</v>
      </c>
      <c r="AC39" s="14">
        <v>1995</v>
      </c>
      <c r="AD39" s="14">
        <v>7</v>
      </c>
      <c r="AE39" s="14"/>
      <c r="AF39" s="14">
        <v>8</v>
      </c>
      <c r="AG39" s="14">
        <v>1995</v>
      </c>
      <c r="AH39" s="14">
        <f t="shared" si="0"/>
        <v>0</v>
      </c>
      <c r="AI39" s="17">
        <f t="shared" si="1"/>
        <v>7</v>
      </c>
      <c r="AJ39" s="14">
        <v>8</v>
      </c>
      <c r="AK39" s="14" t="s">
        <v>58</v>
      </c>
      <c r="AL39" s="13" t="s">
        <v>1243</v>
      </c>
      <c r="AM39" s="12">
        <v>2006</v>
      </c>
      <c r="AN39" s="12" t="s">
        <v>263</v>
      </c>
      <c r="AO39" s="12" t="s">
        <v>56</v>
      </c>
      <c r="AP39" s="12"/>
      <c r="AQ39" s="12" t="s">
        <v>56</v>
      </c>
      <c r="AR39" s="12" t="s">
        <v>58</v>
      </c>
      <c r="AS39" s="12" t="s">
        <v>163</v>
      </c>
      <c r="AT39" s="12" t="s">
        <v>151</v>
      </c>
      <c r="AU39" s="45" t="s">
        <v>2645</v>
      </c>
      <c r="AV39" s="15"/>
      <c r="AW39" s="12" t="str">
        <f>B39&amp;C39&amp;L39&amp;M39&amp;O39&amp;U39&amp;AL39&amp;AM39</f>
        <v>Saint LuciaSoufriere Marine Management Area L2Epinephelidaegroupersbiomassden6.56273349937733Hawkins2006</v>
      </c>
    </row>
    <row r="40" spans="1:49" ht="14.25" customHeight="1" x14ac:dyDescent="0.35">
      <c r="A40" s="12">
        <v>39</v>
      </c>
      <c r="B40" s="15" t="s">
        <v>1887</v>
      </c>
      <c r="C40" s="15" t="s">
        <v>2648</v>
      </c>
      <c r="D40" s="15" t="s">
        <v>1241</v>
      </c>
      <c r="E40" s="15" t="s">
        <v>1242</v>
      </c>
      <c r="F40" s="13" t="s">
        <v>50</v>
      </c>
      <c r="G40" s="13" t="s">
        <v>51</v>
      </c>
      <c r="H40" s="16" t="s">
        <v>108</v>
      </c>
      <c r="I40" s="16" t="s">
        <v>156</v>
      </c>
      <c r="J40" s="17">
        <v>0.5</v>
      </c>
      <c r="K40" s="17"/>
      <c r="L40" s="14" t="s">
        <v>1476</v>
      </c>
      <c r="M40" s="17" t="s">
        <v>961</v>
      </c>
      <c r="N40" s="14" t="s">
        <v>170</v>
      </c>
      <c r="O40" s="17" t="s">
        <v>70</v>
      </c>
      <c r="P40" s="17"/>
      <c r="Q40" s="17">
        <v>157</v>
      </c>
      <c r="R40" s="17">
        <v>196</v>
      </c>
      <c r="S40" s="17">
        <v>227</v>
      </c>
      <c r="T40" s="17">
        <v>487</v>
      </c>
      <c r="U40" s="20">
        <f t="shared" si="5"/>
        <v>1.7184887170727323</v>
      </c>
      <c r="V40" s="22">
        <f t="shared" si="3"/>
        <v>71.848871707273233</v>
      </c>
      <c r="W40" s="17"/>
      <c r="X40" s="17" t="s">
        <v>56</v>
      </c>
      <c r="Y40" s="17"/>
      <c r="Z40" s="17" t="s">
        <v>56</v>
      </c>
      <c r="AA40" s="17"/>
      <c r="AB40" s="17" t="s">
        <v>111</v>
      </c>
      <c r="AC40" s="17">
        <v>1995</v>
      </c>
      <c r="AD40" s="17">
        <v>7</v>
      </c>
      <c r="AE40" s="17"/>
      <c r="AF40" s="17">
        <v>8</v>
      </c>
      <c r="AG40" s="17">
        <v>1995</v>
      </c>
      <c r="AH40" s="14">
        <f t="shared" si="0"/>
        <v>0</v>
      </c>
      <c r="AI40" s="17">
        <f t="shared" si="1"/>
        <v>7</v>
      </c>
      <c r="AJ40" s="17">
        <v>8</v>
      </c>
      <c r="AK40" s="17" t="s">
        <v>58</v>
      </c>
      <c r="AL40" s="16" t="s">
        <v>1243</v>
      </c>
      <c r="AM40" s="15">
        <v>2006</v>
      </c>
      <c r="AN40" s="15" t="s">
        <v>263</v>
      </c>
      <c r="AO40" s="15" t="s">
        <v>56</v>
      </c>
      <c r="AP40" s="15"/>
      <c r="AQ40" s="15" t="s">
        <v>56</v>
      </c>
      <c r="AR40" s="15" t="s">
        <v>58</v>
      </c>
      <c r="AS40" s="15" t="s">
        <v>163</v>
      </c>
      <c r="AT40" s="15" t="s">
        <v>151</v>
      </c>
      <c r="AU40" s="45" t="s">
        <v>2645</v>
      </c>
      <c r="AV40" s="15"/>
      <c r="AW40" s="12" t="str">
        <f>B40&amp;C40&amp;L40&amp;M40&amp;O40&amp;U40&amp;AL40&amp;AM40</f>
        <v>Saint LuciaSoufriere Marine Management Area L3Epinephelidaegroupersbiomassden1.71848871707273Hawkins2006</v>
      </c>
    </row>
    <row r="41" spans="1:49" ht="14.25" customHeight="1" x14ac:dyDescent="0.35">
      <c r="A41" s="12">
        <v>40</v>
      </c>
      <c r="B41" s="15" t="s">
        <v>1887</v>
      </c>
      <c r="C41" s="12" t="s">
        <v>2649</v>
      </c>
      <c r="D41" s="12" t="s">
        <v>1241</v>
      </c>
      <c r="E41" s="12" t="s">
        <v>1242</v>
      </c>
      <c r="F41" s="13" t="s">
        <v>50</v>
      </c>
      <c r="G41" s="13" t="s">
        <v>51</v>
      </c>
      <c r="H41" s="13" t="s">
        <v>108</v>
      </c>
      <c r="I41" s="13" t="s">
        <v>156</v>
      </c>
      <c r="J41" s="14">
        <v>0.7</v>
      </c>
      <c r="K41" s="14"/>
      <c r="L41" s="14" t="s">
        <v>1476</v>
      </c>
      <c r="M41" s="14" t="s">
        <v>961</v>
      </c>
      <c r="N41" s="14" t="s">
        <v>170</v>
      </c>
      <c r="O41" s="17" t="s">
        <v>70</v>
      </c>
      <c r="P41" s="14"/>
      <c r="Q41" s="14">
        <v>174</v>
      </c>
      <c r="R41" s="14">
        <v>232</v>
      </c>
      <c r="S41" s="14">
        <v>230</v>
      </c>
      <c r="T41" s="14">
        <v>434</v>
      </c>
      <c r="U41" s="19">
        <f t="shared" si="5"/>
        <v>1.4152173913043478</v>
      </c>
      <c r="V41" s="41">
        <f t="shared" si="3"/>
        <v>41.521739130434774</v>
      </c>
      <c r="W41" s="14"/>
      <c r="X41" s="14" t="s">
        <v>56</v>
      </c>
      <c r="Z41" s="14" t="s">
        <v>56</v>
      </c>
      <c r="AA41" s="14"/>
      <c r="AB41" s="14" t="s">
        <v>111</v>
      </c>
      <c r="AC41" s="14">
        <v>1995</v>
      </c>
      <c r="AD41" s="14">
        <v>7</v>
      </c>
      <c r="AE41" s="14"/>
      <c r="AF41" s="14">
        <v>8</v>
      </c>
      <c r="AG41" s="14">
        <v>1995</v>
      </c>
      <c r="AH41" s="14">
        <f t="shared" si="0"/>
        <v>0</v>
      </c>
      <c r="AI41" s="17">
        <f t="shared" si="1"/>
        <v>7</v>
      </c>
      <c r="AJ41" s="14">
        <v>8</v>
      </c>
      <c r="AK41" s="14" t="s">
        <v>58</v>
      </c>
      <c r="AL41" s="13" t="s">
        <v>1243</v>
      </c>
      <c r="AM41" s="12">
        <v>2006</v>
      </c>
      <c r="AN41" s="12" t="s">
        <v>263</v>
      </c>
      <c r="AO41" s="12" t="s">
        <v>56</v>
      </c>
      <c r="AP41" s="12"/>
      <c r="AQ41" s="12" t="s">
        <v>56</v>
      </c>
      <c r="AR41" s="12" t="s">
        <v>58</v>
      </c>
      <c r="AS41" s="12" t="s">
        <v>163</v>
      </c>
      <c r="AT41" s="12" t="s">
        <v>151</v>
      </c>
      <c r="AU41" s="45" t="s">
        <v>2645</v>
      </c>
      <c r="AV41" s="15"/>
      <c r="AW41" s="12" t="str">
        <f>B41&amp;C41&amp;L41&amp;M41&amp;O41&amp;U41&amp;AL41&amp;AM41</f>
        <v>Saint LuciaSoufriere Marine Management Area L4Epinephelidaegroupersbiomassden1.41521739130435Hawkins2006</v>
      </c>
    </row>
    <row r="42" spans="1:49" ht="14.25" customHeight="1" x14ac:dyDescent="0.35">
      <c r="A42" s="12">
        <v>41</v>
      </c>
      <c r="B42" s="15" t="s">
        <v>1887</v>
      </c>
      <c r="C42" s="12" t="s">
        <v>2646</v>
      </c>
      <c r="D42" s="12" t="s">
        <v>1241</v>
      </c>
      <c r="E42" s="12" t="s">
        <v>1242</v>
      </c>
      <c r="F42" s="13" t="s">
        <v>50</v>
      </c>
      <c r="G42" s="13" t="s">
        <v>51</v>
      </c>
      <c r="H42" s="13" t="s">
        <v>108</v>
      </c>
      <c r="I42" s="13" t="s">
        <v>156</v>
      </c>
      <c r="J42" s="14">
        <v>0.1</v>
      </c>
      <c r="K42" s="14"/>
      <c r="L42" s="14" t="s">
        <v>627</v>
      </c>
      <c r="M42" s="14" t="s">
        <v>628</v>
      </c>
      <c r="N42" s="14" t="s">
        <v>170</v>
      </c>
      <c r="O42" s="14" t="s">
        <v>70</v>
      </c>
      <c r="P42" s="14"/>
      <c r="Q42" s="14">
        <v>392</v>
      </c>
      <c r="R42" s="14">
        <v>1451</v>
      </c>
      <c r="S42" s="14">
        <v>1451</v>
      </c>
      <c r="T42" s="14">
        <v>5373</v>
      </c>
      <c r="U42" s="19">
        <f t="shared" si="5"/>
        <v>1.0003870996546502</v>
      </c>
      <c r="V42" s="41">
        <f t="shared" si="3"/>
        <v>3.8709965465022478E-2</v>
      </c>
      <c r="W42" s="14"/>
      <c r="X42" s="14" t="s">
        <v>56</v>
      </c>
      <c r="Z42" s="14" t="s">
        <v>56</v>
      </c>
      <c r="AA42" s="14"/>
      <c r="AB42" s="14" t="s">
        <v>111</v>
      </c>
      <c r="AC42" s="14">
        <v>1995</v>
      </c>
      <c r="AD42" s="14">
        <v>7</v>
      </c>
      <c r="AE42" s="14"/>
      <c r="AF42" s="14">
        <v>8</v>
      </c>
      <c r="AG42" s="14">
        <v>1995</v>
      </c>
      <c r="AH42" s="14">
        <f t="shared" si="0"/>
        <v>0</v>
      </c>
      <c r="AI42" s="17">
        <f t="shared" si="1"/>
        <v>7</v>
      </c>
      <c r="AJ42" s="14">
        <v>8</v>
      </c>
      <c r="AK42" s="14" t="s">
        <v>58</v>
      </c>
      <c r="AL42" s="13" t="s">
        <v>1243</v>
      </c>
      <c r="AM42" s="12">
        <v>2006</v>
      </c>
      <c r="AN42" s="12" t="s">
        <v>263</v>
      </c>
      <c r="AO42" s="12" t="s">
        <v>56</v>
      </c>
      <c r="AP42" s="12"/>
      <c r="AQ42" s="12" t="s">
        <v>56</v>
      </c>
      <c r="AR42" s="12" t="s">
        <v>58</v>
      </c>
      <c r="AS42" s="12" t="s">
        <v>163</v>
      </c>
      <c r="AT42" s="12" t="s">
        <v>151</v>
      </c>
      <c r="AU42" s="45" t="s">
        <v>2645</v>
      </c>
      <c r="AV42" s="15"/>
      <c r="AW42" s="12" t="str">
        <f>B42&amp;C42&amp;L42&amp;M42&amp;O42&amp;U42&amp;AL42&amp;AM42</f>
        <v>Saint LuciaSoufriere Marine Management Area L1Lutjanidaesnappersbiomassden1.00038709965465Hawkins2006</v>
      </c>
    </row>
    <row r="43" spans="1:49" ht="14.25" customHeight="1" x14ac:dyDescent="0.35">
      <c r="A43" s="12">
        <v>42</v>
      </c>
      <c r="B43" s="15" t="s">
        <v>1887</v>
      </c>
      <c r="C43" s="12" t="s">
        <v>2647</v>
      </c>
      <c r="D43" s="12" t="s">
        <v>1241</v>
      </c>
      <c r="E43" s="12" t="s">
        <v>1242</v>
      </c>
      <c r="F43" s="13" t="s">
        <v>50</v>
      </c>
      <c r="G43" s="13" t="s">
        <v>51</v>
      </c>
      <c r="H43" s="13" t="s">
        <v>108</v>
      </c>
      <c r="I43" s="13" t="s">
        <v>156</v>
      </c>
      <c r="J43" s="14">
        <v>0.4</v>
      </c>
      <c r="K43" s="14"/>
      <c r="L43" s="14" t="s">
        <v>627</v>
      </c>
      <c r="M43" s="14" t="s">
        <v>628</v>
      </c>
      <c r="N43" s="14" t="s">
        <v>170</v>
      </c>
      <c r="O43" s="14" t="s">
        <v>70</v>
      </c>
      <c r="P43" s="14"/>
      <c r="Q43" s="14">
        <v>327</v>
      </c>
      <c r="R43" s="14">
        <v>327</v>
      </c>
      <c r="S43" s="14">
        <v>817</v>
      </c>
      <c r="T43" s="14">
        <v>1078</v>
      </c>
      <c r="U43" s="19">
        <f t="shared" si="5"/>
        <v>1.3194614443084456</v>
      </c>
      <c r="V43" s="41">
        <f t="shared" si="3"/>
        <v>31.946144430844559</v>
      </c>
      <c r="W43" s="14"/>
      <c r="X43" s="14" t="s">
        <v>56</v>
      </c>
      <c r="Z43" s="14" t="s">
        <v>56</v>
      </c>
      <c r="AA43" s="14"/>
      <c r="AB43" s="14" t="s">
        <v>111</v>
      </c>
      <c r="AC43" s="14">
        <v>1995</v>
      </c>
      <c r="AD43" s="14">
        <v>7</v>
      </c>
      <c r="AE43" s="14"/>
      <c r="AF43" s="14">
        <v>8</v>
      </c>
      <c r="AG43" s="14">
        <v>1995</v>
      </c>
      <c r="AH43" s="14">
        <f t="shared" si="0"/>
        <v>0</v>
      </c>
      <c r="AI43" s="17">
        <f t="shared" si="1"/>
        <v>7</v>
      </c>
      <c r="AJ43" s="14">
        <v>8</v>
      </c>
      <c r="AK43" s="14" t="s">
        <v>58</v>
      </c>
      <c r="AL43" s="13" t="s">
        <v>1243</v>
      </c>
      <c r="AM43" s="12">
        <v>2006</v>
      </c>
      <c r="AN43" s="12" t="s">
        <v>263</v>
      </c>
      <c r="AO43" s="12" t="s">
        <v>56</v>
      </c>
      <c r="AP43" s="12"/>
      <c r="AQ43" s="12" t="s">
        <v>56</v>
      </c>
      <c r="AR43" s="12" t="s">
        <v>58</v>
      </c>
      <c r="AS43" s="12" t="s">
        <v>163</v>
      </c>
      <c r="AT43" s="12" t="s">
        <v>151</v>
      </c>
      <c r="AU43" s="45" t="s">
        <v>2645</v>
      </c>
      <c r="AV43" s="15"/>
      <c r="AW43" s="12" t="str">
        <f>B43&amp;C43&amp;L43&amp;M43&amp;O43&amp;U43&amp;AL43&amp;AM43</f>
        <v>Saint LuciaSoufriere Marine Management Area L2Lutjanidaesnappersbiomassden1.31946144430845Hawkins2006</v>
      </c>
    </row>
    <row r="44" spans="1:49" ht="14.25" customHeight="1" x14ac:dyDescent="0.35">
      <c r="A44" s="12">
        <v>43</v>
      </c>
      <c r="B44" s="15" t="s">
        <v>1887</v>
      </c>
      <c r="C44" s="12" t="s">
        <v>2648</v>
      </c>
      <c r="D44" s="12" t="s">
        <v>1241</v>
      </c>
      <c r="E44" s="12" t="s">
        <v>1242</v>
      </c>
      <c r="F44" s="13" t="s">
        <v>50</v>
      </c>
      <c r="G44" s="13" t="s">
        <v>51</v>
      </c>
      <c r="H44" s="13" t="s">
        <v>108</v>
      </c>
      <c r="I44" s="13" t="s">
        <v>156</v>
      </c>
      <c r="J44" s="14">
        <v>0.5</v>
      </c>
      <c r="K44" s="14"/>
      <c r="L44" s="14" t="s">
        <v>627</v>
      </c>
      <c r="M44" s="14" t="s">
        <v>628</v>
      </c>
      <c r="N44" s="14" t="s">
        <v>170</v>
      </c>
      <c r="O44" s="14" t="s">
        <v>70</v>
      </c>
      <c r="P44" s="14"/>
      <c r="Q44" s="14">
        <v>547</v>
      </c>
      <c r="R44" s="14">
        <v>410</v>
      </c>
      <c r="S44" s="14">
        <v>958</v>
      </c>
      <c r="T44" s="14">
        <v>1290</v>
      </c>
      <c r="U44" s="19">
        <f t="shared" si="5"/>
        <v>1.7965018585467691</v>
      </c>
      <c r="V44" s="41">
        <f t="shared" si="3"/>
        <v>79.65018585467692</v>
      </c>
      <c r="W44" s="14"/>
      <c r="X44" s="14" t="s">
        <v>56</v>
      </c>
      <c r="Z44" s="14" t="s">
        <v>56</v>
      </c>
      <c r="AA44" s="14"/>
      <c r="AB44" s="14" t="s">
        <v>111</v>
      </c>
      <c r="AC44" s="14">
        <v>1995</v>
      </c>
      <c r="AD44" s="14">
        <v>7</v>
      </c>
      <c r="AE44" s="14"/>
      <c r="AF44" s="14">
        <v>8</v>
      </c>
      <c r="AG44" s="14">
        <v>1995</v>
      </c>
      <c r="AH44" s="14">
        <f t="shared" si="0"/>
        <v>0</v>
      </c>
      <c r="AI44" s="17">
        <f t="shared" si="1"/>
        <v>7</v>
      </c>
      <c r="AJ44" s="14">
        <v>8</v>
      </c>
      <c r="AK44" s="14" t="s">
        <v>58</v>
      </c>
      <c r="AL44" s="13" t="s">
        <v>1243</v>
      </c>
      <c r="AM44" s="12">
        <v>2006</v>
      </c>
      <c r="AN44" s="12" t="s">
        <v>263</v>
      </c>
      <c r="AO44" s="12" t="s">
        <v>56</v>
      </c>
      <c r="AP44" s="12"/>
      <c r="AQ44" s="12" t="s">
        <v>56</v>
      </c>
      <c r="AR44" s="12" t="s">
        <v>58</v>
      </c>
      <c r="AS44" s="12" t="s">
        <v>163</v>
      </c>
      <c r="AT44" s="12" t="s">
        <v>151</v>
      </c>
      <c r="AU44" s="45" t="s">
        <v>2645</v>
      </c>
      <c r="AV44" s="15"/>
      <c r="AW44" s="12" t="str">
        <f>B44&amp;C44&amp;L44&amp;M44&amp;O44&amp;U44&amp;AL44&amp;AM44</f>
        <v>Saint LuciaSoufriere Marine Management Area L3Lutjanidaesnappersbiomassden1.79650185854677Hawkins2006</v>
      </c>
    </row>
    <row r="45" spans="1:49" ht="14.25" customHeight="1" x14ac:dyDescent="0.35">
      <c r="A45" s="12">
        <v>44</v>
      </c>
      <c r="B45" s="15" t="s">
        <v>1887</v>
      </c>
      <c r="C45" s="12" t="s">
        <v>2649</v>
      </c>
      <c r="D45" s="12" t="s">
        <v>1241</v>
      </c>
      <c r="E45" s="12" t="s">
        <v>1242</v>
      </c>
      <c r="F45" s="13" t="s">
        <v>50</v>
      </c>
      <c r="G45" s="13" t="s">
        <v>51</v>
      </c>
      <c r="H45" s="13" t="s">
        <v>108</v>
      </c>
      <c r="I45" s="13" t="s">
        <v>156</v>
      </c>
      <c r="J45" s="14">
        <v>0.7</v>
      </c>
      <c r="K45" s="14"/>
      <c r="L45" s="14" t="s">
        <v>627</v>
      </c>
      <c r="M45" s="14" t="s">
        <v>628</v>
      </c>
      <c r="N45" s="14" t="s">
        <v>170</v>
      </c>
      <c r="O45" s="14" t="s">
        <v>70</v>
      </c>
      <c r="P45" s="14"/>
      <c r="Q45" s="14">
        <v>98</v>
      </c>
      <c r="R45" s="14">
        <v>254</v>
      </c>
      <c r="S45" s="14">
        <v>2052</v>
      </c>
      <c r="T45" s="14">
        <v>2052</v>
      </c>
      <c r="U45" s="19">
        <f t="shared" si="5"/>
        <v>0.38582677165354329</v>
      </c>
      <c r="V45" s="41">
        <f t="shared" si="3"/>
        <v>-61.417322834645674</v>
      </c>
      <c r="W45" s="14"/>
      <c r="X45" s="14" t="s">
        <v>56</v>
      </c>
      <c r="Z45" s="14" t="s">
        <v>56</v>
      </c>
      <c r="AA45" s="14"/>
      <c r="AB45" s="14" t="s">
        <v>111</v>
      </c>
      <c r="AC45" s="14">
        <v>1995</v>
      </c>
      <c r="AD45" s="14">
        <v>7</v>
      </c>
      <c r="AE45" s="14"/>
      <c r="AF45" s="14">
        <v>8</v>
      </c>
      <c r="AG45" s="14">
        <v>1995</v>
      </c>
      <c r="AH45" s="14">
        <f t="shared" si="0"/>
        <v>0</v>
      </c>
      <c r="AI45" s="17">
        <f t="shared" si="1"/>
        <v>7</v>
      </c>
      <c r="AJ45" s="14">
        <v>8</v>
      </c>
      <c r="AK45" s="14" t="s">
        <v>58</v>
      </c>
      <c r="AL45" s="13" t="s">
        <v>1243</v>
      </c>
      <c r="AM45" s="12">
        <v>2006</v>
      </c>
      <c r="AN45" s="12" t="s">
        <v>263</v>
      </c>
      <c r="AO45" s="12" t="s">
        <v>56</v>
      </c>
      <c r="AP45" s="12"/>
      <c r="AQ45" s="12" t="s">
        <v>56</v>
      </c>
      <c r="AR45" s="12" t="s">
        <v>58</v>
      </c>
      <c r="AS45" s="12" t="s">
        <v>163</v>
      </c>
      <c r="AT45" s="12" t="s">
        <v>151</v>
      </c>
      <c r="AU45" s="45" t="s">
        <v>2645</v>
      </c>
      <c r="AV45" s="15"/>
      <c r="AW45" s="12" t="str">
        <f>B45&amp;C45&amp;L45&amp;M45&amp;O45&amp;U45&amp;AL45&amp;AM45</f>
        <v>Saint LuciaSoufriere Marine Management Area L4Lutjanidaesnappersbiomassden0.385826771653543Hawkins2006</v>
      </c>
    </row>
    <row r="46" spans="1:49" ht="14.25" customHeight="1" x14ac:dyDescent="0.35">
      <c r="A46" s="12">
        <v>45</v>
      </c>
      <c r="B46" s="15" t="s">
        <v>1887</v>
      </c>
      <c r="C46" s="15" t="s">
        <v>2646</v>
      </c>
      <c r="D46" s="12" t="s">
        <v>1241</v>
      </c>
      <c r="E46" s="15" t="s">
        <v>1242</v>
      </c>
      <c r="F46" s="13" t="s">
        <v>50</v>
      </c>
      <c r="G46" s="13" t="s">
        <v>51</v>
      </c>
      <c r="H46" s="16" t="s">
        <v>108</v>
      </c>
      <c r="I46" s="16" t="s">
        <v>156</v>
      </c>
      <c r="J46" s="17">
        <v>0.1</v>
      </c>
      <c r="K46" s="17"/>
      <c r="L46" s="17" t="s">
        <v>695</v>
      </c>
      <c r="M46" s="17" t="s">
        <v>1244</v>
      </c>
      <c r="N46" s="17" t="s">
        <v>170</v>
      </c>
      <c r="O46" s="17" t="s">
        <v>70</v>
      </c>
      <c r="P46" s="17"/>
      <c r="Q46" s="17">
        <v>734</v>
      </c>
      <c r="R46" s="17">
        <v>351</v>
      </c>
      <c r="S46" s="17">
        <v>862</v>
      </c>
      <c r="T46" s="17">
        <v>1021</v>
      </c>
      <c r="U46" s="20">
        <f t="shared" si="5"/>
        <v>2.4768939919751989</v>
      </c>
      <c r="V46" s="22">
        <f t="shared" si="3"/>
        <v>147.68939919751989</v>
      </c>
      <c r="W46" s="17"/>
      <c r="X46" s="14" t="s">
        <v>56</v>
      </c>
      <c r="Y46" s="17"/>
      <c r="Z46" s="17" t="s">
        <v>56</v>
      </c>
      <c r="AA46" s="17"/>
      <c r="AB46" s="17" t="s">
        <v>111</v>
      </c>
      <c r="AC46" s="17">
        <v>1995</v>
      </c>
      <c r="AD46" s="17">
        <v>7</v>
      </c>
      <c r="AE46" s="17"/>
      <c r="AF46" s="17">
        <v>8</v>
      </c>
      <c r="AG46" s="17">
        <v>1995</v>
      </c>
      <c r="AH46" s="14">
        <f t="shared" si="0"/>
        <v>0</v>
      </c>
      <c r="AI46" s="17">
        <f t="shared" si="1"/>
        <v>7</v>
      </c>
      <c r="AJ46" s="17">
        <v>8</v>
      </c>
      <c r="AK46" s="17" t="s">
        <v>58</v>
      </c>
      <c r="AL46" s="16" t="s">
        <v>1243</v>
      </c>
      <c r="AM46" s="15">
        <v>2006</v>
      </c>
      <c r="AN46" s="15" t="s">
        <v>263</v>
      </c>
      <c r="AO46" s="15" t="s">
        <v>56</v>
      </c>
      <c r="AP46" s="15"/>
      <c r="AQ46" s="15" t="s">
        <v>56</v>
      </c>
      <c r="AR46" s="15" t="s">
        <v>58</v>
      </c>
      <c r="AS46" s="15" t="s">
        <v>163</v>
      </c>
      <c r="AT46" s="15" t="s">
        <v>151</v>
      </c>
      <c r="AU46" s="45" t="s">
        <v>2645</v>
      </c>
      <c r="AV46" s="15"/>
      <c r="AW46" s="12" t="str">
        <f>B46&amp;C46&amp;L46&amp;M46&amp;O46&amp;U46&amp;AL46&amp;AM46</f>
        <v>Saint LuciaSoufriere Marine Management Area L1Haemulidaegruntsbiomassden2.4768939919752Hawkins2006</v>
      </c>
    </row>
    <row r="47" spans="1:49" ht="14.25" customHeight="1" x14ac:dyDescent="0.35">
      <c r="A47" s="12">
        <v>46</v>
      </c>
      <c r="B47" s="15" t="s">
        <v>1887</v>
      </c>
      <c r="C47" s="15" t="s">
        <v>2647</v>
      </c>
      <c r="D47" s="12" t="s">
        <v>1241</v>
      </c>
      <c r="E47" s="12" t="s">
        <v>1242</v>
      </c>
      <c r="F47" s="13" t="s">
        <v>50</v>
      </c>
      <c r="G47" s="13" t="s">
        <v>51</v>
      </c>
      <c r="H47" s="16" t="s">
        <v>108</v>
      </c>
      <c r="I47" s="16" t="s">
        <v>156</v>
      </c>
      <c r="J47" s="17">
        <v>0.4</v>
      </c>
      <c r="K47" s="17"/>
      <c r="L47" s="17" t="s">
        <v>695</v>
      </c>
      <c r="M47" s="17" t="s">
        <v>1244</v>
      </c>
      <c r="N47" s="17" t="s">
        <v>170</v>
      </c>
      <c r="O47" s="17" t="s">
        <v>70</v>
      </c>
      <c r="P47" s="17"/>
      <c r="Q47" s="17">
        <v>60</v>
      </c>
      <c r="R47" s="17">
        <v>53</v>
      </c>
      <c r="S47" s="17">
        <v>1185</v>
      </c>
      <c r="T47" s="17">
        <v>982</v>
      </c>
      <c r="U47" s="19">
        <f t="shared" si="5"/>
        <v>0.93814186768569374</v>
      </c>
      <c r="V47" s="41">
        <f t="shared" si="3"/>
        <v>-6.1858132314306253</v>
      </c>
      <c r="W47" s="14"/>
      <c r="X47" s="14" t="s">
        <v>56</v>
      </c>
      <c r="Y47" s="17"/>
      <c r="Z47" s="17" t="s">
        <v>56</v>
      </c>
      <c r="AA47" s="17"/>
      <c r="AB47" s="17" t="s">
        <v>111</v>
      </c>
      <c r="AC47" s="17">
        <v>1995</v>
      </c>
      <c r="AD47" s="17">
        <v>7</v>
      </c>
      <c r="AE47" s="17"/>
      <c r="AF47" s="17">
        <v>8</v>
      </c>
      <c r="AG47" s="17">
        <v>1995</v>
      </c>
      <c r="AH47" s="14">
        <f t="shared" si="0"/>
        <v>0</v>
      </c>
      <c r="AI47" s="17">
        <f t="shared" si="1"/>
        <v>7</v>
      </c>
      <c r="AJ47" s="17">
        <v>8</v>
      </c>
      <c r="AK47" s="17" t="s">
        <v>58</v>
      </c>
      <c r="AL47" s="16" t="s">
        <v>1243</v>
      </c>
      <c r="AM47" s="15">
        <v>2006</v>
      </c>
      <c r="AN47" s="15" t="s">
        <v>263</v>
      </c>
      <c r="AO47" s="15" t="s">
        <v>56</v>
      </c>
      <c r="AP47" s="15"/>
      <c r="AQ47" s="15" t="s">
        <v>56</v>
      </c>
      <c r="AR47" s="15" t="s">
        <v>58</v>
      </c>
      <c r="AS47" s="15" t="s">
        <v>163</v>
      </c>
      <c r="AT47" s="12" t="s">
        <v>151</v>
      </c>
      <c r="AU47" s="45" t="s">
        <v>2645</v>
      </c>
      <c r="AV47" s="15"/>
      <c r="AW47" s="12" t="str">
        <f>B47&amp;C47&amp;L47&amp;M47&amp;O47&amp;U47&amp;AL47&amp;AM47</f>
        <v>Saint LuciaSoufriere Marine Management Area L2Haemulidaegruntsbiomassden0.938141867685694Hawkins2006</v>
      </c>
    </row>
    <row r="48" spans="1:49" ht="14.25" customHeight="1" x14ac:dyDescent="0.35">
      <c r="A48" s="12">
        <v>47</v>
      </c>
      <c r="B48" s="15" t="s">
        <v>1887</v>
      </c>
      <c r="C48" s="15" t="s">
        <v>2648</v>
      </c>
      <c r="D48" s="12" t="s">
        <v>1241</v>
      </c>
      <c r="E48" s="12" t="s">
        <v>1242</v>
      </c>
      <c r="F48" s="13" t="s">
        <v>50</v>
      </c>
      <c r="G48" s="13" t="s">
        <v>51</v>
      </c>
      <c r="H48" s="16" t="s">
        <v>108</v>
      </c>
      <c r="I48" s="16" t="s">
        <v>156</v>
      </c>
      <c r="J48" s="17">
        <v>0.5</v>
      </c>
      <c r="K48" s="17"/>
      <c r="L48" s="17" t="s">
        <v>695</v>
      </c>
      <c r="M48" s="17" t="s">
        <v>1244</v>
      </c>
      <c r="N48" s="17" t="s">
        <v>170</v>
      </c>
      <c r="O48" s="17" t="s">
        <v>70</v>
      </c>
      <c r="P48" s="17"/>
      <c r="Q48" s="17">
        <v>638</v>
      </c>
      <c r="R48" s="17">
        <v>347</v>
      </c>
      <c r="S48" s="17">
        <v>1878</v>
      </c>
      <c r="T48" s="17">
        <v>985</v>
      </c>
      <c r="U48" s="19">
        <f t="shared" si="5"/>
        <v>0.96434369753830951</v>
      </c>
      <c r="V48" s="41">
        <f t="shared" si="3"/>
        <v>-3.5656302461690492</v>
      </c>
      <c r="W48" s="14"/>
      <c r="X48" s="14" t="s">
        <v>56</v>
      </c>
      <c r="Y48" s="17"/>
      <c r="Z48" s="17" t="s">
        <v>56</v>
      </c>
      <c r="AA48" s="17"/>
      <c r="AB48" s="17" t="s">
        <v>111</v>
      </c>
      <c r="AC48" s="17">
        <v>1995</v>
      </c>
      <c r="AD48" s="17">
        <v>7</v>
      </c>
      <c r="AE48" s="17"/>
      <c r="AF48" s="17">
        <v>8</v>
      </c>
      <c r="AG48" s="17">
        <v>1995</v>
      </c>
      <c r="AH48" s="14">
        <f t="shared" si="0"/>
        <v>0</v>
      </c>
      <c r="AI48" s="17">
        <f t="shared" si="1"/>
        <v>7</v>
      </c>
      <c r="AJ48" s="17">
        <v>8</v>
      </c>
      <c r="AK48" s="17" t="s">
        <v>58</v>
      </c>
      <c r="AL48" s="16" t="s">
        <v>1243</v>
      </c>
      <c r="AM48" s="15">
        <v>2006</v>
      </c>
      <c r="AN48" s="15" t="s">
        <v>263</v>
      </c>
      <c r="AO48" s="15" t="s">
        <v>56</v>
      </c>
      <c r="AP48" s="15"/>
      <c r="AQ48" s="15" t="s">
        <v>56</v>
      </c>
      <c r="AR48" s="15" t="s">
        <v>58</v>
      </c>
      <c r="AS48" s="15" t="s">
        <v>163</v>
      </c>
      <c r="AT48" s="12" t="s">
        <v>151</v>
      </c>
      <c r="AU48" s="45" t="s">
        <v>2645</v>
      </c>
      <c r="AV48" s="15"/>
      <c r="AW48" s="12" t="str">
        <f>B48&amp;C48&amp;L48&amp;M48&amp;O48&amp;U48&amp;AL48&amp;AM48</f>
        <v>Saint LuciaSoufriere Marine Management Area L3Haemulidaegruntsbiomassden0.96434369753831Hawkins2006</v>
      </c>
    </row>
    <row r="49" spans="1:49" ht="14.25" customHeight="1" x14ac:dyDescent="0.35">
      <c r="A49" s="12">
        <v>48</v>
      </c>
      <c r="B49" s="15" t="s">
        <v>1887</v>
      </c>
      <c r="C49" s="15" t="s">
        <v>2649</v>
      </c>
      <c r="D49" s="12" t="s">
        <v>1241</v>
      </c>
      <c r="E49" s="12" t="s">
        <v>1242</v>
      </c>
      <c r="F49" s="13" t="s">
        <v>50</v>
      </c>
      <c r="G49" s="13" t="s">
        <v>51</v>
      </c>
      <c r="H49" s="16" t="s">
        <v>108</v>
      </c>
      <c r="I49" s="16" t="s">
        <v>156</v>
      </c>
      <c r="J49" s="17">
        <v>0.7</v>
      </c>
      <c r="K49" s="17"/>
      <c r="L49" s="17" t="s">
        <v>695</v>
      </c>
      <c r="M49" s="17" t="s">
        <v>1244</v>
      </c>
      <c r="N49" s="17" t="s">
        <v>170</v>
      </c>
      <c r="O49" s="17" t="s">
        <v>70</v>
      </c>
      <c r="P49" s="17"/>
      <c r="Q49" s="17">
        <v>320</v>
      </c>
      <c r="R49" s="17">
        <v>343</v>
      </c>
      <c r="S49" s="17">
        <v>861</v>
      </c>
      <c r="T49" s="17">
        <v>457</v>
      </c>
      <c r="U49" s="19">
        <f t="shared" si="5"/>
        <v>0.49518662616863568</v>
      </c>
      <c r="V49" s="41">
        <f t="shared" si="3"/>
        <v>-50.481337383136427</v>
      </c>
      <c r="W49" s="14"/>
      <c r="X49" s="14" t="s">
        <v>56</v>
      </c>
      <c r="Y49" s="15"/>
      <c r="Z49" s="17" t="s">
        <v>56</v>
      </c>
      <c r="AA49" s="17"/>
      <c r="AB49" s="17" t="s">
        <v>111</v>
      </c>
      <c r="AC49" s="17">
        <v>1995</v>
      </c>
      <c r="AD49" s="17">
        <v>7</v>
      </c>
      <c r="AE49" s="17"/>
      <c r="AF49" s="17">
        <v>8</v>
      </c>
      <c r="AG49" s="17">
        <v>1995</v>
      </c>
      <c r="AH49" s="14">
        <f t="shared" si="0"/>
        <v>0</v>
      </c>
      <c r="AI49" s="17">
        <f t="shared" si="1"/>
        <v>7</v>
      </c>
      <c r="AJ49" s="17">
        <v>8</v>
      </c>
      <c r="AK49" s="17" t="s">
        <v>58</v>
      </c>
      <c r="AL49" s="16" t="s">
        <v>1243</v>
      </c>
      <c r="AM49" s="15">
        <v>2006</v>
      </c>
      <c r="AN49" s="15" t="s">
        <v>263</v>
      </c>
      <c r="AO49" s="15" t="s">
        <v>56</v>
      </c>
      <c r="AP49" s="15"/>
      <c r="AQ49" s="15" t="s">
        <v>56</v>
      </c>
      <c r="AR49" s="15" t="s">
        <v>58</v>
      </c>
      <c r="AS49" s="15" t="s">
        <v>163</v>
      </c>
      <c r="AT49" s="12" t="s">
        <v>151</v>
      </c>
      <c r="AU49" s="45" t="s">
        <v>2645</v>
      </c>
      <c r="AV49" s="15"/>
      <c r="AW49" s="12" t="str">
        <f>B49&amp;C49&amp;L49&amp;M49&amp;O49&amp;U49&amp;AL49&amp;AM49</f>
        <v>Saint LuciaSoufriere Marine Management Area L4Haemulidaegruntsbiomassden0.495186626168636Hawkins2006</v>
      </c>
    </row>
    <row r="50" spans="1:49" ht="14.25" customHeight="1" x14ac:dyDescent="0.35">
      <c r="A50" s="12">
        <v>49</v>
      </c>
      <c r="B50" s="15" t="s">
        <v>1887</v>
      </c>
      <c r="C50" s="15" t="s">
        <v>2646</v>
      </c>
      <c r="D50" s="15" t="s">
        <v>1241</v>
      </c>
      <c r="E50" s="12" t="s">
        <v>1242</v>
      </c>
      <c r="F50" s="13" t="s">
        <v>50</v>
      </c>
      <c r="G50" s="13" t="s">
        <v>51</v>
      </c>
      <c r="H50" s="16" t="s">
        <v>108</v>
      </c>
      <c r="I50" s="16" t="s">
        <v>156</v>
      </c>
      <c r="J50" s="17">
        <v>0.1</v>
      </c>
      <c r="K50" s="17"/>
      <c r="L50" s="17" t="s">
        <v>267</v>
      </c>
      <c r="M50" s="17" t="s">
        <v>1245</v>
      </c>
      <c r="N50" s="17" t="s">
        <v>170</v>
      </c>
      <c r="O50" s="17" t="s">
        <v>70</v>
      </c>
      <c r="P50" s="17"/>
      <c r="Q50" s="17">
        <v>1162</v>
      </c>
      <c r="R50" s="17">
        <v>2387</v>
      </c>
      <c r="S50" s="17">
        <v>1352</v>
      </c>
      <c r="T50" s="17">
        <v>6063</v>
      </c>
      <c r="U50" s="19">
        <f t="shared" si="5"/>
        <v>2.1830545385135958</v>
      </c>
      <c r="V50" s="41">
        <f t="shared" si="3"/>
        <v>118.30545385135957</v>
      </c>
      <c r="W50" s="14"/>
      <c r="X50" s="17" t="s">
        <v>56</v>
      </c>
      <c r="Z50" s="17" t="s">
        <v>56</v>
      </c>
      <c r="AA50" s="17"/>
      <c r="AB50" s="17" t="s">
        <v>111</v>
      </c>
      <c r="AC50" s="17">
        <v>1995</v>
      </c>
      <c r="AD50" s="17">
        <v>7</v>
      </c>
      <c r="AE50" s="17"/>
      <c r="AF50" s="17">
        <v>8</v>
      </c>
      <c r="AG50" s="17">
        <v>1995</v>
      </c>
      <c r="AH50" s="14">
        <f t="shared" si="0"/>
        <v>0</v>
      </c>
      <c r="AI50" s="17">
        <f t="shared" si="1"/>
        <v>7</v>
      </c>
      <c r="AJ50" s="17">
        <v>8</v>
      </c>
      <c r="AK50" s="17" t="s">
        <v>58</v>
      </c>
      <c r="AL50" s="16" t="s">
        <v>1243</v>
      </c>
      <c r="AM50" s="15">
        <v>2006</v>
      </c>
      <c r="AN50" s="12" t="s">
        <v>263</v>
      </c>
      <c r="AO50" s="15" t="s">
        <v>56</v>
      </c>
      <c r="AP50" s="15"/>
      <c r="AQ50" s="15" t="s">
        <v>56</v>
      </c>
      <c r="AR50" s="15" t="s">
        <v>58</v>
      </c>
      <c r="AS50" s="15" t="s">
        <v>163</v>
      </c>
      <c r="AT50" s="12" t="s">
        <v>151</v>
      </c>
      <c r="AU50" s="45" t="s">
        <v>2645</v>
      </c>
      <c r="AV50" s="15"/>
      <c r="AW50" s="12" t="str">
        <f>B50&amp;C50&amp;L50&amp;M50&amp;O50&amp;U50&amp;AL50&amp;AM50</f>
        <v>Saint LuciaSoufriere Marine Management Area L1Scaridaeparrotfishbiomassden2.1830545385136Hawkins2006</v>
      </c>
    </row>
    <row r="51" spans="1:49" ht="14.25" customHeight="1" x14ac:dyDescent="0.35">
      <c r="A51" s="12">
        <v>50</v>
      </c>
      <c r="B51" s="15" t="s">
        <v>1887</v>
      </c>
      <c r="C51" s="15" t="s">
        <v>2647</v>
      </c>
      <c r="D51" s="15" t="s">
        <v>1241</v>
      </c>
      <c r="E51" s="15" t="s">
        <v>1242</v>
      </c>
      <c r="F51" s="16" t="s">
        <v>50</v>
      </c>
      <c r="G51" s="16" t="s">
        <v>51</v>
      </c>
      <c r="H51" s="16" t="s">
        <v>108</v>
      </c>
      <c r="I51" s="16" t="s">
        <v>156</v>
      </c>
      <c r="J51" s="17">
        <v>0.4</v>
      </c>
      <c r="K51" s="17"/>
      <c r="L51" s="17" t="s">
        <v>267</v>
      </c>
      <c r="M51" s="17" t="s">
        <v>1245</v>
      </c>
      <c r="N51" s="17" t="s">
        <v>170</v>
      </c>
      <c r="O51" s="17" t="s">
        <v>70</v>
      </c>
      <c r="P51" s="17"/>
      <c r="Q51" s="17">
        <v>1672</v>
      </c>
      <c r="R51" s="17">
        <v>1152</v>
      </c>
      <c r="S51" s="17">
        <v>2679</v>
      </c>
      <c r="T51" s="17">
        <v>3249</v>
      </c>
      <c r="U51" s="20">
        <f t="shared" si="5"/>
        <v>1.760195035460993</v>
      </c>
      <c r="V51" s="22">
        <f t="shared" si="3"/>
        <v>76.019503546099301</v>
      </c>
      <c r="W51" s="17"/>
      <c r="X51" s="17" t="s">
        <v>56</v>
      </c>
      <c r="Y51" s="17"/>
      <c r="Z51" s="17" t="s">
        <v>56</v>
      </c>
      <c r="AA51" s="17"/>
      <c r="AB51" s="17" t="s">
        <v>111</v>
      </c>
      <c r="AC51" s="17">
        <v>1995</v>
      </c>
      <c r="AD51" s="17">
        <v>7</v>
      </c>
      <c r="AE51" s="17"/>
      <c r="AF51" s="17">
        <v>8</v>
      </c>
      <c r="AG51" s="17">
        <v>1995</v>
      </c>
      <c r="AH51" s="14">
        <f t="shared" si="0"/>
        <v>0</v>
      </c>
      <c r="AI51" s="17">
        <f t="shared" si="1"/>
        <v>7</v>
      </c>
      <c r="AJ51" s="17">
        <v>8</v>
      </c>
      <c r="AK51" s="17" t="s">
        <v>58</v>
      </c>
      <c r="AL51" s="16" t="s">
        <v>1243</v>
      </c>
      <c r="AM51" s="15">
        <v>2006</v>
      </c>
      <c r="AN51" s="15" t="s">
        <v>263</v>
      </c>
      <c r="AO51" s="15" t="s">
        <v>56</v>
      </c>
      <c r="AP51" s="15"/>
      <c r="AQ51" s="15" t="s">
        <v>56</v>
      </c>
      <c r="AR51" s="15" t="s">
        <v>58</v>
      </c>
      <c r="AS51" s="15" t="s">
        <v>163</v>
      </c>
      <c r="AT51" s="15" t="s">
        <v>151</v>
      </c>
      <c r="AU51" s="45" t="s">
        <v>2645</v>
      </c>
      <c r="AV51" s="15"/>
      <c r="AW51" s="12" t="str">
        <f>B51&amp;C51&amp;L51&amp;M51&amp;O51&amp;U51&amp;AL51&amp;AM51</f>
        <v>Saint LuciaSoufriere Marine Management Area L2Scaridaeparrotfishbiomassden1.76019503546099Hawkins2006</v>
      </c>
    </row>
    <row r="52" spans="1:49" ht="14.25" customHeight="1" x14ac:dyDescent="0.35">
      <c r="A52" s="12">
        <v>51</v>
      </c>
      <c r="B52" s="15" t="s">
        <v>1887</v>
      </c>
      <c r="C52" s="15" t="s">
        <v>2648</v>
      </c>
      <c r="D52" s="15" t="s">
        <v>1241</v>
      </c>
      <c r="E52" s="15" t="s">
        <v>1242</v>
      </c>
      <c r="F52" s="13" t="s">
        <v>50</v>
      </c>
      <c r="G52" s="13" t="s">
        <v>51</v>
      </c>
      <c r="H52" s="16" t="s">
        <v>108</v>
      </c>
      <c r="I52" s="16" t="s">
        <v>156</v>
      </c>
      <c r="J52" s="17">
        <v>0.5</v>
      </c>
      <c r="K52" s="17"/>
      <c r="L52" s="17" t="s">
        <v>267</v>
      </c>
      <c r="M52" s="17" t="s">
        <v>1245</v>
      </c>
      <c r="N52" s="17" t="s">
        <v>170</v>
      </c>
      <c r="O52" s="17" t="s">
        <v>70</v>
      </c>
      <c r="P52" s="17"/>
      <c r="Q52" s="17">
        <v>921</v>
      </c>
      <c r="R52" s="17">
        <v>1586</v>
      </c>
      <c r="S52" s="17">
        <v>2190</v>
      </c>
      <c r="T52" s="17">
        <v>4200</v>
      </c>
      <c r="U52" s="20">
        <f t="shared" si="5"/>
        <v>1.1136830831418749</v>
      </c>
      <c r="V52" s="22">
        <f t="shared" si="3"/>
        <v>11.368308314187491</v>
      </c>
      <c r="W52" s="17"/>
      <c r="X52" s="17" t="s">
        <v>56</v>
      </c>
      <c r="Z52" s="17" t="s">
        <v>56</v>
      </c>
      <c r="AA52" s="17"/>
      <c r="AB52" s="17" t="s">
        <v>111</v>
      </c>
      <c r="AC52" s="17">
        <v>1995</v>
      </c>
      <c r="AD52" s="17">
        <v>7</v>
      </c>
      <c r="AE52" s="17"/>
      <c r="AF52" s="17">
        <v>8</v>
      </c>
      <c r="AG52" s="17">
        <v>1995</v>
      </c>
      <c r="AH52" s="14">
        <f t="shared" si="0"/>
        <v>0</v>
      </c>
      <c r="AI52" s="17">
        <f t="shared" si="1"/>
        <v>7</v>
      </c>
      <c r="AJ52" s="17">
        <v>8</v>
      </c>
      <c r="AK52" s="17" t="s">
        <v>58</v>
      </c>
      <c r="AL52" s="16" t="s">
        <v>1243</v>
      </c>
      <c r="AM52" s="15">
        <v>2006</v>
      </c>
      <c r="AN52" s="12" t="s">
        <v>263</v>
      </c>
      <c r="AO52" s="15" t="s">
        <v>56</v>
      </c>
      <c r="AP52" s="15"/>
      <c r="AQ52" s="15" t="s">
        <v>56</v>
      </c>
      <c r="AR52" s="15" t="s">
        <v>58</v>
      </c>
      <c r="AS52" s="15" t="s">
        <v>163</v>
      </c>
      <c r="AT52" s="15" t="s">
        <v>151</v>
      </c>
      <c r="AU52" s="45" t="s">
        <v>2645</v>
      </c>
      <c r="AV52" s="15"/>
      <c r="AW52" s="12" t="str">
        <f>B52&amp;C52&amp;L52&amp;M52&amp;O52&amp;U52&amp;AL52&amp;AM52</f>
        <v>Saint LuciaSoufriere Marine Management Area L3Scaridaeparrotfishbiomassden1.11368308314187Hawkins2006</v>
      </c>
    </row>
    <row r="53" spans="1:49" ht="14.25" customHeight="1" x14ac:dyDescent="0.35">
      <c r="A53" s="12">
        <v>52</v>
      </c>
      <c r="B53" s="15" t="s">
        <v>1887</v>
      </c>
      <c r="C53" s="15" t="s">
        <v>2649</v>
      </c>
      <c r="D53" s="15" t="s">
        <v>1241</v>
      </c>
      <c r="E53" s="15" t="s">
        <v>1242</v>
      </c>
      <c r="F53" s="13" t="s">
        <v>50</v>
      </c>
      <c r="G53" s="13" t="s">
        <v>51</v>
      </c>
      <c r="H53" s="16" t="s">
        <v>108</v>
      </c>
      <c r="I53" s="16" t="s">
        <v>156</v>
      </c>
      <c r="J53" s="17">
        <v>0.7</v>
      </c>
      <c r="K53" s="17"/>
      <c r="L53" s="17" t="s">
        <v>267</v>
      </c>
      <c r="M53" s="17" t="s">
        <v>1245</v>
      </c>
      <c r="N53" s="17" t="s">
        <v>170</v>
      </c>
      <c r="O53" s="17" t="s">
        <v>70</v>
      </c>
      <c r="P53" s="17"/>
      <c r="Q53" s="17">
        <v>1072</v>
      </c>
      <c r="R53" s="17">
        <v>1229</v>
      </c>
      <c r="S53" s="17">
        <v>1278</v>
      </c>
      <c r="T53" s="17">
        <v>3217</v>
      </c>
      <c r="U53" s="20">
        <f t="shared" si="5"/>
        <v>2.1956499870755133</v>
      </c>
      <c r="V53" s="22">
        <f t="shared" si="3"/>
        <v>119.56499870755133</v>
      </c>
      <c r="W53" s="17"/>
      <c r="X53" s="17" t="s">
        <v>56</v>
      </c>
      <c r="Y53" s="12"/>
      <c r="Z53" s="17" t="s">
        <v>56</v>
      </c>
      <c r="AA53" s="17"/>
      <c r="AB53" s="17" t="s">
        <v>111</v>
      </c>
      <c r="AC53" s="17">
        <v>1995</v>
      </c>
      <c r="AD53" s="17">
        <v>7</v>
      </c>
      <c r="AE53" s="17"/>
      <c r="AF53" s="17">
        <v>8</v>
      </c>
      <c r="AG53" s="17">
        <v>1995</v>
      </c>
      <c r="AH53" s="14">
        <f t="shared" si="0"/>
        <v>0</v>
      </c>
      <c r="AI53" s="17">
        <f t="shared" si="1"/>
        <v>7</v>
      </c>
      <c r="AJ53" s="17">
        <v>8</v>
      </c>
      <c r="AK53" s="17" t="s">
        <v>58</v>
      </c>
      <c r="AL53" s="16" t="s">
        <v>1243</v>
      </c>
      <c r="AM53" s="15">
        <v>2006</v>
      </c>
      <c r="AN53" s="12" t="s">
        <v>263</v>
      </c>
      <c r="AO53" s="15" t="s">
        <v>56</v>
      </c>
      <c r="AP53" s="15"/>
      <c r="AQ53" s="15" t="s">
        <v>56</v>
      </c>
      <c r="AR53" s="15" t="s">
        <v>58</v>
      </c>
      <c r="AS53" s="15" t="s">
        <v>163</v>
      </c>
      <c r="AT53" s="15" t="s">
        <v>151</v>
      </c>
      <c r="AU53" s="45" t="s">
        <v>2645</v>
      </c>
      <c r="AV53" s="15"/>
      <c r="AW53" s="12" t="str">
        <f>B53&amp;C53&amp;L53&amp;M53&amp;O53&amp;U53&amp;AL53&amp;AM53</f>
        <v>Saint LuciaSoufriere Marine Management Area L4Scaridaeparrotfishbiomassden2.19564998707551Hawkins2006</v>
      </c>
    </row>
    <row r="54" spans="1:49" ht="14.25" customHeight="1" x14ac:dyDescent="0.35">
      <c r="A54" s="12">
        <v>53</v>
      </c>
      <c r="B54" s="15" t="s">
        <v>1887</v>
      </c>
      <c r="C54" s="15" t="s">
        <v>2646</v>
      </c>
      <c r="D54" s="15" t="s">
        <v>1241</v>
      </c>
      <c r="E54" s="12" t="s">
        <v>1242</v>
      </c>
      <c r="F54" s="13" t="s">
        <v>50</v>
      </c>
      <c r="G54" s="13" t="s">
        <v>51</v>
      </c>
      <c r="H54" s="16" t="s">
        <v>108</v>
      </c>
      <c r="I54" s="16" t="s">
        <v>156</v>
      </c>
      <c r="J54" s="17">
        <v>0.1</v>
      </c>
      <c r="K54" s="17"/>
      <c r="L54" s="17" t="s">
        <v>625</v>
      </c>
      <c r="M54" s="17" t="s">
        <v>1246</v>
      </c>
      <c r="N54" s="17" t="s">
        <v>170</v>
      </c>
      <c r="O54" s="17" t="s">
        <v>70</v>
      </c>
      <c r="P54" s="17"/>
      <c r="Q54" s="17">
        <v>802</v>
      </c>
      <c r="R54" s="17">
        <v>246</v>
      </c>
      <c r="S54" s="17">
        <v>392</v>
      </c>
      <c r="T54" s="17">
        <v>839</v>
      </c>
      <c r="U54" s="19">
        <f t="shared" si="5"/>
        <v>6.9777459764393566</v>
      </c>
      <c r="V54" s="41">
        <f t="shared" si="3"/>
        <v>597.77459764393564</v>
      </c>
      <c r="W54" s="14"/>
      <c r="X54" s="17" t="s">
        <v>56</v>
      </c>
      <c r="Z54" s="17" t="s">
        <v>56</v>
      </c>
      <c r="AA54" s="17"/>
      <c r="AB54" s="17" t="s">
        <v>111</v>
      </c>
      <c r="AC54" s="17">
        <v>1995</v>
      </c>
      <c r="AD54" s="17">
        <v>7</v>
      </c>
      <c r="AE54" s="17"/>
      <c r="AF54" s="17">
        <v>8</v>
      </c>
      <c r="AG54" s="17">
        <v>1995</v>
      </c>
      <c r="AH54" s="14">
        <f t="shared" si="0"/>
        <v>0</v>
      </c>
      <c r="AI54" s="17">
        <f t="shared" si="1"/>
        <v>7</v>
      </c>
      <c r="AJ54" s="17">
        <v>8</v>
      </c>
      <c r="AK54" s="17" t="s">
        <v>58</v>
      </c>
      <c r="AL54" s="16" t="s">
        <v>1243</v>
      </c>
      <c r="AM54" s="15">
        <v>2006</v>
      </c>
      <c r="AN54" s="12" t="s">
        <v>263</v>
      </c>
      <c r="AO54" s="15" t="s">
        <v>56</v>
      </c>
      <c r="AP54" s="15"/>
      <c r="AQ54" s="15" t="s">
        <v>56</v>
      </c>
      <c r="AR54" s="15" t="s">
        <v>58</v>
      </c>
      <c r="AS54" s="15" t="s">
        <v>163</v>
      </c>
      <c r="AT54" s="12" t="s">
        <v>151</v>
      </c>
      <c r="AU54" s="45" t="s">
        <v>2645</v>
      </c>
      <c r="AV54" s="15"/>
      <c r="AW54" s="12" t="str">
        <f>B54&amp;C54&amp;L54&amp;M54&amp;O54&amp;U54&amp;AL54&amp;AM54</f>
        <v>Saint LuciaSoufriere Marine Management Area L1Acanthuridaesurgeonfishbiomassden6.97774597643936Hawkins2006</v>
      </c>
    </row>
    <row r="55" spans="1:49" ht="14.25" customHeight="1" x14ac:dyDescent="0.35">
      <c r="A55" s="12">
        <v>54</v>
      </c>
      <c r="B55" s="15" t="s">
        <v>1887</v>
      </c>
      <c r="C55" s="15" t="s">
        <v>2647</v>
      </c>
      <c r="D55" s="15" t="s">
        <v>1241</v>
      </c>
      <c r="E55" s="12" t="s">
        <v>1242</v>
      </c>
      <c r="F55" s="13" t="s">
        <v>50</v>
      </c>
      <c r="G55" s="13" t="s">
        <v>51</v>
      </c>
      <c r="H55" s="16" t="s">
        <v>108</v>
      </c>
      <c r="I55" s="16" t="s">
        <v>156</v>
      </c>
      <c r="J55" s="17">
        <v>0.4</v>
      </c>
      <c r="K55" s="17"/>
      <c r="L55" s="17" t="s">
        <v>625</v>
      </c>
      <c r="M55" s="17" t="s">
        <v>1246</v>
      </c>
      <c r="N55" s="17" t="s">
        <v>170</v>
      </c>
      <c r="O55" s="17" t="s">
        <v>70</v>
      </c>
      <c r="P55" s="17"/>
      <c r="Q55" s="17">
        <v>627</v>
      </c>
      <c r="R55" s="17">
        <v>855</v>
      </c>
      <c r="S55" s="17">
        <v>864</v>
      </c>
      <c r="T55" s="17">
        <v>900</v>
      </c>
      <c r="U55" s="19">
        <f t="shared" si="5"/>
        <v>0.76388888888888884</v>
      </c>
      <c r="V55" s="41">
        <f t="shared" si="3"/>
        <v>-23.611111111111114</v>
      </c>
      <c r="W55" s="14"/>
      <c r="X55" s="17" t="s">
        <v>56</v>
      </c>
      <c r="Z55" s="17" t="s">
        <v>56</v>
      </c>
      <c r="AA55" s="17"/>
      <c r="AB55" s="17" t="s">
        <v>111</v>
      </c>
      <c r="AC55" s="17">
        <v>1995</v>
      </c>
      <c r="AD55" s="17">
        <v>7</v>
      </c>
      <c r="AE55" s="17"/>
      <c r="AF55" s="17">
        <v>8</v>
      </c>
      <c r="AG55" s="17">
        <v>1995</v>
      </c>
      <c r="AH55" s="14">
        <f t="shared" si="0"/>
        <v>0</v>
      </c>
      <c r="AI55" s="17">
        <f t="shared" si="1"/>
        <v>7</v>
      </c>
      <c r="AJ55" s="17">
        <v>8</v>
      </c>
      <c r="AK55" s="17" t="s">
        <v>58</v>
      </c>
      <c r="AL55" s="16" t="s">
        <v>1243</v>
      </c>
      <c r="AM55" s="15">
        <v>2006</v>
      </c>
      <c r="AN55" s="12" t="s">
        <v>263</v>
      </c>
      <c r="AO55" s="15" t="s">
        <v>56</v>
      </c>
      <c r="AP55" s="15"/>
      <c r="AQ55" s="15" t="s">
        <v>56</v>
      </c>
      <c r="AR55" s="15" t="s">
        <v>58</v>
      </c>
      <c r="AS55" s="15" t="s">
        <v>163</v>
      </c>
      <c r="AT55" s="12" t="s">
        <v>151</v>
      </c>
      <c r="AU55" s="45" t="s">
        <v>2645</v>
      </c>
      <c r="AV55" s="15"/>
      <c r="AW55" s="12" t="str">
        <f>B55&amp;C55&amp;L55&amp;M55&amp;O55&amp;U55&amp;AL55&amp;AM55</f>
        <v>Saint LuciaSoufriere Marine Management Area L2Acanthuridaesurgeonfishbiomassden0.763888888888889Hawkins2006</v>
      </c>
    </row>
    <row r="56" spans="1:49" ht="14.25" customHeight="1" x14ac:dyDescent="0.35">
      <c r="A56" s="12">
        <v>55</v>
      </c>
      <c r="B56" s="15" t="s">
        <v>1887</v>
      </c>
      <c r="C56" s="15" t="s">
        <v>2648</v>
      </c>
      <c r="D56" s="12" t="s">
        <v>1241</v>
      </c>
      <c r="E56" s="12" t="s">
        <v>1242</v>
      </c>
      <c r="F56" s="13" t="s">
        <v>50</v>
      </c>
      <c r="G56" s="13" t="s">
        <v>51</v>
      </c>
      <c r="H56" s="16" t="s">
        <v>108</v>
      </c>
      <c r="I56" s="16" t="s">
        <v>156</v>
      </c>
      <c r="J56" s="17">
        <v>0.5</v>
      </c>
      <c r="K56" s="17"/>
      <c r="L56" s="17" t="s">
        <v>625</v>
      </c>
      <c r="M56" s="17" t="s">
        <v>1246</v>
      </c>
      <c r="N56" s="17" t="s">
        <v>170</v>
      </c>
      <c r="O56" s="17" t="s">
        <v>70</v>
      </c>
      <c r="P56" s="17"/>
      <c r="Q56" s="17">
        <v>731</v>
      </c>
      <c r="R56" s="17">
        <v>466</v>
      </c>
      <c r="S56" s="17">
        <v>975</v>
      </c>
      <c r="T56" s="17">
        <v>2088</v>
      </c>
      <c r="U56" s="19">
        <f t="shared" si="5"/>
        <v>3.359366127434797</v>
      </c>
      <c r="V56" s="41">
        <f t="shared" si="3"/>
        <v>235.93661274347971</v>
      </c>
      <c r="W56" s="14"/>
      <c r="X56" s="17" t="s">
        <v>56</v>
      </c>
      <c r="Z56" s="17" t="s">
        <v>56</v>
      </c>
      <c r="AA56" s="17"/>
      <c r="AB56" s="17" t="s">
        <v>111</v>
      </c>
      <c r="AC56" s="17">
        <v>1995</v>
      </c>
      <c r="AD56" s="17">
        <v>7</v>
      </c>
      <c r="AE56" s="17"/>
      <c r="AF56" s="17">
        <v>8</v>
      </c>
      <c r="AG56" s="17">
        <v>1995</v>
      </c>
      <c r="AH56" s="14">
        <f t="shared" si="0"/>
        <v>0</v>
      </c>
      <c r="AI56" s="17">
        <f t="shared" si="1"/>
        <v>7</v>
      </c>
      <c r="AJ56" s="17">
        <v>8</v>
      </c>
      <c r="AK56" s="17" t="s">
        <v>58</v>
      </c>
      <c r="AL56" s="16" t="s">
        <v>1243</v>
      </c>
      <c r="AM56" s="15">
        <v>2006</v>
      </c>
      <c r="AN56" s="12" t="s">
        <v>263</v>
      </c>
      <c r="AO56" s="15" t="s">
        <v>56</v>
      </c>
      <c r="AP56" s="15"/>
      <c r="AQ56" s="15" t="s">
        <v>56</v>
      </c>
      <c r="AR56" s="15" t="s">
        <v>58</v>
      </c>
      <c r="AS56" s="15" t="s">
        <v>163</v>
      </c>
      <c r="AT56" s="12" t="s">
        <v>151</v>
      </c>
      <c r="AU56" s="45" t="s">
        <v>2645</v>
      </c>
      <c r="AV56" s="15"/>
      <c r="AW56" s="12" t="str">
        <f>B56&amp;C56&amp;L56&amp;M56&amp;O56&amp;U56&amp;AL56&amp;AM56</f>
        <v>Saint LuciaSoufriere Marine Management Area L3Acanthuridaesurgeonfishbiomassden3.3593661274348Hawkins2006</v>
      </c>
    </row>
    <row r="57" spans="1:49" ht="14.25" customHeight="1" x14ac:dyDescent="0.35">
      <c r="A57" s="12">
        <v>56</v>
      </c>
      <c r="B57" s="15" t="s">
        <v>1887</v>
      </c>
      <c r="C57" s="15" t="s">
        <v>2649</v>
      </c>
      <c r="D57" s="15" t="s">
        <v>1241</v>
      </c>
      <c r="E57" s="15" t="s">
        <v>1242</v>
      </c>
      <c r="F57" s="16" t="s">
        <v>50</v>
      </c>
      <c r="G57" s="16" t="s">
        <v>51</v>
      </c>
      <c r="H57" s="16" t="s">
        <v>108</v>
      </c>
      <c r="I57" s="16" t="s">
        <v>156</v>
      </c>
      <c r="J57" s="17">
        <v>0.7</v>
      </c>
      <c r="K57" s="17"/>
      <c r="L57" s="17" t="s">
        <v>625</v>
      </c>
      <c r="M57" s="17" t="s">
        <v>1246</v>
      </c>
      <c r="N57" s="17" t="s">
        <v>170</v>
      </c>
      <c r="O57" s="17" t="s">
        <v>70</v>
      </c>
      <c r="P57" s="17"/>
      <c r="Q57" s="17">
        <v>758</v>
      </c>
      <c r="R57" s="17">
        <v>682</v>
      </c>
      <c r="S57" s="17">
        <v>500</v>
      </c>
      <c r="T57" s="17">
        <v>3167</v>
      </c>
      <c r="U57" s="20">
        <f t="shared" si="5"/>
        <v>7.0398416422287386</v>
      </c>
      <c r="V57" s="22">
        <f t="shared" si="3"/>
        <v>603.98416422287391</v>
      </c>
      <c r="W57" s="17"/>
      <c r="X57" s="17" t="s">
        <v>56</v>
      </c>
      <c r="Y57" s="15"/>
      <c r="Z57" s="17" t="s">
        <v>56</v>
      </c>
      <c r="AA57" s="17"/>
      <c r="AB57" s="17" t="s">
        <v>111</v>
      </c>
      <c r="AC57" s="17">
        <v>1995</v>
      </c>
      <c r="AD57" s="17">
        <v>7</v>
      </c>
      <c r="AE57" s="17"/>
      <c r="AF57" s="17">
        <v>8</v>
      </c>
      <c r="AG57" s="17">
        <v>1995</v>
      </c>
      <c r="AH57" s="14">
        <f t="shared" si="0"/>
        <v>0</v>
      </c>
      <c r="AI57" s="17">
        <f t="shared" si="1"/>
        <v>7</v>
      </c>
      <c r="AJ57" s="17">
        <v>8</v>
      </c>
      <c r="AK57" s="17" t="s">
        <v>58</v>
      </c>
      <c r="AL57" s="16" t="s">
        <v>1243</v>
      </c>
      <c r="AM57" s="15">
        <v>2006</v>
      </c>
      <c r="AN57" s="15" t="s">
        <v>263</v>
      </c>
      <c r="AO57" s="15" t="s">
        <v>56</v>
      </c>
      <c r="AP57" s="15"/>
      <c r="AQ57" s="15" t="s">
        <v>56</v>
      </c>
      <c r="AR57" s="15" t="s">
        <v>58</v>
      </c>
      <c r="AS57" s="15" t="s">
        <v>163</v>
      </c>
      <c r="AT57" s="15" t="s">
        <v>151</v>
      </c>
      <c r="AU57" s="45" t="s">
        <v>2645</v>
      </c>
      <c r="AV57" s="15"/>
      <c r="AW57" s="12" t="str">
        <f>B57&amp;C57&amp;L57&amp;M57&amp;O57&amp;U57&amp;AL57&amp;AM57</f>
        <v>Saint LuciaSoufriere Marine Management Area L4Acanthuridaesurgeonfishbiomassden7.03984164222874Hawkins2006</v>
      </c>
    </row>
    <row r="58" spans="1:49" ht="14.25" customHeight="1" x14ac:dyDescent="0.35">
      <c r="A58" s="12">
        <v>57</v>
      </c>
      <c r="B58" s="15" t="s">
        <v>1887</v>
      </c>
      <c r="C58" s="15" t="s">
        <v>1241</v>
      </c>
      <c r="D58" s="15" t="s">
        <v>1241</v>
      </c>
      <c r="E58" s="15" t="s">
        <v>1242</v>
      </c>
      <c r="F58" s="16" t="s">
        <v>50</v>
      </c>
      <c r="G58" s="16" t="s">
        <v>51</v>
      </c>
      <c r="H58" s="16" t="s">
        <v>108</v>
      </c>
      <c r="I58" s="16" t="s">
        <v>156</v>
      </c>
      <c r="J58" s="17">
        <f>0.1+0.4+0.5+0.7</f>
        <v>1.7</v>
      </c>
      <c r="K58" s="17"/>
      <c r="L58" s="17" t="s">
        <v>1373</v>
      </c>
      <c r="M58" s="17" t="s">
        <v>1374</v>
      </c>
      <c r="N58" s="17" t="s">
        <v>288</v>
      </c>
      <c r="O58" s="17" t="s">
        <v>55</v>
      </c>
      <c r="P58" s="17"/>
      <c r="Q58" s="17">
        <v>25</v>
      </c>
      <c r="R58" s="17">
        <v>27</v>
      </c>
      <c r="S58" s="17">
        <v>30</v>
      </c>
      <c r="T58" s="17">
        <v>32</v>
      </c>
      <c r="U58" s="20">
        <f t="shared" si="5"/>
        <v>0.98765432098765427</v>
      </c>
      <c r="V58" s="22">
        <f t="shared" si="3"/>
        <v>-1.2345679012345734</v>
      </c>
      <c r="W58" s="17"/>
      <c r="X58" s="17" t="s">
        <v>58</v>
      </c>
      <c r="Y58" s="17">
        <v>7</v>
      </c>
      <c r="Z58" s="17" t="s">
        <v>56</v>
      </c>
      <c r="AA58" s="17"/>
      <c r="AB58" s="17" t="s">
        <v>111</v>
      </c>
      <c r="AC58" s="17">
        <v>1995</v>
      </c>
      <c r="AD58" s="17">
        <v>7</v>
      </c>
      <c r="AE58" s="17"/>
      <c r="AF58" s="17">
        <v>8</v>
      </c>
      <c r="AG58" s="17">
        <v>1995</v>
      </c>
      <c r="AH58" s="14">
        <f t="shared" si="0"/>
        <v>0</v>
      </c>
      <c r="AI58" s="17">
        <f t="shared" si="1"/>
        <v>7</v>
      </c>
      <c r="AJ58" s="17">
        <v>8</v>
      </c>
      <c r="AK58" s="17" t="s">
        <v>58</v>
      </c>
      <c r="AL58" s="16" t="s">
        <v>1243</v>
      </c>
      <c r="AM58" s="15">
        <v>2006</v>
      </c>
      <c r="AN58" s="15" t="s">
        <v>263</v>
      </c>
      <c r="AO58" s="15" t="s">
        <v>56</v>
      </c>
      <c r="AP58" s="15"/>
      <c r="AQ58" s="15" t="s">
        <v>56</v>
      </c>
      <c r="AR58" s="15" t="s">
        <v>58</v>
      </c>
      <c r="AS58" s="15" t="s">
        <v>163</v>
      </c>
      <c r="AT58" s="15" t="s">
        <v>151</v>
      </c>
      <c r="AU58" s="45" t="s">
        <v>1866</v>
      </c>
      <c r="AV58" s="15"/>
      <c r="AW58" s="12" t="str">
        <f>B58&amp;C58&amp;L58&amp;M58&amp;O58&amp;U58&amp;AL58&amp;AM58</f>
        <v>Saint LuciaSoufriere Marine Management AreaPerciformesray-finned fishrichness0.987654320987654Hawkins2006</v>
      </c>
    </row>
    <row r="59" spans="1:49" ht="14.25" customHeight="1" x14ac:dyDescent="0.35">
      <c r="A59" s="12">
        <v>58</v>
      </c>
      <c r="B59" s="15" t="s">
        <v>1887</v>
      </c>
      <c r="C59" s="15" t="s">
        <v>1241</v>
      </c>
      <c r="D59" s="12" t="s">
        <v>1241</v>
      </c>
      <c r="E59" s="15" t="s">
        <v>1242</v>
      </c>
      <c r="F59" s="13" t="s">
        <v>50</v>
      </c>
      <c r="G59" s="13" t="s">
        <v>51</v>
      </c>
      <c r="H59" s="16" t="s">
        <v>108</v>
      </c>
      <c r="I59" s="16" t="s">
        <v>156</v>
      </c>
      <c r="J59" s="17">
        <f>0.1+0.4+0.5+0.7</f>
        <v>1.7</v>
      </c>
      <c r="K59" s="17"/>
      <c r="L59" s="17"/>
      <c r="M59" s="17" t="s">
        <v>1005</v>
      </c>
      <c r="N59" s="17" t="s">
        <v>1867</v>
      </c>
      <c r="O59" s="17" t="s">
        <v>101</v>
      </c>
      <c r="P59" s="17"/>
      <c r="Q59" s="17">
        <v>12</v>
      </c>
      <c r="R59" s="17">
        <v>53</v>
      </c>
      <c r="S59" s="17">
        <v>31</v>
      </c>
      <c r="T59" s="17">
        <v>16</v>
      </c>
      <c r="U59" s="20">
        <f t="shared" si="5"/>
        <v>0.1168594035301278</v>
      </c>
      <c r="V59" s="22">
        <f t="shared" si="3"/>
        <v>-88.314059646987218</v>
      </c>
      <c r="W59" s="17"/>
      <c r="X59" s="17" t="s">
        <v>58</v>
      </c>
      <c r="Y59" s="17">
        <v>7</v>
      </c>
      <c r="Z59" s="17" t="s">
        <v>56</v>
      </c>
      <c r="AA59" s="17"/>
      <c r="AB59" s="17" t="s">
        <v>111</v>
      </c>
      <c r="AC59" s="17">
        <v>1995</v>
      </c>
      <c r="AD59" s="17">
        <v>7</v>
      </c>
      <c r="AE59" s="17"/>
      <c r="AF59" s="17">
        <v>8</v>
      </c>
      <c r="AG59" s="17">
        <v>1995</v>
      </c>
      <c r="AH59" s="14">
        <f t="shared" si="0"/>
        <v>0</v>
      </c>
      <c r="AI59" s="17">
        <f t="shared" si="1"/>
        <v>7</v>
      </c>
      <c r="AJ59" s="17">
        <v>9</v>
      </c>
      <c r="AK59" s="17" t="s">
        <v>58</v>
      </c>
      <c r="AL59" s="16" t="s">
        <v>1243</v>
      </c>
      <c r="AM59" s="15">
        <v>2006</v>
      </c>
      <c r="AN59" s="15" t="s">
        <v>263</v>
      </c>
      <c r="AO59" s="15" t="s">
        <v>56</v>
      </c>
      <c r="AP59" s="15"/>
      <c r="AQ59" s="15" t="s">
        <v>56</v>
      </c>
      <c r="AR59" s="15" t="s">
        <v>58</v>
      </c>
      <c r="AS59" s="15" t="s">
        <v>163</v>
      </c>
      <c r="AT59" s="15" t="s">
        <v>151</v>
      </c>
      <c r="AU59" s="45" t="s">
        <v>1868</v>
      </c>
      <c r="AV59" s="15"/>
      <c r="AW59" s="12" t="str">
        <f>B59&amp;C59&amp;L59&amp;M59&amp;O59&amp;U59&amp;AL59&amp;AM59</f>
        <v>Saint LuciaSoufriere Marine Management Areafleshy algaecover0.116859403530128Hawkins2006</v>
      </c>
    </row>
    <row r="60" spans="1:49" ht="14.25" customHeight="1" x14ac:dyDescent="0.35">
      <c r="A60" s="12">
        <v>59</v>
      </c>
      <c r="B60" s="15" t="s">
        <v>1887</v>
      </c>
      <c r="C60" s="15" t="s">
        <v>1241</v>
      </c>
      <c r="D60" s="15" t="s">
        <v>1241</v>
      </c>
      <c r="E60" s="15" t="s">
        <v>1242</v>
      </c>
      <c r="F60" s="13" t="s">
        <v>50</v>
      </c>
      <c r="G60" s="13" t="s">
        <v>51</v>
      </c>
      <c r="H60" s="16" t="s">
        <v>108</v>
      </c>
      <c r="I60" s="16" t="s">
        <v>156</v>
      </c>
      <c r="J60" s="17">
        <f>0.1+0.4+0.5+0.7</f>
        <v>1.7</v>
      </c>
      <c r="K60" s="17"/>
      <c r="L60" s="17" t="s">
        <v>185</v>
      </c>
      <c r="M60" s="17" t="s">
        <v>186</v>
      </c>
      <c r="N60" s="17" t="s">
        <v>288</v>
      </c>
      <c r="O60" s="17" t="s">
        <v>101</v>
      </c>
      <c r="P60" s="17"/>
      <c r="Q60" s="17">
        <v>20</v>
      </c>
      <c r="R60" s="17">
        <v>36</v>
      </c>
      <c r="S60" s="17">
        <v>13</v>
      </c>
      <c r="T60" s="17">
        <v>19</v>
      </c>
      <c r="U60" s="20">
        <f t="shared" si="5"/>
        <v>0.81196581196581197</v>
      </c>
      <c r="V60" s="22">
        <f t="shared" si="3"/>
        <v>-18.803418803418804</v>
      </c>
      <c r="W60" s="17"/>
      <c r="X60" s="17" t="s">
        <v>58</v>
      </c>
      <c r="Y60" s="17">
        <v>7</v>
      </c>
      <c r="Z60" s="17" t="s">
        <v>56</v>
      </c>
      <c r="AA60" s="17"/>
      <c r="AB60" s="17" t="s">
        <v>111</v>
      </c>
      <c r="AC60" s="17">
        <v>1995</v>
      </c>
      <c r="AD60" s="17">
        <v>7</v>
      </c>
      <c r="AE60" s="17"/>
      <c r="AF60" s="17">
        <v>8</v>
      </c>
      <c r="AG60" s="17">
        <v>1995</v>
      </c>
      <c r="AH60" s="14">
        <f t="shared" si="0"/>
        <v>0</v>
      </c>
      <c r="AI60" s="17">
        <f t="shared" si="1"/>
        <v>7</v>
      </c>
      <c r="AJ60" s="17">
        <v>10</v>
      </c>
      <c r="AK60" s="17" t="s">
        <v>58</v>
      </c>
      <c r="AL60" s="16" t="s">
        <v>1243</v>
      </c>
      <c r="AM60" s="15">
        <v>2006</v>
      </c>
      <c r="AN60" s="12" t="s">
        <v>263</v>
      </c>
      <c r="AO60" s="15" t="s">
        <v>56</v>
      </c>
      <c r="AP60" s="15"/>
      <c r="AQ60" s="15" t="s">
        <v>56</v>
      </c>
      <c r="AR60" s="15" t="s">
        <v>58</v>
      </c>
      <c r="AS60" s="15" t="s">
        <v>163</v>
      </c>
      <c r="AT60" s="15" t="s">
        <v>151</v>
      </c>
      <c r="AU60" s="45" t="s">
        <v>1868</v>
      </c>
      <c r="AV60" s="15"/>
      <c r="AW60" s="12" t="str">
        <f>B60&amp;C60&amp;L60&amp;M60&amp;O60&amp;U60&amp;AL60&amp;AM60</f>
        <v>Saint LuciaSoufriere Marine Management AreaScleractiniahard coralcover0.811965811965812Hawkins2006</v>
      </c>
    </row>
    <row r="61" spans="1:49" ht="14.25" customHeight="1" x14ac:dyDescent="0.35">
      <c r="A61" s="12">
        <v>60</v>
      </c>
      <c r="B61" s="15" t="s">
        <v>1183</v>
      </c>
      <c r="C61" s="12" t="s">
        <v>1184</v>
      </c>
      <c r="D61" s="12" t="s">
        <v>1184</v>
      </c>
      <c r="E61" s="12" t="s">
        <v>1197</v>
      </c>
      <c r="F61" s="13" t="s">
        <v>339</v>
      </c>
      <c r="G61" s="13" t="s">
        <v>51</v>
      </c>
      <c r="H61" s="13" t="s">
        <v>108</v>
      </c>
      <c r="I61" s="13" t="s">
        <v>53</v>
      </c>
      <c r="J61" s="14">
        <v>2.67</v>
      </c>
      <c r="K61" s="14"/>
      <c r="L61" s="14" t="s">
        <v>1188</v>
      </c>
      <c r="M61" s="14" t="s">
        <v>1198</v>
      </c>
      <c r="N61" s="14" t="s">
        <v>85</v>
      </c>
      <c r="O61" s="17" t="s">
        <v>86</v>
      </c>
      <c r="P61" s="14"/>
      <c r="Q61" s="14"/>
      <c r="R61" s="14"/>
      <c r="S61" s="14">
        <v>5.2</v>
      </c>
      <c r="T61" s="14">
        <v>6.75</v>
      </c>
      <c r="U61" s="19">
        <f t="shared" si="5"/>
        <v>1.2980769230769231</v>
      </c>
      <c r="V61" s="41">
        <f t="shared" si="3"/>
        <v>29.807692307692314</v>
      </c>
      <c r="W61" s="14">
        <v>88.85</v>
      </c>
      <c r="X61" s="14" t="s">
        <v>56</v>
      </c>
      <c r="Z61" s="14" t="s">
        <v>56</v>
      </c>
      <c r="AA61" s="14"/>
      <c r="AB61" s="14" t="s">
        <v>57</v>
      </c>
      <c r="AC61" s="14">
        <v>2010</v>
      </c>
      <c r="AD61" s="14">
        <v>4</v>
      </c>
      <c r="AE61" s="14"/>
      <c r="AF61" s="14">
        <v>3</v>
      </c>
      <c r="AG61" s="14">
        <v>2008</v>
      </c>
      <c r="AH61" s="14">
        <f t="shared" si="0"/>
        <v>2</v>
      </c>
      <c r="AI61" s="17">
        <f t="shared" si="1"/>
        <v>6</v>
      </c>
      <c r="AJ61" s="14">
        <v>5</v>
      </c>
      <c r="AK61" s="14" t="s">
        <v>58</v>
      </c>
      <c r="AL61" s="13" t="s">
        <v>1187</v>
      </c>
      <c r="AM61" s="12">
        <v>2015</v>
      </c>
      <c r="AN61" s="12" t="s">
        <v>190</v>
      </c>
      <c r="AO61" s="12" t="s">
        <v>56</v>
      </c>
      <c r="AP61" s="12"/>
      <c r="AQ61" s="12" t="s">
        <v>56</v>
      </c>
      <c r="AR61" s="12" t="s">
        <v>58</v>
      </c>
      <c r="AS61" s="12" t="s">
        <v>163</v>
      </c>
      <c r="AT61" s="12" t="s">
        <v>151</v>
      </c>
      <c r="AU61" s="45" t="s">
        <v>1199</v>
      </c>
      <c r="AV61" s="15"/>
      <c r="AW61" s="12" t="str">
        <f>B61&amp;C61&amp;L61&amp;M61&amp;O61&amp;U61&amp;AL61&amp;AM61</f>
        <v>ScotlandLamlash Bay Marine ReservePecten maximusKing Scallopsdensity1.29807692307692Howarth2015</v>
      </c>
    </row>
    <row r="62" spans="1:49" ht="14.25" customHeight="1" x14ac:dyDescent="0.35">
      <c r="A62" s="12">
        <v>61</v>
      </c>
      <c r="B62" s="15" t="s">
        <v>1183</v>
      </c>
      <c r="C62" s="12" t="s">
        <v>1184</v>
      </c>
      <c r="D62" s="12" t="s">
        <v>1184</v>
      </c>
      <c r="E62" s="12" t="s">
        <v>1197</v>
      </c>
      <c r="F62" s="13" t="s">
        <v>339</v>
      </c>
      <c r="G62" s="13" t="s">
        <v>51</v>
      </c>
      <c r="H62" s="13" t="s">
        <v>108</v>
      </c>
      <c r="I62" s="13" t="s">
        <v>53</v>
      </c>
      <c r="J62" s="14">
        <v>2.67</v>
      </c>
      <c r="K62" s="14"/>
      <c r="L62" s="14" t="s">
        <v>1185</v>
      </c>
      <c r="M62" s="14" t="s">
        <v>1200</v>
      </c>
      <c r="N62" s="14" t="s">
        <v>85</v>
      </c>
      <c r="O62" s="17" t="s">
        <v>86</v>
      </c>
      <c r="P62" s="14"/>
      <c r="Q62" s="14"/>
      <c r="R62" s="14"/>
      <c r="S62" s="14">
        <v>1.5</v>
      </c>
      <c r="T62" s="14">
        <v>1.2</v>
      </c>
      <c r="U62" s="19">
        <f t="shared" si="5"/>
        <v>0.79999999999999993</v>
      </c>
      <c r="V62" s="41">
        <f t="shared" si="3"/>
        <v>-20.000000000000007</v>
      </c>
      <c r="W62" s="14">
        <v>-29.22</v>
      </c>
      <c r="X62" s="14" t="s">
        <v>56</v>
      </c>
      <c r="Z62" s="14" t="s">
        <v>56</v>
      </c>
      <c r="AA62" s="14"/>
      <c r="AB62" s="14" t="s">
        <v>57</v>
      </c>
      <c r="AC62" s="14">
        <v>2010</v>
      </c>
      <c r="AD62" s="14">
        <v>4</v>
      </c>
      <c r="AE62" s="14"/>
      <c r="AF62" s="14">
        <v>3</v>
      </c>
      <c r="AG62" s="14">
        <v>2008</v>
      </c>
      <c r="AH62" s="14">
        <f t="shared" si="0"/>
        <v>2</v>
      </c>
      <c r="AI62" s="17">
        <f t="shared" si="1"/>
        <v>6</v>
      </c>
      <c r="AJ62" s="14">
        <v>5</v>
      </c>
      <c r="AK62" s="14" t="s">
        <v>56</v>
      </c>
      <c r="AL62" s="13" t="s">
        <v>1187</v>
      </c>
      <c r="AM62" s="12">
        <v>2015</v>
      </c>
      <c r="AN62" s="12" t="s">
        <v>190</v>
      </c>
      <c r="AO62" s="12" t="s">
        <v>56</v>
      </c>
      <c r="AP62" s="12"/>
      <c r="AQ62" s="12" t="s">
        <v>56</v>
      </c>
      <c r="AR62" s="12" t="s">
        <v>58</v>
      </c>
      <c r="AS62" s="12" t="s">
        <v>163</v>
      </c>
      <c r="AT62" s="12" t="s">
        <v>151</v>
      </c>
      <c r="AU62" s="45" t="s">
        <v>1201</v>
      </c>
      <c r="AV62" s="15"/>
      <c r="AW62" s="12" t="str">
        <f>B62&amp;C62&amp;L62&amp;M62&amp;O62&amp;U62&amp;AL62&amp;AM62</f>
        <v>ScotlandLamlash Bay Marine ReserveAequipecten opercularisQueen Scallopsdensity0.8Howarth2015</v>
      </c>
    </row>
    <row r="63" spans="1:49" ht="14.25" customHeight="1" x14ac:dyDescent="0.35">
      <c r="A63" s="12">
        <v>62</v>
      </c>
      <c r="B63" s="15" t="s">
        <v>75</v>
      </c>
      <c r="C63" s="44" t="s">
        <v>2678</v>
      </c>
      <c r="D63" s="50" t="s">
        <v>77</v>
      </c>
      <c r="E63" s="12" t="s">
        <v>1443</v>
      </c>
      <c r="F63" s="13" t="s">
        <v>50</v>
      </c>
      <c r="G63" s="13" t="s">
        <v>428</v>
      </c>
      <c r="H63" s="13" t="s">
        <v>78</v>
      </c>
      <c r="I63" s="13" t="s">
        <v>53</v>
      </c>
      <c r="K63" s="14">
        <v>65</v>
      </c>
      <c r="L63" s="14" t="s">
        <v>1137</v>
      </c>
      <c r="M63" s="14" t="s">
        <v>129</v>
      </c>
      <c r="N63" s="14" t="s">
        <v>85</v>
      </c>
      <c r="O63" s="17" t="s">
        <v>86</v>
      </c>
      <c r="P63" s="14"/>
      <c r="Q63" s="14"/>
      <c r="R63" s="14"/>
      <c r="S63" s="14">
        <v>0.22</v>
      </c>
      <c r="T63" s="14">
        <v>1.96</v>
      </c>
      <c r="U63" s="19">
        <f t="shared" si="5"/>
        <v>8.9090909090909083</v>
      </c>
      <c r="V63" s="41">
        <f t="shared" si="3"/>
        <v>790.90909090909088</v>
      </c>
      <c r="W63" s="14"/>
      <c r="X63" s="14" t="s">
        <v>56</v>
      </c>
      <c r="Z63" s="14" t="s">
        <v>56</v>
      </c>
      <c r="AA63" s="14"/>
      <c r="AB63" s="14" t="s">
        <v>57</v>
      </c>
      <c r="AC63" s="14">
        <v>2005</v>
      </c>
      <c r="AD63" s="14">
        <v>4</v>
      </c>
      <c r="AE63" s="14"/>
      <c r="AF63" s="14">
        <v>3</v>
      </c>
      <c r="AG63" s="14">
        <v>2003</v>
      </c>
      <c r="AH63" s="14">
        <f t="shared" si="0"/>
        <v>2</v>
      </c>
      <c r="AI63" s="17">
        <f t="shared" si="1"/>
        <v>6</v>
      </c>
      <c r="AJ63" s="14">
        <v>5</v>
      </c>
      <c r="AK63" s="14" t="s">
        <v>58</v>
      </c>
      <c r="AL63" s="13" t="s">
        <v>1444</v>
      </c>
      <c r="AM63" s="12">
        <v>2012</v>
      </c>
      <c r="AN63" s="12" t="s">
        <v>183</v>
      </c>
      <c r="AO63" s="12" t="s">
        <v>56</v>
      </c>
      <c r="AP63" s="12"/>
      <c r="AQ63" s="12" t="s">
        <v>56</v>
      </c>
      <c r="AR63" s="12" t="s">
        <v>58</v>
      </c>
      <c r="AS63" s="12" t="s">
        <v>258</v>
      </c>
      <c r="AT63" s="12" t="s">
        <v>151</v>
      </c>
      <c r="AU63" s="45" t="s">
        <v>2837</v>
      </c>
      <c r="AV63" s="15" t="s">
        <v>2839</v>
      </c>
      <c r="AW63" s="12" t="str">
        <f>B63&amp;C63&amp;L63&amp;M63&amp;O63&amp;U63&amp;AL63&amp;AM63</f>
        <v>United StatesHarris Point State Marine ReserveChromis punctipinnisBlacksmithdensity8.90909090909091Karpov2012</v>
      </c>
    </row>
    <row r="64" spans="1:49" ht="14.25" customHeight="1" x14ac:dyDescent="0.35">
      <c r="A64" s="12">
        <v>63</v>
      </c>
      <c r="B64" s="15" t="s">
        <v>75</v>
      </c>
      <c r="C64" s="44" t="s">
        <v>2678</v>
      </c>
      <c r="D64" s="50" t="s">
        <v>77</v>
      </c>
      <c r="E64" s="12" t="s">
        <v>1443</v>
      </c>
      <c r="F64" s="13" t="s">
        <v>50</v>
      </c>
      <c r="G64" s="13" t="s">
        <v>428</v>
      </c>
      <c r="H64" s="13" t="s">
        <v>78</v>
      </c>
      <c r="I64" s="13" t="s">
        <v>53</v>
      </c>
      <c r="K64" s="17">
        <v>65</v>
      </c>
      <c r="L64" s="14" t="s">
        <v>1445</v>
      </c>
      <c r="M64" s="14" t="s">
        <v>1446</v>
      </c>
      <c r="N64" s="14" t="s">
        <v>85</v>
      </c>
      <c r="O64" s="17" t="s">
        <v>86</v>
      </c>
      <c r="P64" s="14"/>
      <c r="Q64" s="14"/>
      <c r="R64" s="14"/>
      <c r="S64" s="14">
        <v>0.32</v>
      </c>
      <c r="T64" s="14">
        <v>0.74</v>
      </c>
      <c r="U64" s="19">
        <f t="shared" si="5"/>
        <v>2.3125</v>
      </c>
      <c r="V64" s="41">
        <f t="shared" si="3"/>
        <v>131.25</v>
      </c>
      <c r="W64" s="14"/>
      <c r="X64" s="14" t="s">
        <v>56</v>
      </c>
      <c r="Z64" s="14" t="s">
        <v>56</v>
      </c>
      <c r="AA64" s="14"/>
      <c r="AB64" s="14" t="s">
        <v>57</v>
      </c>
      <c r="AC64" s="14">
        <v>2005</v>
      </c>
      <c r="AD64" s="14">
        <v>4</v>
      </c>
      <c r="AE64" s="14"/>
      <c r="AF64" s="14">
        <v>3</v>
      </c>
      <c r="AG64" s="14">
        <v>2003</v>
      </c>
      <c r="AH64" s="14">
        <f t="shared" si="0"/>
        <v>2</v>
      </c>
      <c r="AI64" s="17">
        <f t="shared" si="1"/>
        <v>6</v>
      </c>
      <c r="AJ64" s="14">
        <v>5</v>
      </c>
      <c r="AK64" s="14" t="s">
        <v>58</v>
      </c>
      <c r="AL64" s="13" t="s">
        <v>1444</v>
      </c>
      <c r="AM64" s="12">
        <v>2012</v>
      </c>
      <c r="AN64" s="12" t="s">
        <v>183</v>
      </c>
      <c r="AO64" s="12" t="s">
        <v>56</v>
      </c>
      <c r="AP64" s="12"/>
      <c r="AQ64" s="12" t="s">
        <v>56</v>
      </c>
      <c r="AR64" s="12" t="s">
        <v>58</v>
      </c>
      <c r="AS64" s="12" t="s">
        <v>258</v>
      </c>
      <c r="AT64" s="12" t="s">
        <v>151</v>
      </c>
      <c r="AU64" s="45" t="s">
        <v>2837</v>
      </c>
      <c r="AV64" s="15" t="s">
        <v>2839</v>
      </c>
      <c r="AW64" s="12" t="str">
        <f>B64&amp;C64&amp;L64&amp;M64&amp;O64&amp;U64&amp;AL64&amp;AM64</f>
        <v>United StatesHarris Point State Marine ReserveSebastes miniatusVermillion rockfishdensity2.3125Karpov2012</v>
      </c>
    </row>
    <row r="65" spans="1:49" ht="14.25" customHeight="1" x14ac:dyDescent="0.35">
      <c r="A65" s="12">
        <v>64</v>
      </c>
      <c r="B65" s="15" t="s">
        <v>75</v>
      </c>
      <c r="C65" s="43" t="s">
        <v>2678</v>
      </c>
      <c r="D65" s="50" t="s">
        <v>77</v>
      </c>
      <c r="E65" s="12" t="s">
        <v>1443</v>
      </c>
      <c r="F65" s="13" t="s">
        <v>50</v>
      </c>
      <c r="G65" s="13" t="s">
        <v>428</v>
      </c>
      <c r="H65" s="16" t="s">
        <v>78</v>
      </c>
      <c r="I65" s="16" t="s">
        <v>53</v>
      </c>
      <c r="J65" s="17"/>
      <c r="K65" s="17">
        <v>65</v>
      </c>
      <c r="L65" s="17" t="s">
        <v>1447</v>
      </c>
      <c r="M65" s="17" t="s">
        <v>1448</v>
      </c>
      <c r="N65" s="17" t="s">
        <v>85</v>
      </c>
      <c r="O65" s="17" t="s">
        <v>86</v>
      </c>
      <c r="P65" s="17"/>
      <c r="Q65" s="17"/>
      <c r="R65" s="17"/>
      <c r="S65" s="17">
        <v>0.1</v>
      </c>
      <c r="T65" s="17">
        <v>0.34</v>
      </c>
      <c r="U65" s="19">
        <f t="shared" si="5"/>
        <v>3.4</v>
      </c>
      <c r="V65" s="41">
        <f t="shared" si="3"/>
        <v>240</v>
      </c>
      <c r="W65" s="14"/>
      <c r="X65" s="17" t="s">
        <v>56</v>
      </c>
      <c r="Y65" s="17"/>
      <c r="Z65" s="14" t="s">
        <v>56</v>
      </c>
      <c r="AA65" s="14"/>
      <c r="AB65" s="17" t="s">
        <v>57</v>
      </c>
      <c r="AC65" s="17">
        <v>2005</v>
      </c>
      <c r="AD65" s="17">
        <v>4</v>
      </c>
      <c r="AE65" s="17"/>
      <c r="AF65" s="17">
        <v>3</v>
      </c>
      <c r="AG65" s="17">
        <v>2003</v>
      </c>
      <c r="AH65" s="14">
        <f t="shared" si="0"/>
        <v>2</v>
      </c>
      <c r="AI65" s="17">
        <f t="shared" si="1"/>
        <v>6</v>
      </c>
      <c r="AJ65" s="17">
        <v>5</v>
      </c>
      <c r="AK65" s="17" t="s">
        <v>58</v>
      </c>
      <c r="AL65" s="16" t="s">
        <v>1444</v>
      </c>
      <c r="AM65" s="15">
        <v>2012</v>
      </c>
      <c r="AN65" s="15" t="s">
        <v>183</v>
      </c>
      <c r="AO65" s="15" t="s">
        <v>56</v>
      </c>
      <c r="AP65" s="15"/>
      <c r="AQ65" s="15" t="s">
        <v>56</v>
      </c>
      <c r="AR65" s="15" t="s">
        <v>58</v>
      </c>
      <c r="AS65" s="15" t="s">
        <v>258</v>
      </c>
      <c r="AT65" s="12" t="s">
        <v>151</v>
      </c>
      <c r="AU65" s="45" t="s">
        <v>2837</v>
      </c>
      <c r="AV65" s="15" t="s">
        <v>2839</v>
      </c>
      <c r="AW65" s="12" t="str">
        <f>B65&amp;C65&amp;L65&amp;M65&amp;O65&amp;U65&amp;AL65&amp;AM65</f>
        <v>United StatesHarris Point State Marine ReserveSebastes caurinusCopper Rockfishdensity3.4Karpov2012</v>
      </c>
    </row>
    <row r="66" spans="1:49" ht="14.25" customHeight="1" x14ac:dyDescent="0.35">
      <c r="A66" s="12">
        <v>65</v>
      </c>
      <c r="B66" s="15" t="s">
        <v>75</v>
      </c>
      <c r="C66" s="43" t="s">
        <v>2678</v>
      </c>
      <c r="D66" s="50" t="s">
        <v>77</v>
      </c>
      <c r="E66" s="12" t="s">
        <v>1443</v>
      </c>
      <c r="F66" s="13" t="s">
        <v>50</v>
      </c>
      <c r="G66" s="13" t="s">
        <v>428</v>
      </c>
      <c r="H66" s="16" t="s">
        <v>78</v>
      </c>
      <c r="I66" s="16" t="s">
        <v>53</v>
      </c>
      <c r="J66" s="17"/>
      <c r="K66" s="17">
        <v>65</v>
      </c>
      <c r="L66" s="17" t="s">
        <v>1449</v>
      </c>
      <c r="M66" s="17" t="s">
        <v>1450</v>
      </c>
      <c r="N66" s="17" t="s">
        <v>85</v>
      </c>
      <c r="O66" s="17" t="s">
        <v>86</v>
      </c>
      <c r="P66" s="17"/>
      <c r="Q66" s="17"/>
      <c r="R66" s="17"/>
      <c r="S66" s="17">
        <v>0.03</v>
      </c>
      <c r="T66" s="17">
        <v>0.24</v>
      </c>
      <c r="U66" s="19">
        <f t="shared" si="5"/>
        <v>8</v>
      </c>
      <c r="V66" s="41">
        <f t="shared" si="3"/>
        <v>700</v>
      </c>
      <c r="W66" s="14"/>
      <c r="X66" s="17" t="s">
        <v>56</v>
      </c>
      <c r="Y66" s="17"/>
      <c r="Z66" s="14" t="s">
        <v>56</v>
      </c>
      <c r="AA66" s="14"/>
      <c r="AB66" s="17" t="s">
        <v>57</v>
      </c>
      <c r="AC66" s="17">
        <v>2005</v>
      </c>
      <c r="AD66" s="17">
        <v>4</v>
      </c>
      <c r="AE66" s="17"/>
      <c r="AF66" s="17">
        <v>3</v>
      </c>
      <c r="AG66" s="17">
        <v>2003</v>
      </c>
      <c r="AH66" s="14">
        <f t="shared" ref="AH66:AH129" si="6">IF(OR(AG66="NA",AC66="NA"),"NA",IF(OR(AC66="",AG66=""), "", AC66-AG66))</f>
        <v>2</v>
      </c>
      <c r="AI66" s="17">
        <f t="shared" ref="AI66:AI129" si="7">IF(AH66="NA", "NA",IF(OR(AH66="",AND(AD66="",AE66="")), "",AH66+AD66+AE66/12))</f>
        <v>6</v>
      </c>
      <c r="AJ66" s="17">
        <v>5</v>
      </c>
      <c r="AK66" s="17" t="s">
        <v>58</v>
      </c>
      <c r="AL66" s="16" t="s">
        <v>1444</v>
      </c>
      <c r="AM66" s="15">
        <v>2012</v>
      </c>
      <c r="AN66" s="15" t="s">
        <v>183</v>
      </c>
      <c r="AO66" s="15" t="s">
        <v>56</v>
      </c>
      <c r="AP66" s="15"/>
      <c r="AQ66" s="15" t="s">
        <v>56</v>
      </c>
      <c r="AR66" s="15" t="s">
        <v>58</v>
      </c>
      <c r="AS66" s="15" t="s">
        <v>258</v>
      </c>
      <c r="AT66" s="12" t="s">
        <v>151</v>
      </c>
      <c r="AU66" s="45" t="s">
        <v>2837</v>
      </c>
      <c r="AV66" s="15" t="s">
        <v>2839</v>
      </c>
      <c r="AW66" s="12" t="str">
        <f>B66&amp;C66&amp;L66&amp;M66&amp;O66&amp;U66&amp;AL66&amp;AM66</f>
        <v>United StatesHarris Point State Marine ReserveSebastes carnatusGopher Rockfishdensity8Karpov2012</v>
      </c>
    </row>
    <row r="67" spans="1:49" ht="14.25" customHeight="1" x14ac:dyDescent="0.35">
      <c r="A67" s="12">
        <v>66</v>
      </c>
      <c r="B67" s="15" t="s">
        <v>75</v>
      </c>
      <c r="C67" s="43" t="s">
        <v>2678</v>
      </c>
      <c r="D67" s="50" t="s">
        <v>77</v>
      </c>
      <c r="E67" s="12" t="s">
        <v>1443</v>
      </c>
      <c r="F67" s="13" t="s">
        <v>50</v>
      </c>
      <c r="G67" s="13" t="s">
        <v>428</v>
      </c>
      <c r="H67" s="16" t="s">
        <v>78</v>
      </c>
      <c r="I67" s="16" t="s">
        <v>53</v>
      </c>
      <c r="J67" s="17"/>
      <c r="K67" s="17">
        <v>65</v>
      </c>
      <c r="L67" s="51" t="s">
        <v>115</v>
      </c>
      <c r="M67" s="17" t="s">
        <v>1451</v>
      </c>
      <c r="N67" s="17" t="s">
        <v>85</v>
      </c>
      <c r="O67" s="17" t="s">
        <v>86</v>
      </c>
      <c r="P67" s="17"/>
      <c r="Q67" s="17"/>
      <c r="R67" s="17"/>
      <c r="S67" s="17">
        <v>0.05</v>
      </c>
      <c r="T67" s="17">
        <v>0.14000000000000001</v>
      </c>
      <c r="U67" s="19">
        <f t="shared" si="5"/>
        <v>2.8000000000000003</v>
      </c>
      <c r="V67" s="41">
        <f t="shared" si="3"/>
        <v>180.00000000000003</v>
      </c>
      <c r="W67" s="14"/>
      <c r="X67" s="17" t="s">
        <v>56</v>
      </c>
      <c r="Y67" s="17"/>
      <c r="Z67" s="14" t="s">
        <v>56</v>
      </c>
      <c r="AA67" s="14"/>
      <c r="AB67" s="17" t="s">
        <v>57</v>
      </c>
      <c r="AC67" s="17">
        <v>2005</v>
      </c>
      <c r="AD67" s="17">
        <v>4</v>
      </c>
      <c r="AE67" s="17"/>
      <c r="AF67" s="17">
        <v>3</v>
      </c>
      <c r="AG67" s="17">
        <v>2003</v>
      </c>
      <c r="AH67" s="14">
        <f t="shared" si="6"/>
        <v>2</v>
      </c>
      <c r="AI67" s="17">
        <f t="shared" si="7"/>
        <v>6</v>
      </c>
      <c r="AJ67" s="17">
        <v>5</v>
      </c>
      <c r="AK67" s="17" t="s">
        <v>58</v>
      </c>
      <c r="AL67" s="16" t="s">
        <v>1444</v>
      </c>
      <c r="AM67" s="15">
        <v>2012</v>
      </c>
      <c r="AN67" s="15" t="s">
        <v>183</v>
      </c>
      <c r="AO67" s="15" t="s">
        <v>56</v>
      </c>
      <c r="AP67" s="15"/>
      <c r="AQ67" s="15" t="s">
        <v>56</v>
      </c>
      <c r="AR67" s="15" t="s">
        <v>58</v>
      </c>
      <c r="AS67" s="15" t="s">
        <v>258</v>
      </c>
      <c r="AT67" s="12" t="s">
        <v>151</v>
      </c>
      <c r="AU67" s="45" t="s">
        <v>2837</v>
      </c>
      <c r="AV67" s="15" t="s">
        <v>2839</v>
      </c>
      <c r="AW67" s="12" t="str">
        <f>B67&amp;C67&amp;L67&amp;M67&amp;O67&amp;U67&amp;AL67&amp;AM67</f>
        <v>United StatesHarris Point State Marine ReserveSemicossyphus pulcherCA Sheepheaddensity2.8Karpov2012</v>
      </c>
    </row>
    <row r="68" spans="1:49" ht="14.25" customHeight="1" x14ac:dyDescent="0.35">
      <c r="A68" s="12">
        <v>67</v>
      </c>
      <c r="B68" s="15" t="s">
        <v>75</v>
      </c>
      <c r="C68" s="43" t="s">
        <v>2678</v>
      </c>
      <c r="D68" s="50" t="s">
        <v>77</v>
      </c>
      <c r="E68" s="12" t="s">
        <v>1443</v>
      </c>
      <c r="F68" s="13" t="s">
        <v>50</v>
      </c>
      <c r="G68" s="13" t="s">
        <v>428</v>
      </c>
      <c r="H68" s="16" t="s">
        <v>78</v>
      </c>
      <c r="I68" s="16" t="s">
        <v>53</v>
      </c>
      <c r="J68" s="17"/>
      <c r="K68" s="17">
        <v>65</v>
      </c>
      <c r="L68" s="17" t="s">
        <v>1452</v>
      </c>
      <c r="M68" s="17" t="s">
        <v>1453</v>
      </c>
      <c r="N68" s="17" t="s">
        <v>85</v>
      </c>
      <c r="O68" s="17" t="s">
        <v>86</v>
      </c>
      <c r="P68" s="17"/>
      <c r="Q68" s="17"/>
      <c r="R68" s="17"/>
      <c r="S68" s="17">
        <v>0</v>
      </c>
      <c r="T68" s="17">
        <v>0.12</v>
      </c>
      <c r="U68" s="19" t="str">
        <f t="shared" ref="U68:U99" si="8">IFERROR(IF(AND(Q68="",R68="",S68="",T68=""),"",IF(AND(Q68&lt;&gt;"",R68&lt;&gt;"",S68&lt;&gt;"",T68&lt;&gt;""),(T68/R68)/(S68/Q68),IF(AND(Q68&lt;&gt;"",R68&lt;&gt;""),R68/Q68,IF(AND(S68&lt;&gt;"",T68&lt;&gt;""),T68/S68,IF(AND(Q68&lt;&gt;"",S68&lt;&gt;""),Q68/S68,IF(AND(R68&lt;&gt;"",T68&lt;&gt;""),T68/R68)))))), "N/A")</f>
        <v>N/A</v>
      </c>
      <c r="V68" s="41" t="str">
        <f t="shared" ref="V68:V131" si="9">IFERROR(IF(U68 = "", "",(U68-1)*100),"N/A")</f>
        <v>N/A</v>
      </c>
      <c r="W68" s="14"/>
      <c r="X68" s="17" t="s">
        <v>56</v>
      </c>
      <c r="Y68" s="17"/>
      <c r="Z68" s="14" t="s">
        <v>56</v>
      </c>
      <c r="AA68" s="14"/>
      <c r="AB68" s="17" t="s">
        <v>57</v>
      </c>
      <c r="AC68" s="17">
        <v>2005</v>
      </c>
      <c r="AD68" s="17">
        <v>4</v>
      </c>
      <c r="AE68" s="17"/>
      <c r="AF68" s="17">
        <v>3</v>
      </c>
      <c r="AG68" s="17">
        <v>2003</v>
      </c>
      <c r="AH68" s="14">
        <f t="shared" si="6"/>
        <v>2</v>
      </c>
      <c r="AI68" s="17">
        <f t="shared" si="7"/>
        <v>6</v>
      </c>
      <c r="AJ68" s="17">
        <v>5</v>
      </c>
      <c r="AK68" s="17" t="s">
        <v>58</v>
      </c>
      <c r="AL68" s="16" t="s">
        <v>1444</v>
      </c>
      <c r="AM68" s="15">
        <v>2012</v>
      </c>
      <c r="AN68" s="15" t="s">
        <v>183</v>
      </c>
      <c r="AO68" s="15" t="s">
        <v>56</v>
      </c>
      <c r="AP68" s="15"/>
      <c r="AQ68" s="15" t="s">
        <v>56</v>
      </c>
      <c r="AR68" s="15" t="s">
        <v>58</v>
      </c>
      <c r="AS68" s="15" t="s">
        <v>258</v>
      </c>
      <c r="AT68" s="12" t="s">
        <v>151</v>
      </c>
      <c r="AU68" s="45" t="s">
        <v>2837</v>
      </c>
      <c r="AV68" s="15" t="s">
        <v>2839</v>
      </c>
      <c r="AW68" s="12" t="str">
        <f>B68&amp;C68&amp;L68&amp;M68&amp;O68&amp;U68&amp;AL68&amp;AM68</f>
        <v>United StatesHarris Point State Marine ReserveSebastes serricepsTreefishdensityN/AKarpov2012</v>
      </c>
    </row>
    <row r="69" spans="1:49" ht="14.25" customHeight="1" x14ac:dyDescent="0.35">
      <c r="A69" s="12">
        <v>68</v>
      </c>
      <c r="B69" s="15" t="s">
        <v>75</v>
      </c>
      <c r="C69" s="44" t="s">
        <v>2678</v>
      </c>
      <c r="D69" s="50" t="s">
        <v>77</v>
      </c>
      <c r="E69" s="12" t="s">
        <v>1443</v>
      </c>
      <c r="F69" s="13" t="s">
        <v>50</v>
      </c>
      <c r="G69" s="13" t="s">
        <v>428</v>
      </c>
      <c r="H69" s="13" t="s">
        <v>78</v>
      </c>
      <c r="I69" s="13" t="s">
        <v>53</v>
      </c>
      <c r="K69" s="14">
        <v>65</v>
      </c>
      <c r="L69" s="14" t="s">
        <v>1454</v>
      </c>
      <c r="M69" s="14" t="s">
        <v>1455</v>
      </c>
      <c r="N69" s="14" t="s">
        <v>85</v>
      </c>
      <c r="O69" s="17" t="s">
        <v>86</v>
      </c>
      <c r="P69" s="14"/>
      <c r="Q69" s="14"/>
      <c r="R69" s="14"/>
      <c r="S69" s="14">
        <v>0.14000000000000001</v>
      </c>
      <c r="T69" s="14">
        <v>0.14000000000000001</v>
      </c>
      <c r="U69" s="19">
        <f t="shared" si="8"/>
        <v>1</v>
      </c>
      <c r="V69" s="41">
        <f t="shared" si="9"/>
        <v>0</v>
      </c>
      <c r="W69" s="14"/>
      <c r="X69" s="14" t="s">
        <v>56</v>
      </c>
      <c r="Z69" s="14" t="s">
        <v>56</v>
      </c>
      <c r="AA69" s="14"/>
      <c r="AB69" s="14" t="s">
        <v>57</v>
      </c>
      <c r="AC69" s="14">
        <v>2005</v>
      </c>
      <c r="AD69" s="14">
        <v>4</v>
      </c>
      <c r="AE69" s="14"/>
      <c r="AF69" s="14">
        <v>3</v>
      </c>
      <c r="AG69" s="14">
        <v>2003</v>
      </c>
      <c r="AH69" s="14">
        <f t="shared" si="6"/>
        <v>2</v>
      </c>
      <c r="AI69" s="17">
        <f t="shared" si="7"/>
        <v>6</v>
      </c>
      <c r="AJ69" s="14">
        <v>5</v>
      </c>
      <c r="AK69" s="14" t="s">
        <v>58</v>
      </c>
      <c r="AL69" s="13" t="s">
        <v>1444</v>
      </c>
      <c r="AM69" s="12">
        <v>2012</v>
      </c>
      <c r="AN69" s="12" t="s">
        <v>183</v>
      </c>
      <c r="AO69" s="12" t="s">
        <v>56</v>
      </c>
      <c r="AP69" s="12"/>
      <c r="AQ69" s="12" t="s">
        <v>56</v>
      </c>
      <c r="AR69" s="12" t="s">
        <v>58</v>
      </c>
      <c r="AS69" s="12" t="s">
        <v>258</v>
      </c>
      <c r="AT69" s="12" t="s">
        <v>151</v>
      </c>
      <c r="AU69" s="45" t="s">
        <v>2837</v>
      </c>
      <c r="AV69" s="15" t="s">
        <v>2839</v>
      </c>
      <c r="AW69" s="12" t="str">
        <f>B69&amp;C69&amp;L69&amp;M69&amp;O69&amp;U69&amp;AL69&amp;AM69</f>
        <v>United StatesHarris Point State Marine ReserveRhacochilus vaccaPileporchdensity1Karpov2012</v>
      </c>
    </row>
    <row r="70" spans="1:49" ht="14.25" customHeight="1" x14ac:dyDescent="0.35">
      <c r="A70" s="12">
        <v>69</v>
      </c>
      <c r="B70" s="15" t="s">
        <v>75</v>
      </c>
      <c r="C70" s="44" t="s">
        <v>2678</v>
      </c>
      <c r="D70" s="50" t="s">
        <v>77</v>
      </c>
      <c r="E70" s="12" t="s">
        <v>1443</v>
      </c>
      <c r="F70" s="13" t="s">
        <v>50</v>
      </c>
      <c r="G70" s="13" t="s">
        <v>428</v>
      </c>
      <c r="H70" s="13" t="s">
        <v>78</v>
      </c>
      <c r="I70" s="13" t="s">
        <v>53</v>
      </c>
      <c r="K70" s="14">
        <v>65</v>
      </c>
      <c r="L70" s="14" t="s">
        <v>1456</v>
      </c>
      <c r="M70" s="14" t="s">
        <v>1457</v>
      </c>
      <c r="N70" s="14" t="s">
        <v>85</v>
      </c>
      <c r="O70" s="17" t="s">
        <v>86</v>
      </c>
      <c r="P70" s="14"/>
      <c r="Q70" s="14"/>
      <c r="R70" s="14"/>
      <c r="S70" s="14">
        <v>1.7999999999999999E-2</v>
      </c>
      <c r="T70" s="14">
        <v>1.7999999999999999E-2</v>
      </c>
      <c r="U70" s="19">
        <f t="shared" si="8"/>
        <v>1</v>
      </c>
      <c r="V70" s="41">
        <f t="shared" si="9"/>
        <v>0</v>
      </c>
      <c r="W70" s="14"/>
      <c r="X70" s="14" t="s">
        <v>56</v>
      </c>
      <c r="Z70" s="14" t="s">
        <v>56</v>
      </c>
      <c r="AA70" s="14"/>
      <c r="AB70" s="14" t="s">
        <v>57</v>
      </c>
      <c r="AC70" s="14">
        <v>2005</v>
      </c>
      <c r="AD70" s="14">
        <v>4</v>
      </c>
      <c r="AE70" s="14"/>
      <c r="AF70" s="14">
        <v>3</v>
      </c>
      <c r="AG70" s="14">
        <v>2003</v>
      </c>
      <c r="AH70" s="14">
        <f t="shared" si="6"/>
        <v>2</v>
      </c>
      <c r="AI70" s="17">
        <f t="shared" si="7"/>
        <v>6</v>
      </c>
      <c r="AJ70" s="14">
        <v>5</v>
      </c>
      <c r="AK70" s="14" t="s">
        <v>58</v>
      </c>
      <c r="AL70" s="13" t="s">
        <v>1444</v>
      </c>
      <c r="AM70" s="12">
        <v>2012</v>
      </c>
      <c r="AN70" s="12" t="s">
        <v>183</v>
      </c>
      <c r="AO70" s="12" t="s">
        <v>56</v>
      </c>
      <c r="AP70" s="12"/>
      <c r="AQ70" s="12" t="s">
        <v>56</v>
      </c>
      <c r="AR70" s="12" t="s">
        <v>58</v>
      </c>
      <c r="AS70" s="12" t="s">
        <v>258</v>
      </c>
      <c r="AT70" s="12" t="s">
        <v>151</v>
      </c>
      <c r="AU70" s="45" t="s">
        <v>2837</v>
      </c>
      <c r="AV70" s="15" t="s">
        <v>2839</v>
      </c>
      <c r="AW70" s="12" t="str">
        <f>B70&amp;C70&amp;L70&amp;M70&amp;O70&amp;U70&amp;AL70&amp;AM70</f>
        <v>United StatesHarris Point State Marine ReserveOphiodon elongatusLingcoddensity1Karpov2012</v>
      </c>
    </row>
    <row r="71" spans="1:49" ht="14.25" customHeight="1" x14ac:dyDescent="0.35">
      <c r="A71" s="12">
        <v>70</v>
      </c>
      <c r="B71" s="15" t="s">
        <v>75</v>
      </c>
      <c r="C71" s="44" t="s">
        <v>2678</v>
      </c>
      <c r="D71" s="50" t="s">
        <v>77</v>
      </c>
      <c r="E71" s="12" t="s">
        <v>1443</v>
      </c>
      <c r="F71" s="13" t="s">
        <v>50</v>
      </c>
      <c r="G71" s="13" t="s">
        <v>428</v>
      </c>
      <c r="H71" s="13" t="s">
        <v>78</v>
      </c>
      <c r="I71" s="13" t="s">
        <v>53</v>
      </c>
      <c r="K71" s="17">
        <v>65</v>
      </c>
      <c r="L71" s="14" t="s">
        <v>1127</v>
      </c>
      <c r="M71" s="14" t="s">
        <v>135</v>
      </c>
      <c r="N71" s="14" t="s">
        <v>85</v>
      </c>
      <c r="O71" s="17" t="s">
        <v>86</v>
      </c>
      <c r="P71" s="14"/>
      <c r="Q71" s="14"/>
      <c r="R71" s="14"/>
      <c r="S71" s="14">
        <v>0</v>
      </c>
      <c r="T71" s="14">
        <v>0.04</v>
      </c>
      <c r="U71" s="19" t="str">
        <f t="shared" si="8"/>
        <v>N/A</v>
      </c>
      <c r="V71" s="41" t="str">
        <f t="shared" si="9"/>
        <v>N/A</v>
      </c>
      <c r="W71" s="14"/>
      <c r="X71" s="14" t="s">
        <v>56</v>
      </c>
      <c r="Z71" s="14" t="s">
        <v>56</v>
      </c>
      <c r="AA71" s="14"/>
      <c r="AB71" s="14" t="s">
        <v>57</v>
      </c>
      <c r="AC71" s="14">
        <v>2005</v>
      </c>
      <c r="AD71" s="14">
        <v>4</v>
      </c>
      <c r="AE71" s="14"/>
      <c r="AF71" s="14">
        <v>3</v>
      </c>
      <c r="AG71" s="14">
        <v>2003</v>
      </c>
      <c r="AH71" s="14">
        <f t="shared" si="6"/>
        <v>2</v>
      </c>
      <c r="AI71" s="17">
        <f t="shared" si="7"/>
        <v>6</v>
      </c>
      <c r="AJ71" s="14">
        <v>5</v>
      </c>
      <c r="AK71" s="14" t="s">
        <v>58</v>
      </c>
      <c r="AL71" s="13" t="s">
        <v>1444</v>
      </c>
      <c r="AM71" s="12">
        <v>2012</v>
      </c>
      <c r="AN71" s="12" t="s">
        <v>183</v>
      </c>
      <c r="AO71" s="12" t="s">
        <v>56</v>
      </c>
      <c r="AP71" s="12"/>
      <c r="AQ71" s="12" t="s">
        <v>56</v>
      </c>
      <c r="AR71" s="12" t="s">
        <v>58</v>
      </c>
      <c r="AS71" s="12" t="s">
        <v>258</v>
      </c>
      <c r="AT71" s="12" t="s">
        <v>151</v>
      </c>
      <c r="AU71" s="45" t="s">
        <v>2837</v>
      </c>
      <c r="AV71" s="15" t="s">
        <v>2839</v>
      </c>
      <c r="AW71" s="12" t="str">
        <f>B71&amp;C71&amp;L71&amp;M71&amp;O71&amp;U71&amp;AL71&amp;AM71</f>
        <v>United StatesHarris Point State Marine ReserveOxyjulis californicaSenoritadensityN/AKarpov2012</v>
      </c>
    </row>
    <row r="72" spans="1:49" ht="14.25" customHeight="1" x14ac:dyDescent="0.35">
      <c r="A72" s="12">
        <v>71</v>
      </c>
      <c r="B72" s="15" t="s">
        <v>75</v>
      </c>
      <c r="C72" s="44" t="s">
        <v>2678</v>
      </c>
      <c r="D72" s="50" t="s">
        <v>77</v>
      </c>
      <c r="E72" s="12" t="s">
        <v>1443</v>
      </c>
      <c r="F72" s="13" t="s">
        <v>50</v>
      </c>
      <c r="G72" s="13" t="s">
        <v>428</v>
      </c>
      <c r="H72" s="13" t="s">
        <v>78</v>
      </c>
      <c r="I72" s="13" t="s">
        <v>53</v>
      </c>
      <c r="K72" s="17">
        <v>65</v>
      </c>
      <c r="L72" s="14" t="s">
        <v>1458</v>
      </c>
      <c r="M72" s="14" t="s">
        <v>1459</v>
      </c>
      <c r="N72" s="14" t="s">
        <v>85</v>
      </c>
      <c r="O72" s="17" t="s">
        <v>86</v>
      </c>
      <c r="P72" s="14"/>
      <c r="Q72" s="14"/>
      <c r="R72" s="14"/>
      <c r="S72" s="14">
        <v>2.83</v>
      </c>
      <c r="T72" s="14">
        <v>1.52</v>
      </c>
      <c r="U72" s="19">
        <f t="shared" si="8"/>
        <v>0.53710247349823326</v>
      </c>
      <c r="V72" s="41">
        <f t="shared" si="9"/>
        <v>-46.289752650176673</v>
      </c>
      <c r="W72" s="14"/>
      <c r="X72" s="14" t="s">
        <v>56</v>
      </c>
      <c r="Z72" s="14" t="s">
        <v>56</v>
      </c>
      <c r="AA72" s="14"/>
      <c r="AB72" s="14" t="s">
        <v>57</v>
      </c>
      <c r="AC72" s="14">
        <v>2005</v>
      </c>
      <c r="AD72" s="14">
        <v>4</v>
      </c>
      <c r="AE72" s="14"/>
      <c r="AF72" s="14">
        <v>3</v>
      </c>
      <c r="AG72" s="14">
        <v>2003</v>
      </c>
      <c r="AH72" s="14">
        <f t="shared" si="6"/>
        <v>2</v>
      </c>
      <c r="AI72" s="17">
        <f t="shared" si="7"/>
        <v>6</v>
      </c>
      <c r="AJ72" s="14">
        <v>5</v>
      </c>
      <c r="AK72" s="14" t="s">
        <v>58</v>
      </c>
      <c r="AL72" s="13" t="s">
        <v>1444</v>
      </c>
      <c r="AM72" s="12">
        <v>2012</v>
      </c>
      <c r="AN72" s="12" t="s">
        <v>183</v>
      </c>
      <c r="AO72" s="12" t="s">
        <v>56</v>
      </c>
      <c r="AP72" s="12"/>
      <c r="AQ72" s="12" t="s">
        <v>56</v>
      </c>
      <c r="AR72" s="12" t="s">
        <v>58</v>
      </c>
      <c r="AS72" s="12" t="s">
        <v>258</v>
      </c>
      <c r="AT72" s="12" t="s">
        <v>151</v>
      </c>
      <c r="AU72" s="45" t="s">
        <v>2837</v>
      </c>
      <c r="AV72" s="15" t="s">
        <v>2839</v>
      </c>
      <c r="AW72" s="12" t="str">
        <f>B72&amp;C72&amp;L72&amp;M72&amp;O72&amp;U72&amp;AL72&amp;AM72</f>
        <v>United StatesHarris Point State Marine ReserveSebastes mystinusBlue Rockfishdensity0.537102473498233Karpov2012</v>
      </c>
    </row>
    <row r="73" spans="1:49" ht="14.25" customHeight="1" x14ac:dyDescent="0.35">
      <c r="A73" s="12">
        <v>72</v>
      </c>
      <c r="B73" s="15" t="s">
        <v>75</v>
      </c>
      <c r="C73" s="44" t="s">
        <v>2678</v>
      </c>
      <c r="D73" s="50" t="s">
        <v>77</v>
      </c>
      <c r="E73" s="12" t="s">
        <v>1443</v>
      </c>
      <c r="F73" s="13" t="s">
        <v>50</v>
      </c>
      <c r="G73" s="13" t="s">
        <v>428</v>
      </c>
      <c r="H73" s="13" t="s">
        <v>78</v>
      </c>
      <c r="I73" s="13" t="s">
        <v>53</v>
      </c>
      <c r="K73" s="17">
        <v>65</v>
      </c>
      <c r="L73" s="14" t="s">
        <v>1460</v>
      </c>
      <c r="M73" s="14" t="s">
        <v>1461</v>
      </c>
      <c r="N73" s="14" t="s">
        <v>85</v>
      </c>
      <c r="O73" s="17" t="s">
        <v>86</v>
      </c>
      <c r="P73" s="14"/>
      <c r="Q73" s="14"/>
      <c r="R73" s="14"/>
      <c r="S73" s="14">
        <v>0.35</v>
      </c>
      <c r="T73" s="14">
        <v>0.28000000000000003</v>
      </c>
      <c r="U73" s="19">
        <f t="shared" si="8"/>
        <v>0.80000000000000016</v>
      </c>
      <c r="V73" s="41">
        <f t="shared" si="9"/>
        <v>-19.999999999999986</v>
      </c>
      <c r="W73" s="14"/>
      <c r="X73" s="14" t="s">
        <v>56</v>
      </c>
      <c r="Z73" s="14" t="s">
        <v>56</v>
      </c>
      <c r="AA73" s="14"/>
      <c r="AB73" s="14" t="s">
        <v>57</v>
      </c>
      <c r="AC73" s="14">
        <v>2005</v>
      </c>
      <c r="AD73" s="14">
        <v>4</v>
      </c>
      <c r="AE73" s="14"/>
      <c r="AF73" s="14">
        <v>3</v>
      </c>
      <c r="AG73" s="14">
        <v>2003</v>
      </c>
      <c r="AH73" s="14">
        <f t="shared" si="6"/>
        <v>2</v>
      </c>
      <c r="AI73" s="17">
        <f t="shared" si="7"/>
        <v>6</v>
      </c>
      <c r="AJ73" s="14">
        <v>5</v>
      </c>
      <c r="AK73" s="14" t="s">
        <v>58</v>
      </c>
      <c r="AL73" s="13" t="s">
        <v>1444</v>
      </c>
      <c r="AM73" s="12">
        <v>2012</v>
      </c>
      <c r="AN73" s="12" t="s">
        <v>183</v>
      </c>
      <c r="AO73" s="12" t="s">
        <v>56</v>
      </c>
      <c r="AP73" s="12"/>
      <c r="AQ73" s="12" t="s">
        <v>56</v>
      </c>
      <c r="AR73" s="12" t="s">
        <v>58</v>
      </c>
      <c r="AS73" s="12" t="s">
        <v>258</v>
      </c>
      <c r="AT73" s="12" t="s">
        <v>151</v>
      </c>
      <c r="AU73" s="45" t="s">
        <v>2837</v>
      </c>
      <c r="AV73" s="15" t="s">
        <v>2839</v>
      </c>
      <c r="AW73" s="12" t="str">
        <f>B73&amp;C73&amp;L73&amp;M73&amp;O73&amp;U73&amp;AL73&amp;AM73</f>
        <v>United StatesHarris Point State Marine ReserveSebastes serranoidesOlive Rockfishdensity0.8Karpov2012</v>
      </c>
    </row>
    <row r="74" spans="1:49" ht="14.25" customHeight="1" x14ac:dyDescent="0.35">
      <c r="A74" s="12">
        <v>73</v>
      </c>
      <c r="B74" s="15" t="s">
        <v>75</v>
      </c>
      <c r="C74" s="44" t="s">
        <v>2678</v>
      </c>
      <c r="D74" s="50" t="s">
        <v>77</v>
      </c>
      <c r="E74" s="12" t="s">
        <v>1443</v>
      </c>
      <c r="F74" s="13" t="s">
        <v>50</v>
      </c>
      <c r="G74" s="13" t="s">
        <v>428</v>
      </c>
      <c r="H74" s="13" t="s">
        <v>78</v>
      </c>
      <c r="I74" s="13" t="s">
        <v>53</v>
      </c>
      <c r="K74" s="17">
        <v>65</v>
      </c>
      <c r="L74" s="14" t="s">
        <v>1462</v>
      </c>
      <c r="M74" s="14" t="s">
        <v>1462</v>
      </c>
      <c r="N74" s="14" t="s">
        <v>120</v>
      </c>
      <c r="O74" s="14" t="s">
        <v>86</v>
      </c>
      <c r="P74" s="14"/>
      <c r="Q74" s="14"/>
      <c r="R74" s="14"/>
      <c r="S74" s="14">
        <v>0.63</v>
      </c>
      <c r="T74" s="14">
        <v>0.22</v>
      </c>
      <c r="U74" s="19">
        <f t="shared" si="8"/>
        <v>0.34920634920634919</v>
      </c>
      <c r="V74" s="41">
        <f t="shared" si="9"/>
        <v>-65.079365079365076</v>
      </c>
      <c r="W74" s="14"/>
      <c r="X74" s="14" t="s">
        <v>56</v>
      </c>
      <c r="Z74" s="14" t="s">
        <v>56</v>
      </c>
      <c r="AA74" s="14"/>
      <c r="AB74" s="14" t="s">
        <v>57</v>
      </c>
      <c r="AC74" s="14">
        <v>2005</v>
      </c>
      <c r="AD74" s="14">
        <v>4</v>
      </c>
      <c r="AE74" s="14"/>
      <c r="AF74" s="14">
        <v>3</v>
      </c>
      <c r="AG74" s="14">
        <v>2003</v>
      </c>
      <c r="AH74" s="14">
        <f t="shared" si="6"/>
        <v>2</v>
      </c>
      <c r="AI74" s="17">
        <f t="shared" si="7"/>
        <v>6</v>
      </c>
      <c r="AJ74" s="14">
        <v>5</v>
      </c>
      <c r="AK74" s="14" t="s">
        <v>58</v>
      </c>
      <c r="AL74" s="13" t="s">
        <v>1444</v>
      </c>
      <c r="AM74" s="12">
        <v>2012</v>
      </c>
      <c r="AN74" s="12" t="s">
        <v>183</v>
      </c>
      <c r="AO74" s="12" t="s">
        <v>56</v>
      </c>
      <c r="AP74" s="12"/>
      <c r="AQ74" s="12" t="s">
        <v>56</v>
      </c>
      <c r="AR74" s="12" t="s">
        <v>58</v>
      </c>
      <c r="AS74" s="12" t="s">
        <v>258</v>
      </c>
      <c r="AT74" s="12" t="s">
        <v>151</v>
      </c>
      <c r="AU74" s="45" t="s">
        <v>2837</v>
      </c>
      <c r="AV74" s="15" t="s">
        <v>2839</v>
      </c>
      <c r="AW74" s="12" t="str">
        <f>B74&amp;C74&amp;L74&amp;M74&amp;O74&amp;U74&amp;AL74&amp;AM74</f>
        <v>United StatesHarris Point State Marine ReserveSebastomusSebastomusdensity0.349206349206349Karpov2012</v>
      </c>
    </row>
    <row r="75" spans="1:49" ht="14.25" customHeight="1" x14ac:dyDescent="0.35">
      <c r="A75" s="12">
        <v>74</v>
      </c>
      <c r="B75" s="15" t="s">
        <v>75</v>
      </c>
      <c r="C75" s="12" t="s">
        <v>2679</v>
      </c>
      <c r="D75" s="50" t="s">
        <v>77</v>
      </c>
      <c r="E75" s="12" t="s">
        <v>1443</v>
      </c>
      <c r="F75" s="13" t="s">
        <v>50</v>
      </c>
      <c r="G75" s="13" t="s">
        <v>428</v>
      </c>
      <c r="H75" s="13" t="s">
        <v>78</v>
      </c>
      <c r="I75" s="13" t="s">
        <v>53</v>
      </c>
      <c r="K75" s="17">
        <v>32</v>
      </c>
      <c r="L75" s="14" t="s">
        <v>1137</v>
      </c>
      <c r="M75" s="14" t="s">
        <v>129</v>
      </c>
      <c r="N75" s="14" t="s">
        <v>85</v>
      </c>
      <c r="O75" s="14" t="s">
        <v>86</v>
      </c>
      <c r="P75" s="14"/>
      <c r="Q75" s="14"/>
      <c r="R75" s="14"/>
      <c r="S75" s="14">
        <v>0.11</v>
      </c>
      <c r="T75" s="14">
        <v>0.49</v>
      </c>
      <c r="U75" s="19">
        <f t="shared" si="8"/>
        <v>4.4545454545454541</v>
      </c>
      <c r="V75" s="41">
        <f t="shared" si="9"/>
        <v>345.45454545454544</v>
      </c>
      <c r="W75" s="14"/>
      <c r="X75" s="18" t="s">
        <v>56</v>
      </c>
      <c r="Z75" s="14" t="s">
        <v>56</v>
      </c>
      <c r="AA75" s="14"/>
      <c r="AB75" s="14" t="s">
        <v>57</v>
      </c>
      <c r="AC75" s="14">
        <v>2005</v>
      </c>
      <c r="AD75" s="14">
        <v>4</v>
      </c>
      <c r="AE75" s="14"/>
      <c r="AF75" s="14">
        <v>3</v>
      </c>
      <c r="AG75" s="14">
        <v>2003</v>
      </c>
      <c r="AH75" s="14">
        <f t="shared" si="6"/>
        <v>2</v>
      </c>
      <c r="AI75" s="17">
        <f t="shared" si="7"/>
        <v>6</v>
      </c>
      <c r="AJ75" s="14">
        <v>5</v>
      </c>
      <c r="AK75" s="14" t="s">
        <v>58</v>
      </c>
      <c r="AL75" s="13" t="s">
        <v>1444</v>
      </c>
      <c r="AM75" s="12">
        <v>2012</v>
      </c>
      <c r="AN75" s="12" t="s">
        <v>183</v>
      </c>
      <c r="AO75" s="12" t="s">
        <v>56</v>
      </c>
      <c r="AP75" s="12"/>
      <c r="AQ75" s="12" t="s">
        <v>56</v>
      </c>
      <c r="AR75" s="12" t="s">
        <v>58</v>
      </c>
      <c r="AS75" s="12" t="s">
        <v>258</v>
      </c>
      <c r="AT75" s="12" t="s">
        <v>151</v>
      </c>
      <c r="AU75" s="45" t="s">
        <v>2837</v>
      </c>
      <c r="AV75" s="15" t="s">
        <v>2839</v>
      </c>
      <c r="AW75" s="12" t="str">
        <f>B75&amp;C75&amp;L75&amp;M75&amp;O75&amp;U75&amp;AL75&amp;AM75</f>
        <v>United StatesCarrington Point State Marine ReserveChromis punctipinnisBlacksmithdensity4.45454545454545Karpov2012</v>
      </c>
    </row>
    <row r="76" spans="1:49" ht="14.25" customHeight="1" x14ac:dyDescent="0.35">
      <c r="A76" s="12">
        <v>75</v>
      </c>
      <c r="B76" s="15" t="s">
        <v>75</v>
      </c>
      <c r="C76" s="15" t="s">
        <v>2679</v>
      </c>
      <c r="D76" s="50" t="s">
        <v>77</v>
      </c>
      <c r="E76" s="15" t="s">
        <v>1443</v>
      </c>
      <c r="F76" s="13" t="s">
        <v>50</v>
      </c>
      <c r="G76" s="13" t="s">
        <v>428</v>
      </c>
      <c r="H76" s="16" t="s">
        <v>78</v>
      </c>
      <c r="I76" s="16" t="s">
        <v>53</v>
      </c>
      <c r="J76" s="17"/>
      <c r="K76" s="17">
        <v>32</v>
      </c>
      <c r="L76" s="17" t="s">
        <v>1445</v>
      </c>
      <c r="M76" s="17" t="s">
        <v>1446</v>
      </c>
      <c r="N76" s="17" t="s">
        <v>85</v>
      </c>
      <c r="O76" s="17" t="s">
        <v>86</v>
      </c>
      <c r="P76" s="17"/>
      <c r="Q76" s="17"/>
      <c r="R76" s="17"/>
      <c r="S76" s="17">
        <v>0.38</v>
      </c>
      <c r="T76" s="17">
        <v>0.18</v>
      </c>
      <c r="U76" s="20">
        <f t="shared" si="8"/>
        <v>0.47368421052631576</v>
      </c>
      <c r="V76" s="41">
        <f t="shared" si="9"/>
        <v>-52.631578947368432</v>
      </c>
      <c r="W76" s="17"/>
      <c r="X76" s="47" t="s">
        <v>56</v>
      </c>
      <c r="Y76" s="17"/>
      <c r="Z76" s="14" t="s">
        <v>56</v>
      </c>
      <c r="AA76" s="14"/>
      <c r="AB76" s="17" t="s">
        <v>57</v>
      </c>
      <c r="AC76" s="17">
        <v>2005</v>
      </c>
      <c r="AD76" s="17">
        <v>4</v>
      </c>
      <c r="AE76" s="17"/>
      <c r="AF76" s="17">
        <v>3</v>
      </c>
      <c r="AG76" s="17">
        <v>2003</v>
      </c>
      <c r="AH76" s="14">
        <f t="shared" si="6"/>
        <v>2</v>
      </c>
      <c r="AI76" s="17">
        <f t="shared" si="7"/>
        <v>6</v>
      </c>
      <c r="AJ76" s="17">
        <v>5</v>
      </c>
      <c r="AK76" s="17" t="s">
        <v>58</v>
      </c>
      <c r="AL76" s="16" t="s">
        <v>1444</v>
      </c>
      <c r="AM76" s="15">
        <v>2012</v>
      </c>
      <c r="AN76" s="15" t="s">
        <v>183</v>
      </c>
      <c r="AO76" s="15" t="s">
        <v>56</v>
      </c>
      <c r="AP76" s="15"/>
      <c r="AQ76" s="15" t="s">
        <v>56</v>
      </c>
      <c r="AR76" s="15" t="s">
        <v>58</v>
      </c>
      <c r="AS76" s="15" t="s">
        <v>258</v>
      </c>
      <c r="AT76" s="15" t="s">
        <v>151</v>
      </c>
      <c r="AU76" s="45" t="s">
        <v>2837</v>
      </c>
      <c r="AV76" s="15" t="s">
        <v>2839</v>
      </c>
      <c r="AW76" s="12" t="str">
        <f>B76&amp;C76&amp;L76&amp;M76&amp;O76&amp;U76&amp;AL76&amp;AM76</f>
        <v>United StatesCarrington Point State Marine ReserveSebastes miniatusVermillion rockfishdensity0.473684210526316Karpov2012</v>
      </c>
    </row>
    <row r="77" spans="1:49" ht="14.25" customHeight="1" x14ac:dyDescent="0.35">
      <c r="A77" s="12">
        <v>76</v>
      </c>
      <c r="B77" s="15" t="s">
        <v>75</v>
      </c>
      <c r="C77" s="15" t="s">
        <v>2679</v>
      </c>
      <c r="D77" s="50" t="s">
        <v>77</v>
      </c>
      <c r="E77" s="15" t="s">
        <v>1443</v>
      </c>
      <c r="F77" s="13" t="s">
        <v>50</v>
      </c>
      <c r="G77" s="13" t="s">
        <v>428</v>
      </c>
      <c r="H77" s="16" t="s">
        <v>78</v>
      </c>
      <c r="I77" s="16" t="s">
        <v>53</v>
      </c>
      <c r="J77" s="17"/>
      <c r="K77" s="17">
        <v>32</v>
      </c>
      <c r="L77" s="17" t="s">
        <v>1447</v>
      </c>
      <c r="M77" s="17" t="s">
        <v>1448</v>
      </c>
      <c r="N77" s="17" t="s">
        <v>85</v>
      </c>
      <c r="O77" s="17" t="s">
        <v>86</v>
      </c>
      <c r="P77" s="17"/>
      <c r="Q77" s="17"/>
      <c r="R77" s="17"/>
      <c r="S77" s="17">
        <v>0.22</v>
      </c>
      <c r="T77" s="17">
        <v>0.16</v>
      </c>
      <c r="U77" s="20">
        <f t="shared" si="8"/>
        <v>0.72727272727272729</v>
      </c>
      <c r="V77" s="41">
        <f t="shared" si="9"/>
        <v>-27.27272727272727</v>
      </c>
      <c r="W77" s="17"/>
      <c r="X77" s="47" t="s">
        <v>56</v>
      </c>
      <c r="Y77" s="17"/>
      <c r="Z77" s="14" t="s">
        <v>56</v>
      </c>
      <c r="AA77" s="14"/>
      <c r="AB77" s="17" t="s">
        <v>57</v>
      </c>
      <c r="AC77" s="17">
        <v>2005</v>
      </c>
      <c r="AD77" s="17">
        <v>4</v>
      </c>
      <c r="AE77" s="17"/>
      <c r="AF77" s="17">
        <v>3</v>
      </c>
      <c r="AG77" s="17">
        <v>2003</v>
      </c>
      <c r="AH77" s="14">
        <f t="shared" si="6"/>
        <v>2</v>
      </c>
      <c r="AI77" s="17">
        <f t="shared" si="7"/>
        <v>6</v>
      </c>
      <c r="AJ77" s="17">
        <v>5</v>
      </c>
      <c r="AK77" s="17" t="s">
        <v>58</v>
      </c>
      <c r="AL77" s="16" t="s">
        <v>1444</v>
      </c>
      <c r="AM77" s="15">
        <v>2012</v>
      </c>
      <c r="AN77" s="15" t="s">
        <v>183</v>
      </c>
      <c r="AO77" s="15" t="s">
        <v>56</v>
      </c>
      <c r="AP77" s="15"/>
      <c r="AQ77" s="15" t="s">
        <v>56</v>
      </c>
      <c r="AR77" s="15" t="s">
        <v>58</v>
      </c>
      <c r="AS77" s="15" t="s">
        <v>258</v>
      </c>
      <c r="AT77" s="15" t="s">
        <v>151</v>
      </c>
      <c r="AU77" s="45" t="s">
        <v>2837</v>
      </c>
      <c r="AV77" s="15" t="s">
        <v>2839</v>
      </c>
      <c r="AW77" s="12" t="str">
        <f>B77&amp;C77&amp;L77&amp;M77&amp;O77&amp;U77&amp;AL77&amp;AM77</f>
        <v>United StatesCarrington Point State Marine ReserveSebastes caurinusCopper Rockfishdensity0.727272727272727Karpov2012</v>
      </c>
    </row>
    <row r="78" spans="1:49" ht="14.25" customHeight="1" x14ac:dyDescent="0.35">
      <c r="A78" s="12">
        <v>77</v>
      </c>
      <c r="B78" s="15" t="s">
        <v>75</v>
      </c>
      <c r="C78" s="15" t="s">
        <v>2679</v>
      </c>
      <c r="D78" s="50" t="s">
        <v>77</v>
      </c>
      <c r="E78" s="15" t="s">
        <v>1443</v>
      </c>
      <c r="F78" s="13" t="s">
        <v>50</v>
      </c>
      <c r="G78" s="13" t="s">
        <v>428</v>
      </c>
      <c r="H78" s="16" t="s">
        <v>78</v>
      </c>
      <c r="I78" s="16" t="s">
        <v>53</v>
      </c>
      <c r="J78" s="17"/>
      <c r="K78" s="17">
        <v>32</v>
      </c>
      <c r="L78" s="17" t="s">
        <v>1449</v>
      </c>
      <c r="M78" s="17" t="s">
        <v>1450</v>
      </c>
      <c r="N78" s="17" t="s">
        <v>85</v>
      </c>
      <c r="O78" s="17" t="s">
        <v>86</v>
      </c>
      <c r="P78" s="17"/>
      <c r="Q78" s="17"/>
      <c r="R78" s="17"/>
      <c r="S78" s="17">
        <v>0</v>
      </c>
      <c r="T78" s="17">
        <v>0.01</v>
      </c>
      <c r="U78" s="20" t="str">
        <f t="shared" si="8"/>
        <v>N/A</v>
      </c>
      <c r="V78" s="41" t="str">
        <f t="shared" si="9"/>
        <v>N/A</v>
      </c>
      <c r="W78" s="17"/>
      <c r="X78" s="47" t="s">
        <v>56</v>
      </c>
      <c r="Y78" s="17"/>
      <c r="Z78" s="14" t="s">
        <v>56</v>
      </c>
      <c r="AA78" s="14"/>
      <c r="AB78" s="17" t="s">
        <v>57</v>
      </c>
      <c r="AC78" s="17">
        <v>2005</v>
      </c>
      <c r="AD78" s="17">
        <v>4</v>
      </c>
      <c r="AE78" s="17"/>
      <c r="AF78" s="17">
        <v>3</v>
      </c>
      <c r="AG78" s="17">
        <v>2003</v>
      </c>
      <c r="AH78" s="14">
        <f t="shared" si="6"/>
        <v>2</v>
      </c>
      <c r="AI78" s="17">
        <f t="shared" si="7"/>
        <v>6</v>
      </c>
      <c r="AJ78" s="17">
        <v>5</v>
      </c>
      <c r="AK78" s="17" t="s">
        <v>58</v>
      </c>
      <c r="AL78" s="16" t="s">
        <v>1444</v>
      </c>
      <c r="AM78" s="15">
        <v>2012</v>
      </c>
      <c r="AN78" s="15" t="s">
        <v>183</v>
      </c>
      <c r="AO78" s="15" t="s">
        <v>56</v>
      </c>
      <c r="AP78" s="15"/>
      <c r="AQ78" s="15" t="s">
        <v>56</v>
      </c>
      <c r="AR78" s="15" t="s">
        <v>58</v>
      </c>
      <c r="AS78" s="15" t="s">
        <v>258</v>
      </c>
      <c r="AT78" s="15" t="s">
        <v>151</v>
      </c>
      <c r="AU78" s="45" t="s">
        <v>2837</v>
      </c>
      <c r="AV78" s="15" t="s">
        <v>2839</v>
      </c>
      <c r="AW78" s="12" t="str">
        <f>B78&amp;C78&amp;L78&amp;M78&amp;O78&amp;U78&amp;AL78&amp;AM78</f>
        <v>United StatesCarrington Point State Marine ReserveSebastes carnatusGopher RockfishdensityN/AKarpov2012</v>
      </c>
    </row>
    <row r="79" spans="1:49" ht="14.25" customHeight="1" x14ac:dyDescent="0.35">
      <c r="A79" s="12">
        <v>78</v>
      </c>
      <c r="B79" s="15" t="s">
        <v>75</v>
      </c>
      <c r="C79" s="15" t="s">
        <v>2679</v>
      </c>
      <c r="D79" s="50" t="s">
        <v>77</v>
      </c>
      <c r="E79" s="15" t="s">
        <v>1443</v>
      </c>
      <c r="F79" s="13" t="s">
        <v>50</v>
      </c>
      <c r="G79" s="13" t="s">
        <v>428</v>
      </c>
      <c r="H79" s="16" t="s">
        <v>78</v>
      </c>
      <c r="I79" s="16" t="s">
        <v>53</v>
      </c>
      <c r="J79" s="17"/>
      <c r="K79" s="17">
        <v>32</v>
      </c>
      <c r="L79" s="51" t="s">
        <v>115</v>
      </c>
      <c r="M79" s="17" t="s">
        <v>1451</v>
      </c>
      <c r="N79" s="17" t="s">
        <v>85</v>
      </c>
      <c r="O79" s="17" t="s">
        <v>86</v>
      </c>
      <c r="P79" s="17"/>
      <c r="Q79" s="17"/>
      <c r="R79" s="17"/>
      <c r="S79" s="17">
        <v>0.3</v>
      </c>
      <c r="T79" s="17">
        <v>7.0000000000000007E-2</v>
      </c>
      <c r="U79" s="20">
        <f t="shared" si="8"/>
        <v>0.23333333333333336</v>
      </c>
      <c r="V79" s="41">
        <f t="shared" si="9"/>
        <v>-76.666666666666657</v>
      </c>
      <c r="W79" s="17"/>
      <c r="X79" s="47" t="s">
        <v>56</v>
      </c>
      <c r="Y79" s="17"/>
      <c r="Z79" s="14" t="s">
        <v>56</v>
      </c>
      <c r="AA79" s="14"/>
      <c r="AB79" s="17" t="s">
        <v>57</v>
      </c>
      <c r="AC79" s="17">
        <v>2005</v>
      </c>
      <c r="AD79" s="17">
        <v>4</v>
      </c>
      <c r="AE79" s="17"/>
      <c r="AF79" s="17">
        <v>3</v>
      </c>
      <c r="AG79" s="17">
        <v>2003</v>
      </c>
      <c r="AH79" s="14">
        <f t="shared" si="6"/>
        <v>2</v>
      </c>
      <c r="AI79" s="17">
        <f t="shared" si="7"/>
        <v>6</v>
      </c>
      <c r="AJ79" s="17">
        <v>5</v>
      </c>
      <c r="AK79" s="17" t="s">
        <v>58</v>
      </c>
      <c r="AL79" s="16" t="s">
        <v>1444</v>
      </c>
      <c r="AM79" s="15">
        <v>2012</v>
      </c>
      <c r="AN79" s="12" t="s">
        <v>183</v>
      </c>
      <c r="AO79" s="15" t="s">
        <v>56</v>
      </c>
      <c r="AP79" s="15"/>
      <c r="AQ79" s="15" t="s">
        <v>56</v>
      </c>
      <c r="AR79" s="15" t="s">
        <v>58</v>
      </c>
      <c r="AS79" s="15" t="s">
        <v>258</v>
      </c>
      <c r="AT79" s="15" t="s">
        <v>151</v>
      </c>
      <c r="AU79" s="45" t="s">
        <v>2837</v>
      </c>
      <c r="AV79" s="15" t="s">
        <v>2839</v>
      </c>
      <c r="AW79" s="12" t="str">
        <f>B79&amp;C79&amp;L79&amp;M79&amp;O79&amp;U79&amp;AL79&amp;AM79</f>
        <v>United StatesCarrington Point State Marine ReserveSemicossyphus pulcherCA Sheepheaddensity0.233333333333333Karpov2012</v>
      </c>
    </row>
    <row r="80" spans="1:49" ht="14.25" customHeight="1" x14ac:dyDescent="0.35">
      <c r="A80" s="12">
        <v>79</v>
      </c>
      <c r="B80" s="15" t="s">
        <v>75</v>
      </c>
      <c r="C80" s="15" t="s">
        <v>2679</v>
      </c>
      <c r="D80" s="50" t="s">
        <v>77</v>
      </c>
      <c r="E80" s="15" t="s">
        <v>1443</v>
      </c>
      <c r="F80" s="13" t="s">
        <v>50</v>
      </c>
      <c r="G80" s="13" t="s">
        <v>428</v>
      </c>
      <c r="H80" s="16" t="s">
        <v>78</v>
      </c>
      <c r="I80" s="16" t="s">
        <v>53</v>
      </c>
      <c r="J80" s="17"/>
      <c r="K80" s="17">
        <v>32</v>
      </c>
      <c r="L80" s="17" t="s">
        <v>1452</v>
      </c>
      <c r="M80" s="17" t="s">
        <v>1453</v>
      </c>
      <c r="N80" s="17" t="s">
        <v>85</v>
      </c>
      <c r="O80" s="17" t="s">
        <v>86</v>
      </c>
      <c r="P80" s="17"/>
      <c r="Q80" s="17"/>
      <c r="R80" s="17"/>
      <c r="S80" s="17">
        <v>0</v>
      </c>
      <c r="T80" s="17">
        <v>1.4E-2</v>
      </c>
      <c r="U80" s="20" t="str">
        <f t="shared" si="8"/>
        <v>N/A</v>
      </c>
      <c r="V80" s="41" t="str">
        <f t="shared" si="9"/>
        <v>N/A</v>
      </c>
      <c r="W80" s="17"/>
      <c r="X80" s="47" t="s">
        <v>56</v>
      </c>
      <c r="Y80" s="17"/>
      <c r="Z80" s="14" t="s">
        <v>56</v>
      </c>
      <c r="AA80" s="14"/>
      <c r="AB80" s="17" t="s">
        <v>57</v>
      </c>
      <c r="AC80" s="17">
        <v>2005</v>
      </c>
      <c r="AD80" s="17">
        <v>4</v>
      </c>
      <c r="AE80" s="17"/>
      <c r="AF80" s="17">
        <v>3</v>
      </c>
      <c r="AG80" s="17">
        <v>2003</v>
      </c>
      <c r="AH80" s="14">
        <f t="shared" si="6"/>
        <v>2</v>
      </c>
      <c r="AI80" s="17">
        <f t="shared" si="7"/>
        <v>6</v>
      </c>
      <c r="AJ80" s="17">
        <v>5</v>
      </c>
      <c r="AK80" s="17" t="s">
        <v>58</v>
      </c>
      <c r="AL80" s="16" t="s">
        <v>1444</v>
      </c>
      <c r="AM80" s="15">
        <v>2012</v>
      </c>
      <c r="AN80" s="12" t="s">
        <v>183</v>
      </c>
      <c r="AO80" s="15" t="s">
        <v>56</v>
      </c>
      <c r="AP80" s="15"/>
      <c r="AQ80" s="15" t="s">
        <v>56</v>
      </c>
      <c r="AR80" s="15" t="s">
        <v>58</v>
      </c>
      <c r="AS80" s="15" t="s">
        <v>258</v>
      </c>
      <c r="AT80" s="15" t="s">
        <v>151</v>
      </c>
      <c r="AU80" s="45" t="s">
        <v>2837</v>
      </c>
      <c r="AV80" s="15" t="s">
        <v>2839</v>
      </c>
      <c r="AW80" s="12" t="str">
        <f>B80&amp;C80&amp;L80&amp;M80&amp;O80&amp;U80&amp;AL80&amp;AM80</f>
        <v>United StatesCarrington Point State Marine ReserveSebastes serricepsTreefishdensityN/AKarpov2012</v>
      </c>
    </row>
    <row r="81" spans="1:49" ht="14.25" customHeight="1" x14ac:dyDescent="0.35">
      <c r="A81" s="12">
        <v>80</v>
      </c>
      <c r="B81" s="15" t="s">
        <v>75</v>
      </c>
      <c r="C81" s="12" t="s">
        <v>2679</v>
      </c>
      <c r="D81" s="50" t="s">
        <v>77</v>
      </c>
      <c r="E81" s="12" t="s">
        <v>1443</v>
      </c>
      <c r="F81" s="13" t="s">
        <v>50</v>
      </c>
      <c r="G81" s="13" t="s">
        <v>428</v>
      </c>
      <c r="H81" s="13" t="s">
        <v>78</v>
      </c>
      <c r="I81" s="13" t="s">
        <v>53</v>
      </c>
      <c r="K81" s="17">
        <v>32</v>
      </c>
      <c r="L81" s="14" t="s">
        <v>1454</v>
      </c>
      <c r="M81" s="14" t="s">
        <v>1455</v>
      </c>
      <c r="N81" s="14" t="s">
        <v>85</v>
      </c>
      <c r="O81" s="17" t="s">
        <v>86</v>
      </c>
      <c r="P81" s="14"/>
      <c r="Q81" s="14"/>
      <c r="R81" s="14"/>
      <c r="S81" s="14">
        <v>0.14000000000000001</v>
      </c>
      <c r="T81" s="14">
        <v>0.14000000000000001</v>
      </c>
      <c r="U81" s="19">
        <f t="shared" si="8"/>
        <v>1</v>
      </c>
      <c r="V81" s="41">
        <f t="shared" si="9"/>
        <v>0</v>
      </c>
      <c r="W81" s="14"/>
      <c r="X81" s="18" t="s">
        <v>56</v>
      </c>
      <c r="Z81" s="14" t="s">
        <v>56</v>
      </c>
      <c r="AA81" s="14"/>
      <c r="AB81" s="14" t="s">
        <v>57</v>
      </c>
      <c r="AC81" s="14">
        <v>2005</v>
      </c>
      <c r="AD81" s="14">
        <v>4</v>
      </c>
      <c r="AE81" s="14"/>
      <c r="AF81" s="14">
        <v>3</v>
      </c>
      <c r="AG81" s="14">
        <v>2003</v>
      </c>
      <c r="AH81" s="14">
        <f t="shared" si="6"/>
        <v>2</v>
      </c>
      <c r="AI81" s="17">
        <f t="shared" si="7"/>
        <v>6</v>
      </c>
      <c r="AJ81" s="14">
        <v>5</v>
      </c>
      <c r="AK81" s="14" t="s">
        <v>58</v>
      </c>
      <c r="AL81" s="13" t="s">
        <v>1444</v>
      </c>
      <c r="AM81" s="12">
        <v>2012</v>
      </c>
      <c r="AN81" s="12" t="s">
        <v>183</v>
      </c>
      <c r="AO81" s="12" t="s">
        <v>56</v>
      </c>
      <c r="AP81" s="12"/>
      <c r="AQ81" s="12" t="s">
        <v>56</v>
      </c>
      <c r="AR81" s="12" t="s">
        <v>58</v>
      </c>
      <c r="AS81" s="12" t="s">
        <v>258</v>
      </c>
      <c r="AT81" s="12" t="s">
        <v>151</v>
      </c>
      <c r="AU81" s="45" t="s">
        <v>2837</v>
      </c>
      <c r="AV81" s="15" t="s">
        <v>2839</v>
      </c>
      <c r="AW81" s="12" t="str">
        <f>B81&amp;C81&amp;L81&amp;M81&amp;O81&amp;U81&amp;AL81&amp;AM81</f>
        <v>United StatesCarrington Point State Marine ReserveRhacochilus vaccaPileporchdensity1Karpov2012</v>
      </c>
    </row>
    <row r="82" spans="1:49" ht="14.25" customHeight="1" x14ac:dyDescent="0.35">
      <c r="A82" s="12">
        <v>81</v>
      </c>
      <c r="B82" s="15" t="s">
        <v>75</v>
      </c>
      <c r="C82" s="12" t="s">
        <v>2679</v>
      </c>
      <c r="D82" s="50" t="s">
        <v>77</v>
      </c>
      <c r="E82" s="12" t="s">
        <v>1443</v>
      </c>
      <c r="F82" s="13" t="s">
        <v>50</v>
      </c>
      <c r="G82" s="13" t="s">
        <v>428</v>
      </c>
      <c r="H82" s="13" t="s">
        <v>78</v>
      </c>
      <c r="I82" s="13" t="s">
        <v>53</v>
      </c>
      <c r="K82" s="14">
        <v>32</v>
      </c>
      <c r="L82" s="14" t="s">
        <v>1456</v>
      </c>
      <c r="M82" s="14" t="s">
        <v>1457</v>
      </c>
      <c r="N82" s="14" t="s">
        <v>85</v>
      </c>
      <c r="O82" s="17" t="s">
        <v>86</v>
      </c>
      <c r="P82" s="14"/>
      <c r="Q82" s="14"/>
      <c r="R82" s="14"/>
      <c r="S82" s="14">
        <v>0</v>
      </c>
      <c r="T82" s="14">
        <v>1.7999999999999999E-2</v>
      </c>
      <c r="U82" s="19" t="str">
        <f t="shared" si="8"/>
        <v>N/A</v>
      </c>
      <c r="V82" s="41" t="str">
        <f t="shared" si="9"/>
        <v>N/A</v>
      </c>
      <c r="W82" s="14"/>
      <c r="X82" s="18" t="s">
        <v>56</v>
      </c>
      <c r="Z82" s="14" t="s">
        <v>56</v>
      </c>
      <c r="AA82" s="14"/>
      <c r="AB82" s="14" t="s">
        <v>57</v>
      </c>
      <c r="AC82" s="14">
        <v>2005</v>
      </c>
      <c r="AD82" s="14">
        <v>4</v>
      </c>
      <c r="AE82" s="14"/>
      <c r="AF82" s="14">
        <v>3</v>
      </c>
      <c r="AG82" s="14">
        <v>2003</v>
      </c>
      <c r="AH82" s="14">
        <f t="shared" si="6"/>
        <v>2</v>
      </c>
      <c r="AI82" s="17">
        <f t="shared" si="7"/>
        <v>6</v>
      </c>
      <c r="AJ82" s="14">
        <v>5</v>
      </c>
      <c r="AK82" s="14" t="s">
        <v>58</v>
      </c>
      <c r="AL82" s="13" t="s">
        <v>1444</v>
      </c>
      <c r="AM82" s="12">
        <v>2012</v>
      </c>
      <c r="AN82" s="12" t="s">
        <v>183</v>
      </c>
      <c r="AO82" s="12" t="s">
        <v>56</v>
      </c>
      <c r="AP82" s="12"/>
      <c r="AQ82" s="12" t="s">
        <v>56</v>
      </c>
      <c r="AR82" s="12" t="s">
        <v>58</v>
      </c>
      <c r="AS82" s="12" t="s">
        <v>258</v>
      </c>
      <c r="AT82" s="12" t="s">
        <v>151</v>
      </c>
      <c r="AU82" s="45" t="s">
        <v>2837</v>
      </c>
      <c r="AV82" s="15" t="s">
        <v>2839</v>
      </c>
      <c r="AW82" s="12" t="str">
        <f>B82&amp;C82&amp;L82&amp;M82&amp;O82&amp;U82&amp;AL82&amp;AM82</f>
        <v>United StatesCarrington Point State Marine ReserveOphiodon elongatusLingcoddensityN/AKarpov2012</v>
      </c>
    </row>
    <row r="83" spans="1:49" ht="14.25" customHeight="1" x14ac:dyDescent="0.35">
      <c r="A83" s="12">
        <v>82</v>
      </c>
      <c r="B83" s="15" t="s">
        <v>75</v>
      </c>
      <c r="C83" s="12" t="s">
        <v>2679</v>
      </c>
      <c r="D83" s="50" t="s">
        <v>77</v>
      </c>
      <c r="E83" s="12" t="s">
        <v>1443</v>
      </c>
      <c r="F83" s="13" t="s">
        <v>50</v>
      </c>
      <c r="G83" s="13" t="s">
        <v>428</v>
      </c>
      <c r="H83" s="13" t="s">
        <v>78</v>
      </c>
      <c r="I83" s="13" t="s">
        <v>53</v>
      </c>
      <c r="K83" s="17">
        <v>32</v>
      </c>
      <c r="L83" s="14" t="s">
        <v>1127</v>
      </c>
      <c r="M83" s="14" t="s">
        <v>135</v>
      </c>
      <c r="N83" s="14" t="s">
        <v>85</v>
      </c>
      <c r="O83" s="14" t="s">
        <v>86</v>
      </c>
      <c r="P83" s="14"/>
      <c r="Q83" s="14"/>
      <c r="R83" s="14"/>
      <c r="S83" s="14">
        <v>0.35</v>
      </c>
      <c r="T83" s="14">
        <v>0</v>
      </c>
      <c r="U83" s="19">
        <f t="shared" si="8"/>
        <v>0</v>
      </c>
      <c r="V83" s="41">
        <f t="shared" si="9"/>
        <v>-100</v>
      </c>
      <c r="W83" s="14"/>
      <c r="X83" s="18" t="s">
        <v>56</v>
      </c>
      <c r="Z83" s="14" t="s">
        <v>56</v>
      </c>
      <c r="AA83" s="14"/>
      <c r="AB83" s="14" t="s">
        <v>57</v>
      </c>
      <c r="AC83" s="14">
        <v>2005</v>
      </c>
      <c r="AD83" s="14">
        <v>4</v>
      </c>
      <c r="AE83" s="14"/>
      <c r="AF83" s="14">
        <v>3</v>
      </c>
      <c r="AG83" s="14">
        <v>2003</v>
      </c>
      <c r="AH83" s="14">
        <f t="shared" si="6"/>
        <v>2</v>
      </c>
      <c r="AI83" s="17">
        <f t="shared" si="7"/>
        <v>6</v>
      </c>
      <c r="AJ83" s="14">
        <v>5</v>
      </c>
      <c r="AK83" s="14" t="s">
        <v>58</v>
      </c>
      <c r="AL83" s="13" t="s">
        <v>1444</v>
      </c>
      <c r="AM83" s="12">
        <v>2012</v>
      </c>
      <c r="AN83" s="12" t="s">
        <v>183</v>
      </c>
      <c r="AO83" s="12" t="s">
        <v>56</v>
      </c>
      <c r="AP83" s="12"/>
      <c r="AQ83" s="12" t="s">
        <v>56</v>
      </c>
      <c r="AR83" s="12" t="s">
        <v>58</v>
      </c>
      <c r="AS83" s="12" t="s">
        <v>258</v>
      </c>
      <c r="AT83" s="12" t="s">
        <v>151</v>
      </c>
      <c r="AU83" s="45" t="s">
        <v>2837</v>
      </c>
      <c r="AV83" s="15" t="s">
        <v>2839</v>
      </c>
      <c r="AW83" s="12" t="str">
        <f>B83&amp;C83&amp;L83&amp;M83&amp;O83&amp;U83&amp;AL83&amp;AM83</f>
        <v>United StatesCarrington Point State Marine ReserveOxyjulis californicaSenoritadensity0Karpov2012</v>
      </c>
    </row>
    <row r="84" spans="1:49" ht="14.25" customHeight="1" x14ac:dyDescent="0.35">
      <c r="A84" s="12">
        <v>83</v>
      </c>
      <c r="B84" s="15" t="s">
        <v>75</v>
      </c>
      <c r="C84" s="15" t="s">
        <v>2679</v>
      </c>
      <c r="D84" s="50" t="s">
        <v>77</v>
      </c>
      <c r="E84" s="15" t="s">
        <v>1443</v>
      </c>
      <c r="F84" s="13" t="s">
        <v>50</v>
      </c>
      <c r="G84" s="13" t="s">
        <v>428</v>
      </c>
      <c r="H84" s="16" t="s">
        <v>78</v>
      </c>
      <c r="I84" s="16" t="s">
        <v>53</v>
      </c>
      <c r="J84" s="17"/>
      <c r="K84" s="17">
        <v>32</v>
      </c>
      <c r="L84" s="17" t="s">
        <v>1458</v>
      </c>
      <c r="M84" s="17" t="s">
        <v>1459</v>
      </c>
      <c r="N84" s="17" t="s">
        <v>85</v>
      </c>
      <c r="O84" s="17" t="s">
        <v>86</v>
      </c>
      <c r="P84" s="17"/>
      <c r="Q84" s="17"/>
      <c r="R84" s="17"/>
      <c r="S84" s="17">
        <v>0.21</v>
      </c>
      <c r="T84" s="17">
        <v>8</v>
      </c>
      <c r="U84" s="20">
        <f t="shared" si="8"/>
        <v>38.095238095238095</v>
      </c>
      <c r="V84" s="41">
        <f t="shared" si="9"/>
        <v>3709.5238095238096</v>
      </c>
      <c r="W84" s="17"/>
      <c r="X84" s="47" t="s">
        <v>56</v>
      </c>
      <c r="Y84" s="17"/>
      <c r="Z84" s="14" t="s">
        <v>56</v>
      </c>
      <c r="AA84" s="14"/>
      <c r="AB84" s="17" t="s">
        <v>57</v>
      </c>
      <c r="AC84" s="17">
        <v>2005</v>
      </c>
      <c r="AD84" s="17">
        <v>4</v>
      </c>
      <c r="AE84" s="17"/>
      <c r="AF84" s="17">
        <v>3</v>
      </c>
      <c r="AG84" s="17">
        <v>2003</v>
      </c>
      <c r="AH84" s="14">
        <f t="shared" si="6"/>
        <v>2</v>
      </c>
      <c r="AI84" s="17">
        <f t="shared" si="7"/>
        <v>6</v>
      </c>
      <c r="AJ84" s="17">
        <v>5</v>
      </c>
      <c r="AK84" s="17" t="s">
        <v>58</v>
      </c>
      <c r="AL84" s="16" t="s">
        <v>1444</v>
      </c>
      <c r="AM84" s="15">
        <v>2012</v>
      </c>
      <c r="AN84" s="15" t="s">
        <v>183</v>
      </c>
      <c r="AO84" s="15" t="s">
        <v>56</v>
      </c>
      <c r="AP84" s="15"/>
      <c r="AQ84" s="15" t="s">
        <v>56</v>
      </c>
      <c r="AR84" s="15" t="s">
        <v>58</v>
      </c>
      <c r="AS84" s="15" t="s">
        <v>258</v>
      </c>
      <c r="AT84" s="15" t="s">
        <v>151</v>
      </c>
      <c r="AU84" s="45" t="s">
        <v>2837</v>
      </c>
      <c r="AV84" s="15" t="s">
        <v>2839</v>
      </c>
      <c r="AW84" s="12" t="str">
        <f>B84&amp;C84&amp;L84&amp;M84&amp;O84&amp;U84&amp;AL84&amp;AM84</f>
        <v>United StatesCarrington Point State Marine ReserveSebastes mystinusBlue Rockfishdensity38.0952380952381Karpov2012</v>
      </c>
    </row>
    <row r="85" spans="1:49" ht="14.25" customHeight="1" x14ac:dyDescent="0.35">
      <c r="A85" s="12">
        <v>84</v>
      </c>
      <c r="B85" s="15" t="s">
        <v>75</v>
      </c>
      <c r="C85" s="15" t="s">
        <v>2679</v>
      </c>
      <c r="D85" s="50" t="s">
        <v>77</v>
      </c>
      <c r="E85" s="15" t="s">
        <v>1443</v>
      </c>
      <c r="F85" s="13" t="s">
        <v>50</v>
      </c>
      <c r="G85" s="13" t="s">
        <v>428</v>
      </c>
      <c r="H85" s="16" t="s">
        <v>78</v>
      </c>
      <c r="I85" s="16" t="s">
        <v>53</v>
      </c>
      <c r="J85" s="17"/>
      <c r="K85" s="17">
        <v>32</v>
      </c>
      <c r="L85" s="17" t="s">
        <v>1460</v>
      </c>
      <c r="M85" s="17" t="s">
        <v>1461</v>
      </c>
      <c r="N85" s="17" t="s">
        <v>85</v>
      </c>
      <c r="O85" s="17" t="s">
        <v>86</v>
      </c>
      <c r="P85" s="17"/>
      <c r="Q85" s="17"/>
      <c r="R85" s="17"/>
      <c r="S85" s="17">
        <v>0</v>
      </c>
      <c r="T85" s="17">
        <v>0</v>
      </c>
      <c r="U85" s="20" t="str">
        <f t="shared" si="8"/>
        <v>N/A</v>
      </c>
      <c r="V85" s="41" t="str">
        <f t="shared" si="9"/>
        <v>N/A</v>
      </c>
      <c r="W85" s="17"/>
      <c r="X85" s="47" t="s">
        <v>56</v>
      </c>
      <c r="Y85" s="17"/>
      <c r="Z85" s="14" t="s">
        <v>56</v>
      </c>
      <c r="AA85" s="14"/>
      <c r="AB85" s="17" t="s">
        <v>57</v>
      </c>
      <c r="AC85" s="17">
        <v>2005</v>
      </c>
      <c r="AD85" s="17">
        <v>4</v>
      </c>
      <c r="AE85" s="17"/>
      <c r="AF85" s="17">
        <v>3</v>
      </c>
      <c r="AG85" s="17">
        <v>2003</v>
      </c>
      <c r="AH85" s="14">
        <f t="shared" si="6"/>
        <v>2</v>
      </c>
      <c r="AI85" s="17">
        <f t="shared" si="7"/>
        <v>6</v>
      </c>
      <c r="AJ85" s="17">
        <v>5</v>
      </c>
      <c r="AK85" s="17" t="s">
        <v>58</v>
      </c>
      <c r="AL85" s="16" t="s">
        <v>1444</v>
      </c>
      <c r="AM85" s="15">
        <v>2012</v>
      </c>
      <c r="AN85" s="15" t="s">
        <v>183</v>
      </c>
      <c r="AO85" s="15" t="s">
        <v>56</v>
      </c>
      <c r="AP85" s="15"/>
      <c r="AQ85" s="15" t="s">
        <v>56</v>
      </c>
      <c r="AR85" s="15" t="s">
        <v>58</v>
      </c>
      <c r="AS85" s="15" t="s">
        <v>258</v>
      </c>
      <c r="AT85" s="15" t="s">
        <v>151</v>
      </c>
      <c r="AU85" s="45" t="s">
        <v>2837</v>
      </c>
      <c r="AV85" s="15" t="s">
        <v>2839</v>
      </c>
      <c r="AW85" s="12" t="str">
        <f>B85&amp;C85&amp;L85&amp;M85&amp;O85&amp;U85&amp;AL85&amp;AM85</f>
        <v>United StatesCarrington Point State Marine ReserveSebastes serranoidesOlive RockfishdensityN/AKarpov2012</v>
      </c>
    </row>
    <row r="86" spans="1:49" ht="14.25" customHeight="1" x14ac:dyDescent="0.35">
      <c r="A86" s="12">
        <v>85</v>
      </c>
      <c r="B86" s="12" t="s">
        <v>75</v>
      </c>
      <c r="C86" s="15" t="s">
        <v>2679</v>
      </c>
      <c r="D86" s="50" t="s">
        <v>77</v>
      </c>
      <c r="E86" s="12" t="s">
        <v>1443</v>
      </c>
      <c r="F86" s="13" t="s">
        <v>50</v>
      </c>
      <c r="G86" s="13" t="s">
        <v>428</v>
      </c>
      <c r="H86" s="13" t="s">
        <v>78</v>
      </c>
      <c r="I86" s="13" t="s">
        <v>53</v>
      </c>
      <c r="K86" s="14">
        <v>32</v>
      </c>
      <c r="L86" s="14" t="s">
        <v>1462</v>
      </c>
      <c r="M86" s="14" t="s">
        <v>1462</v>
      </c>
      <c r="N86" s="14" t="s">
        <v>120</v>
      </c>
      <c r="O86" s="17" t="s">
        <v>86</v>
      </c>
      <c r="P86" s="14"/>
      <c r="Q86" s="14"/>
      <c r="R86" s="14"/>
      <c r="S86" s="14">
        <v>0</v>
      </c>
      <c r="T86" s="14">
        <v>0.06</v>
      </c>
      <c r="U86" s="19" t="str">
        <f t="shared" si="8"/>
        <v>N/A</v>
      </c>
      <c r="V86" s="41" t="str">
        <f t="shared" si="9"/>
        <v>N/A</v>
      </c>
      <c r="W86" s="14"/>
      <c r="X86" s="18" t="s">
        <v>56</v>
      </c>
      <c r="Z86" s="14" t="s">
        <v>56</v>
      </c>
      <c r="AA86" s="14"/>
      <c r="AB86" s="14" t="s">
        <v>57</v>
      </c>
      <c r="AC86" s="14">
        <v>2005</v>
      </c>
      <c r="AD86" s="14">
        <v>4</v>
      </c>
      <c r="AE86" s="14"/>
      <c r="AF86" s="14">
        <v>3</v>
      </c>
      <c r="AG86" s="14">
        <v>2003</v>
      </c>
      <c r="AH86" s="14">
        <f t="shared" si="6"/>
        <v>2</v>
      </c>
      <c r="AI86" s="17">
        <f t="shared" si="7"/>
        <v>6</v>
      </c>
      <c r="AJ86" s="14">
        <v>5</v>
      </c>
      <c r="AK86" s="14" t="s">
        <v>58</v>
      </c>
      <c r="AL86" s="13" t="s">
        <v>1444</v>
      </c>
      <c r="AM86" s="12">
        <v>2012</v>
      </c>
      <c r="AN86" s="12" t="s">
        <v>183</v>
      </c>
      <c r="AO86" s="12" t="s">
        <v>56</v>
      </c>
      <c r="AP86" s="12"/>
      <c r="AQ86" s="12" t="s">
        <v>56</v>
      </c>
      <c r="AR86" s="12" t="s">
        <v>58</v>
      </c>
      <c r="AS86" s="12" t="s">
        <v>258</v>
      </c>
      <c r="AT86" s="12" t="s">
        <v>151</v>
      </c>
      <c r="AU86" s="45" t="s">
        <v>2837</v>
      </c>
      <c r="AV86" s="15" t="s">
        <v>2839</v>
      </c>
      <c r="AW86" s="12" t="str">
        <f>B86&amp;C86&amp;L86&amp;M86&amp;O86&amp;U86&amp;AL86&amp;AM86</f>
        <v>United StatesCarrington Point State Marine ReserveSebastomusSebastomusdensityN/AKarpov2012</v>
      </c>
    </row>
    <row r="87" spans="1:49" ht="14.25" customHeight="1" x14ac:dyDescent="0.35">
      <c r="A87" s="12">
        <v>86</v>
      </c>
      <c r="B87" s="12" t="s">
        <v>75</v>
      </c>
      <c r="C87" s="15" t="s">
        <v>2680</v>
      </c>
      <c r="D87" s="50" t="s">
        <v>77</v>
      </c>
      <c r="E87" s="12" t="s">
        <v>1443</v>
      </c>
      <c r="F87" s="13" t="s">
        <v>50</v>
      </c>
      <c r="G87" s="13" t="s">
        <v>428</v>
      </c>
      <c r="H87" s="13" t="s">
        <v>78</v>
      </c>
      <c r="I87" s="13" t="s">
        <v>53</v>
      </c>
      <c r="K87" s="14">
        <v>33</v>
      </c>
      <c r="L87" s="14" t="s">
        <v>1137</v>
      </c>
      <c r="M87" s="14" t="s">
        <v>129</v>
      </c>
      <c r="N87" s="14" t="s">
        <v>85</v>
      </c>
      <c r="O87" s="17" t="s">
        <v>86</v>
      </c>
      <c r="P87" s="14"/>
      <c r="Q87" s="14"/>
      <c r="R87" s="14"/>
      <c r="S87" s="14">
        <v>0.44</v>
      </c>
      <c r="T87" s="14">
        <v>0</v>
      </c>
      <c r="U87" s="19">
        <f t="shared" si="8"/>
        <v>0</v>
      </c>
      <c r="V87" s="41">
        <f t="shared" si="9"/>
        <v>-100</v>
      </c>
      <c r="W87" s="14"/>
      <c r="X87" s="18" t="s">
        <v>56</v>
      </c>
      <c r="Z87" s="14" t="s">
        <v>56</v>
      </c>
      <c r="AA87" s="14"/>
      <c r="AB87" s="14" t="s">
        <v>57</v>
      </c>
      <c r="AC87" s="14">
        <v>2005</v>
      </c>
      <c r="AD87" s="14">
        <v>4</v>
      </c>
      <c r="AE87" s="14"/>
      <c r="AF87" s="14">
        <v>3</v>
      </c>
      <c r="AG87" s="14">
        <v>2003</v>
      </c>
      <c r="AH87" s="14">
        <f t="shared" si="6"/>
        <v>2</v>
      </c>
      <c r="AI87" s="17">
        <f t="shared" si="7"/>
        <v>6</v>
      </c>
      <c r="AJ87" s="14">
        <v>5</v>
      </c>
      <c r="AK87" s="14" t="s">
        <v>58</v>
      </c>
      <c r="AL87" s="13" t="s">
        <v>1444</v>
      </c>
      <c r="AM87" s="12">
        <v>2012</v>
      </c>
      <c r="AN87" s="12" t="s">
        <v>183</v>
      </c>
      <c r="AO87" s="12" t="s">
        <v>56</v>
      </c>
      <c r="AP87" s="12"/>
      <c r="AQ87" s="12" t="s">
        <v>56</v>
      </c>
      <c r="AR87" s="12" t="s">
        <v>58</v>
      </c>
      <c r="AS87" s="12" t="s">
        <v>258</v>
      </c>
      <c r="AT87" s="12" t="s">
        <v>151</v>
      </c>
      <c r="AU87" s="45" t="s">
        <v>2837</v>
      </c>
      <c r="AV87" s="15" t="s">
        <v>2839</v>
      </c>
      <c r="AW87" s="12" t="str">
        <f>B87&amp;C87&amp;L87&amp;M87&amp;O87&amp;U87&amp;AL87&amp;AM87</f>
        <v>United StatesSouth Point State Marine ReserveChromis punctipinnisBlacksmithdensity0Karpov2012</v>
      </c>
    </row>
    <row r="88" spans="1:49" ht="14.25" customHeight="1" x14ac:dyDescent="0.35">
      <c r="A88" s="12">
        <v>87</v>
      </c>
      <c r="B88" s="12" t="s">
        <v>75</v>
      </c>
      <c r="C88" s="15" t="s">
        <v>2680</v>
      </c>
      <c r="D88" s="50" t="s">
        <v>77</v>
      </c>
      <c r="E88" s="12" t="s">
        <v>1443</v>
      </c>
      <c r="F88" s="13" t="s">
        <v>50</v>
      </c>
      <c r="G88" s="13" t="s">
        <v>428</v>
      </c>
      <c r="H88" s="13" t="s">
        <v>78</v>
      </c>
      <c r="I88" s="13" t="s">
        <v>53</v>
      </c>
      <c r="K88" s="14">
        <v>33</v>
      </c>
      <c r="L88" s="14" t="s">
        <v>1445</v>
      </c>
      <c r="M88" s="14" t="s">
        <v>1446</v>
      </c>
      <c r="N88" s="14" t="s">
        <v>85</v>
      </c>
      <c r="O88" s="17" t="s">
        <v>86</v>
      </c>
      <c r="P88" s="14"/>
      <c r="Q88" s="14"/>
      <c r="R88" s="14"/>
      <c r="S88" s="14">
        <v>0.21</v>
      </c>
      <c r="T88" s="14">
        <v>0.21</v>
      </c>
      <c r="U88" s="19">
        <f t="shared" si="8"/>
        <v>1</v>
      </c>
      <c r="V88" s="41">
        <f t="shared" si="9"/>
        <v>0</v>
      </c>
      <c r="W88" s="14"/>
      <c r="X88" s="18" t="s">
        <v>56</v>
      </c>
      <c r="Z88" s="14" t="s">
        <v>56</v>
      </c>
      <c r="AA88" s="14"/>
      <c r="AB88" s="14" t="s">
        <v>57</v>
      </c>
      <c r="AC88" s="14">
        <v>2005</v>
      </c>
      <c r="AD88" s="14">
        <v>4</v>
      </c>
      <c r="AE88" s="14"/>
      <c r="AF88" s="14">
        <v>3</v>
      </c>
      <c r="AG88" s="14">
        <v>2003</v>
      </c>
      <c r="AH88" s="14">
        <f t="shared" si="6"/>
        <v>2</v>
      </c>
      <c r="AI88" s="17">
        <f t="shared" si="7"/>
        <v>6</v>
      </c>
      <c r="AJ88" s="14">
        <v>5</v>
      </c>
      <c r="AK88" s="14" t="s">
        <v>58</v>
      </c>
      <c r="AL88" s="13" t="s">
        <v>1444</v>
      </c>
      <c r="AM88" s="12">
        <v>2012</v>
      </c>
      <c r="AN88" s="12" t="s">
        <v>183</v>
      </c>
      <c r="AO88" s="12" t="s">
        <v>56</v>
      </c>
      <c r="AP88" s="12"/>
      <c r="AQ88" s="12" t="s">
        <v>56</v>
      </c>
      <c r="AR88" s="12" t="s">
        <v>58</v>
      </c>
      <c r="AS88" s="12" t="s">
        <v>258</v>
      </c>
      <c r="AT88" s="12" t="s">
        <v>151</v>
      </c>
      <c r="AU88" s="45" t="s">
        <v>2837</v>
      </c>
      <c r="AV88" s="15" t="s">
        <v>2839</v>
      </c>
      <c r="AW88" s="12" t="str">
        <f>B88&amp;C88&amp;L88&amp;M88&amp;O88&amp;U88&amp;AL88&amp;AM88</f>
        <v>United StatesSouth Point State Marine ReserveSebastes miniatusVermillion rockfishdensity1Karpov2012</v>
      </c>
    </row>
    <row r="89" spans="1:49" ht="14.25" customHeight="1" x14ac:dyDescent="0.35">
      <c r="A89" s="12">
        <v>88</v>
      </c>
      <c r="B89" s="12" t="s">
        <v>75</v>
      </c>
      <c r="C89" s="15" t="s">
        <v>2680</v>
      </c>
      <c r="D89" s="50" t="s">
        <v>77</v>
      </c>
      <c r="E89" s="12" t="s">
        <v>1443</v>
      </c>
      <c r="F89" s="13" t="s">
        <v>50</v>
      </c>
      <c r="G89" s="13" t="s">
        <v>428</v>
      </c>
      <c r="H89" s="13" t="s">
        <v>78</v>
      </c>
      <c r="I89" s="13" t="s">
        <v>53</v>
      </c>
      <c r="K89" s="14">
        <v>33</v>
      </c>
      <c r="L89" s="14" t="s">
        <v>1447</v>
      </c>
      <c r="M89" s="14" t="s">
        <v>1448</v>
      </c>
      <c r="N89" s="14" t="s">
        <v>85</v>
      </c>
      <c r="O89" s="17" t="s">
        <v>86</v>
      </c>
      <c r="P89" s="14"/>
      <c r="Q89" s="14"/>
      <c r="R89" s="14"/>
      <c r="S89" s="14">
        <v>0.03</v>
      </c>
      <c r="T89" s="14">
        <v>0.11</v>
      </c>
      <c r="U89" s="19">
        <f t="shared" si="8"/>
        <v>3.666666666666667</v>
      </c>
      <c r="V89" s="41">
        <f t="shared" si="9"/>
        <v>266.66666666666669</v>
      </c>
      <c r="W89" s="14"/>
      <c r="X89" s="18" t="s">
        <v>56</v>
      </c>
      <c r="Z89" s="14" t="s">
        <v>56</v>
      </c>
      <c r="AA89" s="14"/>
      <c r="AB89" s="14" t="s">
        <v>57</v>
      </c>
      <c r="AC89" s="14">
        <v>2005</v>
      </c>
      <c r="AD89" s="14">
        <v>4</v>
      </c>
      <c r="AE89" s="14"/>
      <c r="AF89" s="14">
        <v>3</v>
      </c>
      <c r="AG89" s="14">
        <v>2003</v>
      </c>
      <c r="AH89" s="14">
        <f t="shared" si="6"/>
        <v>2</v>
      </c>
      <c r="AI89" s="17">
        <f t="shared" si="7"/>
        <v>6</v>
      </c>
      <c r="AJ89" s="14">
        <v>5</v>
      </c>
      <c r="AK89" s="14" t="s">
        <v>58</v>
      </c>
      <c r="AL89" s="13" t="s">
        <v>1444</v>
      </c>
      <c r="AM89" s="12">
        <v>2012</v>
      </c>
      <c r="AN89" s="12" t="s">
        <v>183</v>
      </c>
      <c r="AO89" s="12" t="s">
        <v>56</v>
      </c>
      <c r="AP89" s="12"/>
      <c r="AQ89" s="12" t="s">
        <v>56</v>
      </c>
      <c r="AR89" s="12" t="s">
        <v>58</v>
      </c>
      <c r="AS89" s="12" t="s">
        <v>258</v>
      </c>
      <c r="AT89" s="12" t="s">
        <v>151</v>
      </c>
      <c r="AU89" s="45" t="s">
        <v>2837</v>
      </c>
      <c r="AV89" s="15" t="s">
        <v>2839</v>
      </c>
      <c r="AW89" s="12" t="str">
        <f>B89&amp;C89&amp;L89&amp;M89&amp;O89&amp;U89&amp;AL89&amp;AM89</f>
        <v>United StatesSouth Point State Marine ReserveSebastes caurinusCopper Rockfishdensity3.66666666666667Karpov2012</v>
      </c>
    </row>
    <row r="90" spans="1:49" ht="14.25" customHeight="1" x14ac:dyDescent="0.35">
      <c r="A90" s="12">
        <v>89</v>
      </c>
      <c r="B90" s="12" t="s">
        <v>75</v>
      </c>
      <c r="C90" s="15" t="s">
        <v>2680</v>
      </c>
      <c r="D90" s="50" t="s">
        <v>77</v>
      </c>
      <c r="E90" s="12" t="s">
        <v>1443</v>
      </c>
      <c r="F90" s="13" t="s">
        <v>50</v>
      </c>
      <c r="G90" s="13" t="s">
        <v>428</v>
      </c>
      <c r="H90" s="13" t="s">
        <v>78</v>
      </c>
      <c r="I90" s="13" t="s">
        <v>53</v>
      </c>
      <c r="K90" s="14">
        <v>33</v>
      </c>
      <c r="L90" s="14" t="s">
        <v>1449</v>
      </c>
      <c r="M90" s="14" t="s">
        <v>1450</v>
      </c>
      <c r="N90" s="14" t="s">
        <v>85</v>
      </c>
      <c r="O90" s="17" t="s">
        <v>86</v>
      </c>
      <c r="P90" s="14"/>
      <c r="Q90" s="14"/>
      <c r="R90" s="14"/>
      <c r="S90" s="14">
        <v>0.24</v>
      </c>
      <c r="T90" s="14">
        <v>0.06</v>
      </c>
      <c r="U90" s="19">
        <f t="shared" si="8"/>
        <v>0.25</v>
      </c>
      <c r="V90" s="41">
        <f t="shared" si="9"/>
        <v>-75</v>
      </c>
      <c r="W90" s="14"/>
      <c r="X90" s="18" t="s">
        <v>56</v>
      </c>
      <c r="Z90" s="14" t="s">
        <v>56</v>
      </c>
      <c r="AA90" s="14"/>
      <c r="AB90" s="14" t="s">
        <v>57</v>
      </c>
      <c r="AC90" s="14">
        <v>2005</v>
      </c>
      <c r="AD90" s="14">
        <v>4</v>
      </c>
      <c r="AE90" s="14"/>
      <c r="AF90" s="14">
        <v>3</v>
      </c>
      <c r="AG90" s="14">
        <v>2003</v>
      </c>
      <c r="AH90" s="14">
        <f t="shared" si="6"/>
        <v>2</v>
      </c>
      <c r="AI90" s="17">
        <f t="shared" si="7"/>
        <v>6</v>
      </c>
      <c r="AJ90" s="14">
        <v>5</v>
      </c>
      <c r="AK90" s="14" t="s">
        <v>58</v>
      </c>
      <c r="AL90" s="13" t="s">
        <v>1444</v>
      </c>
      <c r="AM90" s="12">
        <v>2012</v>
      </c>
      <c r="AN90" s="12" t="s">
        <v>183</v>
      </c>
      <c r="AO90" s="12" t="s">
        <v>56</v>
      </c>
      <c r="AP90" s="12"/>
      <c r="AQ90" s="12" t="s">
        <v>56</v>
      </c>
      <c r="AR90" s="12" t="s">
        <v>58</v>
      </c>
      <c r="AS90" s="12" t="s">
        <v>258</v>
      </c>
      <c r="AT90" s="12" t="s">
        <v>151</v>
      </c>
      <c r="AU90" s="45" t="s">
        <v>2837</v>
      </c>
      <c r="AV90" s="15" t="s">
        <v>2839</v>
      </c>
      <c r="AW90" s="12" t="str">
        <f>B90&amp;C90&amp;L90&amp;M90&amp;O90&amp;U90&amp;AL90&amp;AM90</f>
        <v>United StatesSouth Point State Marine ReserveSebastes carnatusGopher Rockfishdensity0.25Karpov2012</v>
      </c>
    </row>
    <row r="91" spans="1:49" ht="14.25" customHeight="1" x14ac:dyDescent="0.35">
      <c r="A91" s="12">
        <v>90</v>
      </c>
      <c r="B91" s="12" t="s">
        <v>75</v>
      </c>
      <c r="C91" s="15" t="s">
        <v>2680</v>
      </c>
      <c r="D91" s="50" t="s">
        <v>77</v>
      </c>
      <c r="E91" s="12" t="s">
        <v>1443</v>
      </c>
      <c r="F91" s="13" t="s">
        <v>50</v>
      </c>
      <c r="G91" s="13" t="s">
        <v>428</v>
      </c>
      <c r="H91" s="13" t="s">
        <v>78</v>
      </c>
      <c r="I91" s="13" t="s">
        <v>53</v>
      </c>
      <c r="K91" s="14">
        <v>33</v>
      </c>
      <c r="L91" s="75" t="s">
        <v>115</v>
      </c>
      <c r="M91" s="14" t="s">
        <v>1451</v>
      </c>
      <c r="N91" s="14" t="s">
        <v>85</v>
      </c>
      <c r="O91" s="17" t="s">
        <v>86</v>
      </c>
      <c r="P91" s="14"/>
      <c r="Q91" s="14"/>
      <c r="R91" s="14"/>
      <c r="S91" s="14">
        <v>0.1</v>
      </c>
      <c r="T91" s="14">
        <v>0.18</v>
      </c>
      <c r="U91" s="19">
        <f t="shared" si="8"/>
        <v>1.7999999999999998</v>
      </c>
      <c r="V91" s="41">
        <f t="shared" si="9"/>
        <v>79.999999999999986</v>
      </c>
      <c r="W91" s="14"/>
      <c r="X91" s="18" t="s">
        <v>56</v>
      </c>
      <c r="Z91" s="14" t="s">
        <v>56</v>
      </c>
      <c r="AA91" s="14"/>
      <c r="AB91" s="14" t="s">
        <v>57</v>
      </c>
      <c r="AC91" s="14">
        <v>2005</v>
      </c>
      <c r="AD91" s="14">
        <v>4</v>
      </c>
      <c r="AE91" s="14"/>
      <c r="AF91" s="14">
        <v>3</v>
      </c>
      <c r="AG91" s="14">
        <v>2003</v>
      </c>
      <c r="AH91" s="14">
        <f t="shared" si="6"/>
        <v>2</v>
      </c>
      <c r="AI91" s="17">
        <f t="shared" si="7"/>
        <v>6</v>
      </c>
      <c r="AJ91" s="14">
        <v>5</v>
      </c>
      <c r="AK91" s="14" t="s">
        <v>58</v>
      </c>
      <c r="AL91" s="13" t="s">
        <v>1444</v>
      </c>
      <c r="AM91" s="12">
        <v>2012</v>
      </c>
      <c r="AN91" s="12" t="s">
        <v>183</v>
      </c>
      <c r="AO91" s="12" t="s">
        <v>56</v>
      </c>
      <c r="AP91" s="12"/>
      <c r="AQ91" s="12" t="s">
        <v>56</v>
      </c>
      <c r="AR91" s="12" t="s">
        <v>58</v>
      </c>
      <c r="AS91" s="12" t="s">
        <v>258</v>
      </c>
      <c r="AT91" s="12" t="s">
        <v>151</v>
      </c>
      <c r="AU91" s="45" t="s">
        <v>2837</v>
      </c>
      <c r="AV91" s="15" t="s">
        <v>2839</v>
      </c>
      <c r="AW91" s="12" t="str">
        <f>B91&amp;C91&amp;L91&amp;M91&amp;O91&amp;U91&amp;AL91&amp;AM91</f>
        <v>United StatesSouth Point State Marine ReserveSemicossyphus pulcherCA Sheepheaddensity1.8Karpov2012</v>
      </c>
    </row>
    <row r="92" spans="1:49" ht="14.25" customHeight="1" x14ac:dyDescent="0.35">
      <c r="A92" s="12">
        <v>91</v>
      </c>
      <c r="B92" s="12" t="s">
        <v>75</v>
      </c>
      <c r="C92" s="15" t="s">
        <v>2680</v>
      </c>
      <c r="D92" s="50" t="s">
        <v>77</v>
      </c>
      <c r="E92" s="12" t="s">
        <v>1443</v>
      </c>
      <c r="F92" s="13" t="s">
        <v>50</v>
      </c>
      <c r="G92" s="13" t="s">
        <v>428</v>
      </c>
      <c r="H92" s="13" t="s">
        <v>78</v>
      </c>
      <c r="I92" s="13" t="s">
        <v>53</v>
      </c>
      <c r="K92" s="17">
        <v>33</v>
      </c>
      <c r="L92" s="14" t="s">
        <v>1452</v>
      </c>
      <c r="M92" s="14" t="s">
        <v>1453</v>
      </c>
      <c r="N92" s="14" t="s">
        <v>85</v>
      </c>
      <c r="O92" s="17" t="s">
        <v>86</v>
      </c>
      <c r="P92" s="14"/>
      <c r="Q92" s="14"/>
      <c r="R92" s="14"/>
      <c r="S92" s="14">
        <v>0</v>
      </c>
      <c r="T92" s="14">
        <v>1.4E-2</v>
      </c>
      <c r="U92" s="19" t="str">
        <f t="shared" si="8"/>
        <v>N/A</v>
      </c>
      <c r="V92" s="41" t="str">
        <f t="shared" si="9"/>
        <v>N/A</v>
      </c>
      <c r="W92" s="14"/>
      <c r="X92" s="18" t="s">
        <v>56</v>
      </c>
      <c r="Z92" s="14" t="s">
        <v>56</v>
      </c>
      <c r="AA92" s="14"/>
      <c r="AB92" s="14" t="s">
        <v>57</v>
      </c>
      <c r="AC92" s="14">
        <v>2005</v>
      </c>
      <c r="AD92" s="14">
        <v>4</v>
      </c>
      <c r="AE92" s="14"/>
      <c r="AF92" s="14">
        <v>3</v>
      </c>
      <c r="AG92" s="14">
        <v>2003</v>
      </c>
      <c r="AH92" s="14">
        <f t="shared" si="6"/>
        <v>2</v>
      </c>
      <c r="AI92" s="17">
        <f t="shared" si="7"/>
        <v>6</v>
      </c>
      <c r="AJ92" s="14">
        <v>5</v>
      </c>
      <c r="AK92" s="14" t="s">
        <v>58</v>
      </c>
      <c r="AL92" s="13" t="s">
        <v>1444</v>
      </c>
      <c r="AM92" s="12">
        <v>2012</v>
      </c>
      <c r="AN92" s="12" t="s">
        <v>183</v>
      </c>
      <c r="AO92" s="12" t="s">
        <v>56</v>
      </c>
      <c r="AP92" s="12"/>
      <c r="AQ92" s="12" t="s">
        <v>56</v>
      </c>
      <c r="AR92" s="12" t="s">
        <v>58</v>
      </c>
      <c r="AS92" s="12" t="s">
        <v>258</v>
      </c>
      <c r="AT92" s="12" t="s">
        <v>151</v>
      </c>
      <c r="AU92" s="45" t="s">
        <v>2837</v>
      </c>
      <c r="AV92" s="15" t="s">
        <v>2839</v>
      </c>
      <c r="AW92" s="12" t="str">
        <f>B92&amp;C92&amp;L92&amp;M92&amp;O92&amp;U92&amp;AL92&amp;AM92</f>
        <v>United StatesSouth Point State Marine ReserveSebastes serricepsTreefishdensityN/AKarpov2012</v>
      </c>
    </row>
    <row r="93" spans="1:49" ht="14.25" customHeight="1" x14ac:dyDescent="0.35">
      <c r="A93" s="12">
        <v>92</v>
      </c>
      <c r="B93" s="12" t="s">
        <v>75</v>
      </c>
      <c r="C93" s="15" t="s">
        <v>2680</v>
      </c>
      <c r="D93" s="50" t="s">
        <v>77</v>
      </c>
      <c r="E93" s="12" t="s">
        <v>1443</v>
      </c>
      <c r="F93" s="13" t="s">
        <v>50</v>
      </c>
      <c r="G93" s="13" t="s">
        <v>428</v>
      </c>
      <c r="H93" s="13" t="s">
        <v>78</v>
      </c>
      <c r="I93" s="13" t="s">
        <v>53</v>
      </c>
      <c r="K93" s="14">
        <v>33</v>
      </c>
      <c r="L93" s="14" t="s">
        <v>1454</v>
      </c>
      <c r="M93" s="14" t="s">
        <v>1455</v>
      </c>
      <c r="N93" s="14" t="s">
        <v>85</v>
      </c>
      <c r="O93" s="17" t="s">
        <v>86</v>
      </c>
      <c r="P93" s="14"/>
      <c r="Q93" s="14"/>
      <c r="R93" s="14"/>
      <c r="S93" s="14">
        <v>0.56999999999999995</v>
      </c>
      <c r="T93" s="14">
        <v>0.11</v>
      </c>
      <c r="U93" s="19">
        <f t="shared" si="8"/>
        <v>0.19298245614035089</v>
      </c>
      <c r="V93" s="41">
        <f t="shared" si="9"/>
        <v>-80.701754385964904</v>
      </c>
      <c r="W93" s="14"/>
      <c r="X93" s="18" t="s">
        <v>56</v>
      </c>
      <c r="Z93" s="14" t="s">
        <v>56</v>
      </c>
      <c r="AA93" s="14"/>
      <c r="AB93" s="14" t="s">
        <v>57</v>
      </c>
      <c r="AC93" s="14">
        <v>2005</v>
      </c>
      <c r="AD93" s="14">
        <v>4</v>
      </c>
      <c r="AE93" s="14"/>
      <c r="AF93" s="14">
        <v>3</v>
      </c>
      <c r="AG93" s="14">
        <v>2003</v>
      </c>
      <c r="AH93" s="14">
        <f t="shared" si="6"/>
        <v>2</v>
      </c>
      <c r="AI93" s="17">
        <f t="shared" si="7"/>
        <v>6</v>
      </c>
      <c r="AJ93" s="14">
        <v>5</v>
      </c>
      <c r="AK93" s="14" t="s">
        <v>58</v>
      </c>
      <c r="AL93" s="13" t="s">
        <v>1444</v>
      </c>
      <c r="AM93" s="12">
        <v>2012</v>
      </c>
      <c r="AN93" s="12" t="s">
        <v>183</v>
      </c>
      <c r="AO93" s="12" t="s">
        <v>56</v>
      </c>
      <c r="AP93" s="12"/>
      <c r="AQ93" s="12" t="s">
        <v>56</v>
      </c>
      <c r="AR93" s="12" t="s">
        <v>58</v>
      </c>
      <c r="AS93" s="12" t="s">
        <v>258</v>
      </c>
      <c r="AT93" s="12" t="s">
        <v>151</v>
      </c>
      <c r="AU93" s="45" t="s">
        <v>2837</v>
      </c>
      <c r="AV93" s="15" t="s">
        <v>2839</v>
      </c>
      <c r="AW93" s="12" t="str">
        <f>B93&amp;C93&amp;L93&amp;M93&amp;O93&amp;U93&amp;AL93&amp;AM93</f>
        <v>United StatesSouth Point State Marine ReserveRhacochilus vaccaPileporchdensity0.192982456140351Karpov2012</v>
      </c>
    </row>
    <row r="94" spans="1:49" ht="14.25" customHeight="1" x14ac:dyDescent="0.35">
      <c r="A94" s="12">
        <v>93</v>
      </c>
      <c r="B94" s="12" t="s">
        <v>75</v>
      </c>
      <c r="C94" s="15" t="s">
        <v>2680</v>
      </c>
      <c r="D94" s="50" t="s">
        <v>77</v>
      </c>
      <c r="E94" s="12" t="s">
        <v>1443</v>
      </c>
      <c r="F94" s="13" t="s">
        <v>50</v>
      </c>
      <c r="G94" s="13" t="s">
        <v>428</v>
      </c>
      <c r="H94" s="13" t="s">
        <v>78</v>
      </c>
      <c r="I94" s="13" t="s">
        <v>53</v>
      </c>
      <c r="K94" s="14">
        <v>33</v>
      </c>
      <c r="L94" s="14" t="s">
        <v>1456</v>
      </c>
      <c r="M94" s="14" t="s">
        <v>1457</v>
      </c>
      <c r="N94" s="14" t="s">
        <v>85</v>
      </c>
      <c r="O94" s="17" t="s">
        <v>86</v>
      </c>
      <c r="P94" s="14"/>
      <c r="Q94" s="14"/>
      <c r="R94" s="14"/>
      <c r="S94" s="14">
        <v>0.05</v>
      </c>
      <c r="T94" s="14">
        <v>0</v>
      </c>
      <c r="U94" s="19">
        <f t="shared" si="8"/>
        <v>0</v>
      </c>
      <c r="V94" s="41">
        <f t="shared" si="9"/>
        <v>-100</v>
      </c>
      <c r="W94" s="14"/>
      <c r="X94" s="18" t="s">
        <v>56</v>
      </c>
      <c r="Z94" s="14" t="s">
        <v>56</v>
      </c>
      <c r="AA94" s="14"/>
      <c r="AB94" s="14" t="s">
        <v>57</v>
      </c>
      <c r="AC94" s="14">
        <v>2005</v>
      </c>
      <c r="AD94" s="14">
        <v>4</v>
      </c>
      <c r="AE94" s="14"/>
      <c r="AF94" s="14">
        <v>3</v>
      </c>
      <c r="AG94" s="14">
        <v>2003</v>
      </c>
      <c r="AH94" s="14">
        <f t="shared" si="6"/>
        <v>2</v>
      </c>
      <c r="AI94" s="17">
        <f t="shared" si="7"/>
        <v>6</v>
      </c>
      <c r="AJ94" s="14">
        <v>5</v>
      </c>
      <c r="AK94" s="14" t="s">
        <v>58</v>
      </c>
      <c r="AL94" s="13" t="s">
        <v>1444</v>
      </c>
      <c r="AM94" s="12">
        <v>2012</v>
      </c>
      <c r="AN94" s="12" t="s">
        <v>183</v>
      </c>
      <c r="AO94" s="12" t="s">
        <v>56</v>
      </c>
      <c r="AP94" s="12"/>
      <c r="AQ94" s="12" t="s">
        <v>56</v>
      </c>
      <c r="AR94" s="12" t="s">
        <v>58</v>
      </c>
      <c r="AS94" s="12" t="s">
        <v>258</v>
      </c>
      <c r="AT94" s="12" t="s">
        <v>151</v>
      </c>
      <c r="AU94" s="45" t="s">
        <v>2837</v>
      </c>
      <c r="AV94" s="15" t="s">
        <v>2839</v>
      </c>
      <c r="AW94" s="12" t="str">
        <f>B94&amp;C94&amp;L94&amp;M94&amp;O94&amp;U94&amp;AL94&amp;AM94</f>
        <v>United StatesSouth Point State Marine ReserveOphiodon elongatusLingcoddensity0Karpov2012</v>
      </c>
    </row>
    <row r="95" spans="1:49" ht="14.25" customHeight="1" x14ac:dyDescent="0.35">
      <c r="A95" s="12">
        <v>94</v>
      </c>
      <c r="B95" s="12" t="s">
        <v>75</v>
      </c>
      <c r="C95" s="12" t="s">
        <v>2680</v>
      </c>
      <c r="D95" s="50" t="s">
        <v>77</v>
      </c>
      <c r="E95" s="12" t="s">
        <v>1443</v>
      </c>
      <c r="F95" s="13" t="s">
        <v>50</v>
      </c>
      <c r="G95" s="13" t="s">
        <v>428</v>
      </c>
      <c r="H95" s="13" t="s">
        <v>78</v>
      </c>
      <c r="I95" s="13" t="s">
        <v>53</v>
      </c>
      <c r="K95" s="17">
        <v>33</v>
      </c>
      <c r="L95" s="14" t="s">
        <v>1127</v>
      </c>
      <c r="M95" s="14" t="s">
        <v>135</v>
      </c>
      <c r="N95" s="14" t="s">
        <v>85</v>
      </c>
      <c r="O95" s="17" t="s">
        <v>86</v>
      </c>
      <c r="P95" s="14"/>
      <c r="Q95" s="14"/>
      <c r="R95" s="14"/>
      <c r="S95" s="14">
        <v>0</v>
      </c>
      <c r="T95" s="14">
        <v>0.91</v>
      </c>
      <c r="U95" s="19" t="str">
        <f t="shared" si="8"/>
        <v>N/A</v>
      </c>
      <c r="V95" s="41" t="str">
        <f t="shared" si="9"/>
        <v>N/A</v>
      </c>
      <c r="W95" s="14"/>
      <c r="X95" s="18" t="s">
        <v>56</v>
      </c>
      <c r="Z95" s="14" t="s">
        <v>56</v>
      </c>
      <c r="AA95" s="14"/>
      <c r="AB95" s="14" t="s">
        <v>57</v>
      </c>
      <c r="AC95" s="14">
        <v>2005</v>
      </c>
      <c r="AD95" s="14">
        <v>4</v>
      </c>
      <c r="AE95" s="14"/>
      <c r="AF95" s="14">
        <v>3</v>
      </c>
      <c r="AG95" s="14">
        <v>2003</v>
      </c>
      <c r="AH95" s="14">
        <f t="shared" si="6"/>
        <v>2</v>
      </c>
      <c r="AI95" s="17">
        <f t="shared" si="7"/>
        <v>6</v>
      </c>
      <c r="AJ95" s="14">
        <v>5</v>
      </c>
      <c r="AK95" s="14" t="s">
        <v>58</v>
      </c>
      <c r="AL95" s="13" t="s">
        <v>1444</v>
      </c>
      <c r="AM95" s="12">
        <v>2012</v>
      </c>
      <c r="AN95" s="15" t="s">
        <v>183</v>
      </c>
      <c r="AO95" s="12" t="s">
        <v>56</v>
      </c>
      <c r="AP95" s="12"/>
      <c r="AQ95" s="12" t="s">
        <v>56</v>
      </c>
      <c r="AR95" s="12" t="s">
        <v>58</v>
      </c>
      <c r="AS95" s="12" t="s">
        <v>258</v>
      </c>
      <c r="AT95" s="12" t="s">
        <v>151</v>
      </c>
      <c r="AU95" s="45" t="s">
        <v>2837</v>
      </c>
      <c r="AV95" s="15" t="s">
        <v>2839</v>
      </c>
      <c r="AW95" s="12" t="str">
        <f>B95&amp;C95&amp;L95&amp;M95&amp;O95&amp;U95&amp;AL95&amp;AM95</f>
        <v>United StatesSouth Point State Marine ReserveOxyjulis californicaSenoritadensityN/AKarpov2012</v>
      </c>
    </row>
    <row r="96" spans="1:49" ht="14.25" customHeight="1" x14ac:dyDescent="0.35">
      <c r="A96" s="12">
        <v>95</v>
      </c>
      <c r="B96" s="12" t="s">
        <v>75</v>
      </c>
      <c r="C96" s="12" t="s">
        <v>2680</v>
      </c>
      <c r="D96" s="50" t="s">
        <v>77</v>
      </c>
      <c r="E96" s="12" t="s">
        <v>1443</v>
      </c>
      <c r="F96" s="13" t="s">
        <v>50</v>
      </c>
      <c r="G96" s="13" t="s">
        <v>428</v>
      </c>
      <c r="H96" s="13" t="s">
        <v>78</v>
      </c>
      <c r="I96" s="13" t="s">
        <v>53</v>
      </c>
      <c r="K96" s="14">
        <v>33</v>
      </c>
      <c r="L96" s="14" t="s">
        <v>1458</v>
      </c>
      <c r="M96" s="14" t="s">
        <v>1459</v>
      </c>
      <c r="N96" s="14" t="s">
        <v>85</v>
      </c>
      <c r="O96" s="17" t="s">
        <v>86</v>
      </c>
      <c r="P96" s="14"/>
      <c r="Q96" s="14"/>
      <c r="R96" s="14"/>
      <c r="S96" s="14">
        <v>3.2</v>
      </c>
      <c r="T96" s="14">
        <v>0.87</v>
      </c>
      <c r="U96" s="19">
        <f t="shared" si="8"/>
        <v>0.27187499999999998</v>
      </c>
      <c r="V96" s="41">
        <f t="shared" si="9"/>
        <v>-72.8125</v>
      </c>
      <c r="W96" s="14"/>
      <c r="X96" s="18" t="s">
        <v>56</v>
      </c>
      <c r="Z96" s="14" t="s">
        <v>56</v>
      </c>
      <c r="AA96" s="14"/>
      <c r="AB96" s="14" t="s">
        <v>57</v>
      </c>
      <c r="AC96" s="14">
        <v>2005</v>
      </c>
      <c r="AD96" s="14">
        <v>4</v>
      </c>
      <c r="AE96" s="14"/>
      <c r="AF96" s="14">
        <v>3</v>
      </c>
      <c r="AG96" s="14">
        <v>2003</v>
      </c>
      <c r="AH96" s="14">
        <f t="shared" si="6"/>
        <v>2</v>
      </c>
      <c r="AI96" s="17">
        <f t="shared" si="7"/>
        <v>6</v>
      </c>
      <c r="AJ96" s="14">
        <v>5</v>
      </c>
      <c r="AK96" s="14" t="s">
        <v>58</v>
      </c>
      <c r="AL96" s="13" t="s">
        <v>1444</v>
      </c>
      <c r="AM96" s="12">
        <v>2012</v>
      </c>
      <c r="AN96" s="15" t="s">
        <v>183</v>
      </c>
      <c r="AO96" s="12" t="s">
        <v>56</v>
      </c>
      <c r="AP96" s="12"/>
      <c r="AQ96" s="12" t="s">
        <v>56</v>
      </c>
      <c r="AR96" s="12" t="s">
        <v>58</v>
      </c>
      <c r="AS96" s="12" t="s">
        <v>258</v>
      </c>
      <c r="AT96" s="12" t="s">
        <v>151</v>
      </c>
      <c r="AU96" s="45" t="s">
        <v>2837</v>
      </c>
      <c r="AV96" s="15" t="s">
        <v>2839</v>
      </c>
      <c r="AW96" s="12" t="str">
        <f>B96&amp;C96&amp;L96&amp;M96&amp;O96&amp;U96&amp;AL96&amp;AM96</f>
        <v>United StatesSouth Point State Marine ReserveSebastes mystinusBlue Rockfishdensity0.271875Karpov2012</v>
      </c>
    </row>
    <row r="97" spans="1:49" ht="14.25" customHeight="1" x14ac:dyDescent="0.35">
      <c r="A97" s="12">
        <v>96</v>
      </c>
      <c r="B97" s="12" t="s">
        <v>75</v>
      </c>
      <c r="C97" s="12" t="s">
        <v>2680</v>
      </c>
      <c r="D97" s="50" t="s">
        <v>77</v>
      </c>
      <c r="E97" s="12" t="s">
        <v>1443</v>
      </c>
      <c r="F97" s="13" t="s">
        <v>50</v>
      </c>
      <c r="G97" s="13" t="s">
        <v>428</v>
      </c>
      <c r="H97" s="13" t="s">
        <v>78</v>
      </c>
      <c r="I97" s="13" t="s">
        <v>53</v>
      </c>
      <c r="K97" s="14">
        <v>33</v>
      </c>
      <c r="L97" s="14" t="s">
        <v>1460</v>
      </c>
      <c r="M97" s="14" t="s">
        <v>1461</v>
      </c>
      <c r="N97" s="14" t="s">
        <v>85</v>
      </c>
      <c r="O97" s="17" t="s">
        <v>86</v>
      </c>
      <c r="P97" s="14"/>
      <c r="Q97" s="14"/>
      <c r="R97" s="14"/>
      <c r="S97" s="14">
        <v>0.38</v>
      </c>
      <c r="T97" s="14">
        <v>0.16</v>
      </c>
      <c r="U97" s="19">
        <f t="shared" si="8"/>
        <v>0.42105263157894735</v>
      </c>
      <c r="V97" s="41">
        <f t="shared" si="9"/>
        <v>-57.894736842105267</v>
      </c>
      <c r="W97" s="14"/>
      <c r="X97" s="18" t="s">
        <v>56</v>
      </c>
      <c r="Z97" s="14" t="s">
        <v>56</v>
      </c>
      <c r="AA97" s="14"/>
      <c r="AB97" s="14" t="s">
        <v>57</v>
      </c>
      <c r="AC97" s="14">
        <v>2005</v>
      </c>
      <c r="AD97" s="14">
        <v>4</v>
      </c>
      <c r="AE97" s="14"/>
      <c r="AF97" s="14">
        <v>3</v>
      </c>
      <c r="AG97" s="14">
        <v>2003</v>
      </c>
      <c r="AH97" s="14">
        <f t="shared" si="6"/>
        <v>2</v>
      </c>
      <c r="AI97" s="17">
        <f t="shared" si="7"/>
        <v>6</v>
      </c>
      <c r="AJ97" s="14">
        <v>5</v>
      </c>
      <c r="AK97" s="14" t="s">
        <v>58</v>
      </c>
      <c r="AL97" s="13" t="s">
        <v>1444</v>
      </c>
      <c r="AM97" s="12">
        <v>2012</v>
      </c>
      <c r="AN97" s="15" t="s">
        <v>183</v>
      </c>
      <c r="AO97" s="12" t="s">
        <v>56</v>
      </c>
      <c r="AP97" s="12"/>
      <c r="AQ97" s="12" t="s">
        <v>56</v>
      </c>
      <c r="AR97" s="12" t="s">
        <v>58</v>
      </c>
      <c r="AS97" s="12" t="s">
        <v>258</v>
      </c>
      <c r="AT97" s="12" t="s">
        <v>151</v>
      </c>
      <c r="AU97" s="45" t="s">
        <v>2837</v>
      </c>
      <c r="AV97" s="15" t="s">
        <v>2839</v>
      </c>
      <c r="AW97" s="12" t="str">
        <f>B97&amp;C97&amp;L97&amp;M97&amp;O97&amp;U97&amp;AL97&amp;AM97</f>
        <v>United StatesSouth Point State Marine ReserveSebastes serranoidesOlive Rockfishdensity0.421052631578947Karpov2012</v>
      </c>
    </row>
    <row r="98" spans="1:49" ht="14.25" customHeight="1" x14ac:dyDescent="0.35">
      <c r="A98" s="12">
        <v>97</v>
      </c>
      <c r="B98" s="12" t="s">
        <v>75</v>
      </c>
      <c r="C98" s="12" t="s">
        <v>2680</v>
      </c>
      <c r="D98" s="50" t="s">
        <v>77</v>
      </c>
      <c r="E98" s="12" t="s">
        <v>1443</v>
      </c>
      <c r="F98" s="13" t="s">
        <v>50</v>
      </c>
      <c r="G98" s="13" t="s">
        <v>428</v>
      </c>
      <c r="H98" s="13" t="s">
        <v>78</v>
      </c>
      <c r="I98" s="13" t="s">
        <v>53</v>
      </c>
      <c r="K98" s="14">
        <v>33</v>
      </c>
      <c r="L98" s="14" t="s">
        <v>1462</v>
      </c>
      <c r="M98" s="14" t="s">
        <v>1462</v>
      </c>
      <c r="N98" s="14" t="s">
        <v>120</v>
      </c>
      <c r="O98" s="14" t="s">
        <v>86</v>
      </c>
      <c r="P98" s="14"/>
      <c r="Q98" s="14"/>
      <c r="R98" s="14"/>
      <c r="S98" s="14">
        <v>0.35</v>
      </c>
      <c r="T98" s="14">
        <v>0</v>
      </c>
      <c r="U98" s="19">
        <f t="shared" si="8"/>
        <v>0</v>
      </c>
      <c r="V98" s="41">
        <f t="shared" si="9"/>
        <v>-100</v>
      </c>
      <c r="W98" s="14"/>
      <c r="X98" s="18" t="s">
        <v>56</v>
      </c>
      <c r="Z98" s="14" t="s">
        <v>56</v>
      </c>
      <c r="AA98" s="14"/>
      <c r="AB98" s="14" t="s">
        <v>57</v>
      </c>
      <c r="AC98" s="14">
        <v>2005</v>
      </c>
      <c r="AD98" s="14">
        <v>4</v>
      </c>
      <c r="AE98" s="14"/>
      <c r="AF98" s="14">
        <v>3</v>
      </c>
      <c r="AG98" s="14">
        <v>2003</v>
      </c>
      <c r="AH98" s="14">
        <f t="shared" si="6"/>
        <v>2</v>
      </c>
      <c r="AI98" s="17">
        <f t="shared" si="7"/>
        <v>6</v>
      </c>
      <c r="AJ98" s="14">
        <v>5</v>
      </c>
      <c r="AK98" s="14" t="s">
        <v>58</v>
      </c>
      <c r="AL98" s="13" t="s">
        <v>1444</v>
      </c>
      <c r="AM98" s="12">
        <v>2012</v>
      </c>
      <c r="AN98" s="15" t="s">
        <v>183</v>
      </c>
      <c r="AO98" s="12" t="s">
        <v>56</v>
      </c>
      <c r="AP98" s="12"/>
      <c r="AQ98" s="12" t="s">
        <v>56</v>
      </c>
      <c r="AR98" s="12" t="s">
        <v>58</v>
      </c>
      <c r="AS98" s="12" t="s">
        <v>258</v>
      </c>
      <c r="AT98" s="12" t="s">
        <v>151</v>
      </c>
      <c r="AU98" s="45" t="s">
        <v>2837</v>
      </c>
      <c r="AV98" s="15" t="s">
        <v>2839</v>
      </c>
      <c r="AW98" s="12" t="str">
        <f>B98&amp;C98&amp;L98&amp;M98&amp;O98&amp;U98&amp;AL98&amp;AM98</f>
        <v>United StatesSouth Point State Marine ReserveSebastomusSebastomusdensity0Karpov2012</v>
      </c>
    </row>
    <row r="99" spans="1:49" ht="14.25" customHeight="1" x14ac:dyDescent="0.35">
      <c r="A99" s="12">
        <v>98</v>
      </c>
      <c r="B99" s="12" t="s">
        <v>75</v>
      </c>
      <c r="C99" s="12" t="s">
        <v>2718</v>
      </c>
      <c r="D99" s="50" t="s">
        <v>77</v>
      </c>
      <c r="E99" s="12" t="s">
        <v>1443</v>
      </c>
      <c r="F99" s="13" t="s">
        <v>50</v>
      </c>
      <c r="G99" s="13" t="s">
        <v>51</v>
      </c>
      <c r="H99" s="13" t="s">
        <v>78</v>
      </c>
      <c r="I99" s="13" t="s">
        <v>53</v>
      </c>
      <c r="K99" s="14">
        <v>108</v>
      </c>
      <c r="L99" s="14" t="s">
        <v>109</v>
      </c>
      <c r="M99" s="14" t="s">
        <v>1854</v>
      </c>
      <c r="N99" s="14" t="s">
        <v>85</v>
      </c>
      <c r="O99" s="14" t="s">
        <v>86</v>
      </c>
      <c r="P99" s="14"/>
      <c r="Q99" s="14">
        <f>0.00128*1000000</f>
        <v>1280</v>
      </c>
      <c r="R99" s="14">
        <f>0.001*1000000</f>
        <v>1000</v>
      </c>
      <c r="S99" s="14">
        <f>0.00101*1000000</f>
        <v>1010</v>
      </c>
      <c r="T99" s="14">
        <f>0.00558*1000000</f>
        <v>5580</v>
      </c>
      <c r="U99" s="19">
        <f t="shared" si="8"/>
        <v>7.0716831683168317</v>
      </c>
      <c r="V99" s="41">
        <f t="shared" si="9"/>
        <v>607.16831683168323</v>
      </c>
      <c r="W99" s="14">
        <v>653.91</v>
      </c>
      <c r="X99" s="14" t="s">
        <v>58</v>
      </c>
      <c r="Y99" s="14">
        <v>35</v>
      </c>
      <c r="Z99" s="14" t="s">
        <v>56</v>
      </c>
      <c r="AA99" s="14"/>
      <c r="AB99" s="14" t="s">
        <v>111</v>
      </c>
      <c r="AC99" s="14">
        <v>1998</v>
      </c>
      <c r="AD99" s="14">
        <v>11</v>
      </c>
      <c r="AE99" s="14"/>
      <c r="AF99" s="14">
        <v>10</v>
      </c>
      <c r="AG99" s="14">
        <v>2003</v>
      </c>
      <c r="AH99" s="14">
        <f t="shared" si="6"/>
        <v>-5</v>
      </c>
      <c r="AI99" s="17">
        <f t="shared" si="7"/>
        <v>6</v>
      </c>
      <c r="AJ99" s="14">
        <v>5</v>
      </c>
      <c r="AK99" s="14" t="s">
        <v>56</v>
      </c>
      <c r="AL99" s="13" t="s">
        <v>1855</v>
      </c>
      <c r="AM99" s="12">
        <v>2012</v>
      </c>
      <c r="AN99" s="15" t="s">
        <v>1856</v>
      </c>
      <c r="AO99" s="12" t="s">
        <v>56</v>
      </c>
      <c r="AP99" s="12"/>
      <c r="AQ99" s="12" t="s">
        <v>56</v>
      </c>
      <c r="AR99" s="12" t="s">
        <v>58</v>
      </c>
      <c r="AS99" s="12" t="s">
        <v>163</v>
      </c>
      <c r="AT99" s="12" t="s">
        <v>151</v>
      </c>
      <c r="AU99" s="45"/>
      <c r="AV99" s="15"/>
      <c r="AW99" s="12" t="str">
        <f>B99&amp;C99&amp;L99&amp;M99&amp;O99&amp;U99&amp;AL99&amp;AM99</f>
        <v>United StatesScorpion, Gull Island, Carrignton Sate Marine Reserves Panulirus interruptusCA Spiny Lobsterdensity7.07168316831683Kay 2012</v>
      </c>
    </row>
    <row r="100" spans="1:49" ht="14.25" customHeight="1" x14ac:dyDescent="0.35">
      <c r="A100" s="12">
        <v>99</v>
      </c>
      <c r="B100" s="12" t="s">
        <v>66</v>
      </c>
      <c r="C100" s="12" t="s">
        <v>465</v>
      </c>
      <c r="D100" s="12" t="s">
        <v>425</v>
      </c>
      <c r="E100" s="12" t="s">
        <v>462</v>
      </c>
      <c r="F100" s="13" t="s">
        <v>50</v>
      </c>
      <c r="G100" s="13" t="s">
        <v>51</v>
      </c>
      <c r="H100" s="13" t="s">
        <v>52</v>
      </c>
      <c r="I100" s="13" t="s">
        <v>53</v>
      </c>
      <c r="J100" s="14">
        <v>17.09</v>
      </c>
      <c r="K100" s="14"/>
      <c r="L100" s="14"/>
      <c r="M100" s="14" t="s">
        <v>463</v>
      </c>
      <c r="N100" s="17" t="s">
        <v>1070</v>
      </c>
      <c r="O100" s="17" t="s">
        <v>55</v>
      </c>
      <c r="P100" s="14"/>
      <c r="Q100" s="14"/>
      <c r="R100" s="14"/>
      <c r="S100" s="14"/>
      <c r="T100" s="14"/>
      <c r="U100" s="19">
        <v>1.39</v>
      </c>
      <c r="V100" s="41">
        <f t="shared" si="9"/>
        <v>38.999999999999993</v>
      </c>
      <c r="W100" s="14"/>
      <c r="X100" s="14" t="s">
        <v>56</v>
      </c>
      <c r="Z100" s="14" t="s">
        <v>58</v>
      </c>
      <c r="AA100" s="14"/>
      <c r="AB100" s="14" t="s">
        <v>57</v>
      </c>
      <c r="AC100" s="14">
        <v>2008</v>
      </c>
      <c r="AD100" s="14">
        <v>4</v>
      </c>
      <c r="AE100" s="14"/>
      <c r="AF100" s="14">
        <v>3</v>
      </c>
      <c r="AG100" s="14">
        <v>2007</v>
      </c>
      <c r="AH100" s="14">
        <f t="shared" si="6"/>
        <v>1</v>
      </c>
      <c r="AI100" s="17">
        <f t="shared" si="7"/>
        <v>5</v>
      </c>
      <c r="AJ100" s="14">
        <v>4</v>
      </c>
      <c r="AK100" s="14" t="s">
        <v>56</v>
      </c>
      <c r="AL100" s="13" t="s">
        <v>464</v>
      </c>
      <c r="AM100" s="12">
        <v>2014</v>
      </c>
      <c r="AN100" s="15" t="s">
        <v>150</v>
      </c>
      <c r="AO100" s="12" t="s">
        <v>56</v>
      </c>
      <c r="AP100" s="12"/>
      <c r="AQ100" s="12" t="s">
        <v>56</v>
      </c>
      <c r="AR100" s="12" t="s">
        <v>58</v>
      </c>
      <c r="AS100" s="12" t="s">
        <v>163</v>
      </c>
      <c r="AT100" s="12" t="s">
        <v>151</v>
      </c>
      <c r="AU100" s="45" t="s">
        <v>460</v>
      </c>
      <c r="AV100" s="15" t="s">
        <v>767</v>
      </c>
      <c r="AW100" s="12" t="str">
        <f>B100&amp;C100&amp;L100&amp;M100&amp;O100&amp;U100&amp;AL100&amp;AM100</f>
        <v>AustraliaBrush IslandReef-associated Fishrichness1.39Kelaher2014</v>
      </c>
    </row>
    <row r="101" spans="1:49" ht="14.25" customHeight="1" x14ac:dyDescent="0.35">
      <c r="A101" s="12">
        <v>100</v>
      </c>
      <c r="B101" s="12" t="s">
        <v>66</v>
      </c>
      <c r="C101" s="12" t="s">
        <v>1436</v>
      </c>
      <c r="D101" s="15" t="s">
        <v>425</v>
      </c>
      <c r="E101" s="12" t="s">
        <v>462</v>
      </c>
      <c r="F101" s="13" t="s">
        <v>50</v>
      </c>
      <c r="G101" s="13" t="s">
        <v>51</v>
      </c>
      <c r="H101" s="13" t="s">
        <v>52</v>
      </c>
      <c r="I101" s="13" t="s">
        <v>53</v>
      </c>
      <c r="J101" s="14">
        <v>24.49</v>
      </c>
      <c r="K101" s="14"/>
      <c r="L101" s="14"/>
      <c r="M101" s="14" t="s">
        <v>463</v>
      </c>
      <c r="N101" s="17" t="s">
        <v>1070</v>
      </c>
      <c r="O101" s="17" t="s">
        <v>55</v>
      </c>
      <c r="P101" s="14"/>
      <c r="Q101" s="14"/>
      <c r="R101" s="14"/>
      <c r="S101" s="14"/>
      <c r="T101" s="14"/>
      <c r="U101" s="19">
        <v>0.99</v>
      </c>
      <c r="V101" s="41">
        <f t="shared" si="9"/>
        <v>-1.0000000000000009</v>
      </c>
      <c r="W101" s="14"/>
      <c r="X101" s="14" t="s">
        <v>56</v>
      </c>
      <c r="Z101" s="14" t="s">
        <v>58</v>
      </c>
      <c r="AA101" s="14"/>
      <c r="AB101" s="14" t="s">
        <v>57</v>
      </c>
      <c r="AC101" s="14">
        <v>2008</v>
      </c>
      <c r="AD101" s="14">
        <v>4</v>
      </c>
      <c r="AE101" s="14"/>
      <c r="AF101" s="14">
        <v>3</v>
      </c>
      <c r="AG101" s="14">
        <v>2007</v>
      </c>
      <c r="AH101" s="14">
        <f t="shared" si="6"/>
        <v>1</v>
      </c>
      <c r="AI101" s="17">
        <f t="shared" si="7"/>
        <v>5</v>
      </c>
      <c r="AJ101" s="14">
        <v>4</v>
      </c>
      <c r="AK101" s="14" t="s">
        <v>56</v>
      </c>
      <c r="AL101" s="13" t="s">
        <v>464</v>
      </c>
      <c r="AM101" s="12">
        <v>2014</v>
      </c>
      <c r="AN101" s="12" t="s">
        <v>150</v>
      </c>
      <c r="AO101" s="12" t="s">
        <v>56</v>
      </c>
      <c r="AP101" s="12"/>
      <c r="AQ101" s="12" t="s">
        <v>56</v>
      </c>
      <c r="AR101" s="12" t="s">
        <v>58</v>
      </c>
      <c r="AS101" s="12" t="s">
        <v>163</v>
      </c>
      <c r="AT101" s="12" t="s">
        <v>151</v>
      </c>
      <c r="AU101" s="45" t="s">
        <v>460</v>
      </c>
      <c r="AV101" s="15" t="s">
        <v>767</v>
      </c>
      <c r="AW101" s="12" t="str">
        <f>B101&amp;C101&amp;L101&amp;M101&amp;O101&amp;U101&amp;AL101&amp;AM101</f>
        <v>AustraliaMurramarangReef-associated Fishrichness0.99Kelaher2014</v>
      </c>
    </row>
    <row r="102" spans="1:49" ht="14.25" customHeight="1" x14ac:dyDescent="0.35">
      <c r="A102" s="12">
        <v>101</v>
      </c>
      <c r="B102" s="12" t="s">
        <v>66</v>
      </c>
      <c r="C102" s="12" t="s">
        <v>1997</v>
      </c>
      <c r="D102" s="15" t="s">
        <v>425</v>
      </c>
      <c r="E102" s="12" t="s">
        <v>462</v>
      </c>
      <c r="F102" s="13" t="s">
        <v>50</v>
      </c>
      <c r="G102" s="13" t="s">
        <v>51</v>
      </c>
      <c r="H102" s="13" t="s">
        <v>52</v>
      </c>
      <c r="I102" s="13" t="s">
        <v>53</v>
      </c>
      <c r="J102" s="14">
        <v>32.909999999999997</v>
      </c>
      <c r="K102" s="17"/>
      <c r="L102" s="14"/>
      <c r="M102" s="14" t="s">
        <v>463</v>
      </c>
      <c r="N102" s="17" t="s">
        <v>1070</v>
      </c>
      <c r="O102" s="14" t="s">
        <v>55</v>
      </c>
      <c r="P102" s="14"/>
      <c r="Q102" s="14"/>
      <c r="R102" s="14"/>
      <c r="S102" s="14"/>
      <c r="T102" s="14"/>
      <c r="U102" s="19">
        <v>0.92</v>
      </c>
      <c r="V102" s="41">
        <f t="shared" si="9"/>
        <v>-7.9999999999999964</v>
      </c>
      <c r="W102" s="14"/>
      <c r="X102" s="14" t="s">
        <v>56</v>
      </c>
      <c r="Z102" s="14" t="s">
        <v>58</v>
      </c>
      <c r="AA102" s="14"/>
      <c r="AB102" s="14" t="s">
        <v>57</v>
      </c>
      <c r="AC102" s="14">
        <v>2008</v>
      </c>
      <c r="AD102" s="14">
        <v>4</v>
      </c>
      <c r="AE102" s="14"/>
      <c r="AF102" s="14">
        <v>3</v>
      </c>
      <c r="AG102" s="14">
        <v>2007</v>
      </c>
      <c r="AH102" s="14">
        <f t="shared" si="6"/>
        <v>1</v>
      </c>
      <c r="AI102" s="17">
        <f t="shared" si="7"/>
        <v>5</v>
      </c>
      <c r="AJ102" s="14">
        <v>4</v>
      </c>
      <c r="AK102" s="14" t="s">
        <v>56</v>
      </c>
      <c r="AL102" s="13" t="s">
        <v>464</v>
      </c>
      <c r="AM102" s="12">
        <v>2014</v>
      </c>
      <c r="AN102" s="12" t="s">
        <v>150</v>
      </c>
      <c r="AO102" s="12" t="s">
        <v>56</v>
      </c>
      <c r="AP102" s="12"/>
      <c r="AQ102" s="12" t="s">
        <v>56</v>
      </c>
      <c r="AR102" s="12" t="s">
        <v>58</v>
      </c>
      <c r="AS102" s="12" t="s">
        <v>163</v>
      </c>
      <c r="AT102" s="12" t="s">
        <v>151</v>
      </c>
      <c r="AU102" s="45" t="s">
        <v>460</v>
      </c>
      <c r="AV102" s="15" t="s">
        <v>767</v>
      </c>
      <c r="AW102" s="12" t="str">
        <f>B102&amp;C102&amp;L102&amp;M102&amp;O102&amp;U102&amp;AL102&amp;AM102</f>
        <v>AustraliaTollgate IslandReef-associated Fishrichness0.92Kelaher2014</v>
      </c>
    </row>
    <row r="103" spans="1:49" ht="14.25" customHeight="1" x14ac:dyDescent="0.35">
      <c r="A103" s="12">
        <v>102</v>
      </c>
      <c r="B103" s="12" t="s">
        <v>66</v>
      </c>
      <c r="C103" s="12" t="s">
        <v>475</v>
      </c>
      <c r="D103" s="12" t="s">
        <v>425</v>
      </c>
      <c r="E103" s="12" t="s">
        <v>462</v>
      </c>
      <c r="F103" s="13" t="s">
        <v>50</v>
      </c>
      <c r="G103" s="13" t="s">
        <v>51</v>
      </c>
      <c r="H103" s="13" t="s">
        <v>52</v>
      </c>
      <c r="I103" s="13" t="s">
        <v>53</v>
      </c>
      <c r="J103" s="14">
        <v>3.12</v>
      </c>
      <c r="K103" s="14"/>
      <c r="L103" s="14"/>
      <c r="M103" s="14" t="s">
        <v>463</v>
      </c>
      <c r="N103" s="17" t="s">
        <v>1070</v>
      </c>
      <c r="O103" s="17" t="s">
        <v>55</v>
      </c>
      <c r="P103" s="14"/>
      <c r="Q103" s="14"/>
      <c r="R103" s="14"/>
      <c r="S103" s="14"/>
      <c r="T103" s="14"/>
      <c r="U103" s="19">
        <v>1.3</v>
      </c>
      <c r="V103" s="41">
        <f t="shared" si="9"/>
        <v>30.000000000000004</v>
      </c>
      <c r="W103" s="14"/>
      <c r="X103" s="14" t="s">
        <v>56</v>
      </c>
      <c r="Z103" s="14" t="s">
        <v>58</v>
      </c>
      <c r="AA103" s="14"/>
      <c r="AB103" s="14" t="s">
        <v>57</v>
      </c>
      <c r="AC103" s="14">
        <v>2008</v>
      </c>
      <c r="AD103" s="14">
        <v>4</v>
      </c>
      <c r="AE103" s="14"/>
      <c r="AF103" s="14">
        <v>3</v>
      </c>
      <c r="AG103" s="14">
        <v>2007</v>
      </c>
      <c r="AH103" s="14">
        <f t="shared" si="6"/>
        <v>1</v>
      </c>
      <c r="AI103" s="17">
        <f t="shared" si="7"/>
        <v>5</v>
      </c>
      <c r="AJ103" s="14">
        <v>4</v>
      </c>
      <c r="AK103" s="14" t="s">
        <v>56</v>
      </c>
      <c r="AL103" s="13" t="s">
        <v>464</v>
      </c>
      <c r="AM103" s="12">
        <v>2014</v>
      </c>
      <c r="AN103" s="12" t="s">
        <v>150</v>
      </c>
      <c r="AO103" s="12" t="s">
        <v>56</v>
      </c>
      <c r="AP103" s="12"/>
      <c r="AQ103" s="12" t="s">
        <v>56</v>
      </c>
      <c r="AR103" s="12" t="s">
        <v>58</v>
      </c>
      <c r="AS103" s="12" t="s">
        <v>163</v>
      </c>
      <c r="AT103" s="12" t="s">
        <v>151</v>
      </c>
      <c r="AU103" s="45" t="s">
        <v>460</v>
      </c>
      <c r="AV103" s="15" t="s">
        <v>767</v>
      </c>
      <c r="AW103" s="12" t="str">
        <f>B103&amp;C103&amp;L103&amp;M103&amp;O103&amp;U103&amp;AL103&amp;AM103</f>
        <v>AustraliaBurrewarraReef-associated Fishrichness1.3Kelaher2014</v>
      </c>
    </row>
    <row r="104" spans="1:49" ht="14.25" customHeight="1" x14ac:dyDescent="0.35">
      <c r="A104" s="12">
        <v>103</v>
      </c>
      <c r="B104" s="12" t="s">
        <v>66</v>
      </c>
      <c r="C104" s="12" t="s">
        <v>461</v>
      </c>
      <c r="D104" s="12" t="s">
        <v>425</v>
      </c>
      <c r="E104" s="12" t="s">
        <v>462</v>
      </c>
      <c r="F104" s="13" t="s">
        <v>50</v>
      </c>
      <c r="G104" s="13" t="s">
        <v>51</v>
      </c>
      <c r="H104" s="13" t="s">
        <v>52</v>
      </c>
      <c r="I104" s="13" t="s">
        <v>53</v>
      </c>
      <c r="J104" s="14">
        <v>1.72</v>
      </c>
      <c r="K104" s="17"/>
      <c r="L104" s="14"/>
      <c r="M104" s="14" t="s">
        <v>463</v>
      </c>
      <c r="N104" s="17" t="s">
        <v>1070</v>
      </c>
      <c r="O104" s="17" t="s">
        <v>55</v>
      </c>
      <c r="P104" s="14"/>
      <c r="Q104" s="14"/>
      <c r="R104" s="14"/>
      <c r="S104" s="14"/>
      <c r="T104" s="14"/>
      <c r="U104" s="19">
        <v>0.98</v>
      </c>
      <c r="V104" s="41">
        <f t="shared" si="9"/>
        <v>-2.0000000000000018</v>
      </c>
      <c r="W104" s="14"/>
      <c r="X104" s="14" t="s">
        <v>56</v>
      </c>
      <c r="Z104" s="14" t="s">
        <v>58</v>
      </c>
      <c r="AA104" s="14"/>
      <c r="AB104" s="14" t="s">
        <v>57</v>
      </c>
      <c r="AC104" s="14">
        <v>2008</v>
      </c>
      <c r="AD104" s="14">
        <v>4</v>
      </c>
      <c r="AE104" s="14"/>
      <c r="AF104" s="14">
        <v>3</v>
      </c>
      <c r="AG104" s="14">
        <v>2007</v>
      </c>
      <c r="AH104" s="14">
        <f t="shared" si="6"/>
        <v>1</v>
      </c>
      <c r="AI104" s="17">
        <f t="shared" si="7"/>
        <v>5</v>
      </c>
      <c r="AJ104" s="14">
        <v>4</v>
      </c>
      <c r="AK104" s="14" t="s">
        <v>56</v>
      </c>
      <c r="AL104" s="13" t="s">
        <v>464</v>
      </c>
      <c r="AM104" s="12">
        <v>2014</v>
      </c>
      <c r="AN104" s="12" t="s">
        <v>150</v>
      </c>
      <c r="AO104" s="12" t="s">
        <v>56</v>
      </c>
      <c r="AP104" s="12"/>
      <c r="AQ104" s="12" t="s">
        <v>56</v>
      </c>
      <c r="AR104" s="12" t="s">
        <v>58</v>
      </c>
      <c r="AS104" s="12" t="s">
        <v>163</v>
      </c>
      <c r="AT104" s="12" t="s">
        <v>151</v>
      </c>
      <c r="AU104" s="45" t="s">
        <v>460</v>
      </c>
      <c r="AV104" s="15" t="s">
        <v>767</v>
      </c>
      <c r="AW104" s="12" t="str">
        <f>B104&amp;C104&amp;L104&amp;M104&amp;O104&amp;U104&amp;AL104&amp;AM104</f>
        <v>AustraliaBroulee IslandReef-associated Fishrichness0.98Kelaher2014</v>
      </c>
    </row>
    <row r="105" spans="1:49" ht="14.25" customHeight="1" x14ac:dyDescent="0.35">
      <c r="A105" s="12">
        <v>104</v>
      </c>
      <c r="B105" s="12" t="s">
        <v>66</v>
      </c>
      <c r="C105" s="12" t="s">
        <v>1435</v>
      </c>
      <c r="D105" s="12" t="s">
        <v>425</v>
      </c>
      <c r="E105" s="12" t="s">
        <v>462</v>
      </c>
      <c r="F105" s="13" t="s">
        <v>50</v>
      </c>
      <c r="G105" s="13" t="s">
        <v>51</v>
      </c>
      <c r="H105" s="13" t="s">
        <v>52</v>
      </c>
      <c r="I105" s="13" t="s">
        <v>53</v>
      </c>
      <c r="J105" s="14">
        <v>45.42</v>
      </c>
      <c r="K105" s="14"/>
      <c r="L105" s="14"/>
      <c r="M105" s="14" t="s">
        <v>463</v>
      </c>
      <c r="N105" s="17" t="s">
        <v>1070</v>
      </c>
      <c r="O105" s="17" t="s">
        <v>55</v>
      </c>
      <c r="P105" s="14"/>
      <c r="Q105" s="14"/>
      <c r="R105" s="14"/>
      <c r="S105" s="14"/>
      <c r="T105" s="14"/>
      <c r="U105" s="19">
        <v>0.76</v>
      </c>
      <c r="V105" s="41">
        <f t="shared" si="9"/>
        <v>-24</v>
      </c>
      <c r="W105" s="14"/>
      <c r="X105" s="14" t="s">
        <v>56</v>
      </c>
      <c r="Z105" s="14" t="s">
        <v>58</v>
      </c>
      <c r="AA105" s="14"/>
      <c r="AB105" s="14" t="s">
        <v>57</v>
      </c>
      <c r="AC105" s="14">
        <v>2008</v>
      </c>
      <c r="AD105" s="14">
        <v>4</v>
      </c>
      <c r="AE105" s="14"/>
      <c r="AF105" s="14">
        <v>3</v>
      </c>
      <c r="AG105" s="14">
        <v>2007</v>
      </c>
      <c r="AH105" s="14">
        <f t="shared" si="6"/>
        <v>1</v>
      </c>
      <c r="AI105" s="17">
        <f t="shared" si="7"/>
        <v>5</v>
      </c>
      <c r="AJ105" s="14">
        <v>4</v>
      </c>
      <c r="AK105" s="14" t="s">
        <v>56</v>
      </c>
      <c r="AL105" s="13" t="s">
        <v>464</v>
      </c>
      <c r="AM105" s="12">
        <v>2014</v>
      </c>
      <c r="AN105" s="12" t="s">
        <v>150</v>
      </c>
      <c r="AO105" s="12" t="s">
        <v>56</v>
      </c>
      <c r="AP105" s="12"/>
      <c r="AQ105" s="12" t="s">
        <v>56</v>
      </c>
      <c r="AR105" s="12" t="s">
        <v>58</v>
      </c>
      <c r="AS105" s="12" t="s">
        <v>163</v>
      </c>
      <c r="AT105" s="12" t="s">
        <v>151</v>
      </c>
      <c r="AU105" s="45" t="s">
        <v>460</v>
      </c>
      <c r="AV105" s="15" t="s">
        <v>767</v>
      </c>
      <c r="AW105" s="12" t="str">
        <f>B105&amp;C105&amp;L105&amp;M105&amp;O105&amp;U105&amp;AL105&amp;AM105</f>
        <v>AustraliaMullimburraReef-associated Fishrichness0.76Kelaher2014</v>
      </c>
    </row>
    <row r="106" spans="1:49" ht="14.25" customHeight="1" x14ac:dyDescent="0.35">
      <c r="A106" s="12">
        <v>105</v>
      </c>
      <c r="B106" s="12" t="s">
        <v>66</v>
      </c>
      <c r="C106" s="12" t="s">
        <v>1862</v>
      </c>
      <c r="D106" s="12" t="s">
        <v>1862</v>
      </c>
      <c r="E106" s="12" t="s">
        <v>462</v>
      </c>
      <c r="F106" s="13" t="s">
        <v>50</v>
      </c>
      <c r="G106" s="13" t="s">
        <v>51</v>
      </c>
      <c r="H106" s="13" t="s">
        <v>52</v>
      </c>
      <c r="I106" s="13" t="s">
        <v>53</v>
      </c>
      <c r="J106" s="14">
        <v>86</v>
      </c>
      <c r="K106" s="14"/>
      <c r="L106" s="17" t="s">
        <v>455</v>
      </c>
      <c r="M106" s="14" t="s">
        <v>1863</v>
      </c>
      <c r="N106" s="14" t="s">
        <v>85</v>
      </c>
      <c r="O106" s="17" t="s">
        <v>104</v>
      </c>
      <c r="P106" s="14" t="s">
        <v>408</v>
      </c>
      <c r="Q106" s="14"/>
      <c r="R106" s="14"/>
      <c r="S106" s="14">
        <v>23.9</v>
      </c>
      <c r="T106" s="14">
        <v>27.4</v>
      </c>
      <c r="U106" s="19">
        <f t="shared" ref="U106:U137" si="10">IFERROR(IF(AND(Q106="",R106="",S106="",T106=""),"",IF(AND(Q106&lt;&gt;"",R106&lt;&gt;"",S106&lt;&gt;"",T106&lt;&gt;""),(T106/R106)/(S106/Q106),IF(AND(Q106&lt;&gt;"",R106&lt;&gt;""),R106/Q106,IF(AND(S106&lt;&gt;"",T106&lt;&gt;""),T106/S106,IF(AND(Q106&lt;&gt;"",S106&lt;&gt;""),Q106/S106,IF(AND(R106&lt;&gt;"",T106&lt;&gt;""),T106/R106)))))), "N/A")</f>
        <v>1.1464435146443515</v>
      </c>
      <c r="V106" s="41">
        <f t="shared" si="9"/>
        <v>14.644351464435147</v>
      </c>
      <c r="W106" s="14">
        <v>81.8</v>
      </c>
      <c r="X106" s="14" t="s">
        <v>58</v>
      </c>
      <c r="Y106" s="14">
        <v>80</v>
      </c>
      <c r="Z106" s="14" t="s">
        <v>58</v>
      </c>
      <c r="AA106" s="14"/>
      <c r="AB106" s="14" t="s">
        <v>57</v>
      </c>
      <c r="AC106" s="14">
        <v>2002</v>
      </c>
      <c r="AD106" s="14">
        <v>13</v>
      </c>
      <c r="AE106" s="14"/>
      <c r="AF106" s="14">
        <v>12</v>
      </c>
      <c r="AG106" s="14">
        <v>2002</v>
      </c>
      <c r="AH106" s="14">
        <f t="shared" si="6"/>
        <v>0</v>
      </c>
      <c r="AI106" s="17">
        <f t="shared" si="7"/>
        <v>13</v>
      </c>
      <c r="AJ106" s="14">
        <v>10</v>
      </c>
      <c r="AK106" s="14" t="s">
        <v>56</v>
      </c>
      <c r="AL106" s="13" t="s">
        <v>1864</v>
      </c>
      <c r="AM106" s="12">
        <v>2015</v>
      </c>
      <c r="AN106" s="12" t="s">
        <v>150</v>
      </c>
      <c r="AO106" s="12" t="s">
        <v>56</v>
      </c>
      <c r="AP106" s="12"/>
      <c r="AQ106" s="12" t="s">
        <v>56</v>
      </c>
      <c r="AR106" s="12" t="s">
        <v>58</v>
      </c>
      <c r="AS106" s="12" t="s">
        <v>163</v>
      </c>
      <c r="AT106" s="12" t="s">
        <v>151</v>
      </c>
      <c r="AU106" s="45" t="s">
        <v>1865</v>
      </c>
      <c r="AV106" s="15" t="s">
        <v>767</v>
      </c>
      <c r="AW106" s="12" t="str">
        <f>B106&amp;C106&amp;L106&amp;M106&amp;O106&amp;U106&amp;AL106&amp;AM106</f>
        <v>AustraliaSolitary Islands Marine ParkChrysophrys auratusRed snappersize1.14644351464435Malcolm2015</v>
      </c>
    </row>
    <row r="107" spans="1:49" ht="14.25" customHeight="1" x14ac:dyDescent="0.35">
      <c r="A107" s="12">
        <v>106</v>
      </c>
      <c r="B107" s="12" t="s">
        <v>684</v>
      </c>
      <c r="C107" s="44" t="s">
        <v>1400</v>
      </c>
      <c r="D107" s="15" t="s">
        <v>1401</v>
      </c>
      <c r="E107" s="12" t="s">
        <v>171</v>
      </c>
      <c r="F107" s="13" t="s">
        <v>50</v>
      </c>
      <c r="G107" s="13" t="s">
        <v>51</v>
      </c>
      <c r="H107" s="13" t="s">
        <v>613</v>
      </c>
      <c r="I107" s="13" t="s">
        <v>156</v>
      </c>
      <c r="J107" s="14">
        <v>6</v>
      </c>
      <c r="K107" s="14"/>
      <c r="L107" s="14"/>
      <c r="M107" s="14" t="s">
        <v>1402</v>
      </c>
      <c r="N107" s="14" t="s">
        <v>407</v>
      </c>
      <c r="O107" s="17" t="s">
        <v>70</v>
      </c>
      <c r="P107" s="14"/>
      <c r="Q107" s="14"/>
      <c r="R107" s="14">
        <v>100</v>
      </c>
      <c r="S107" s="14"/>
      <c r="T107" s="14">
        <v>500</v>
      </c>
      <c r="U107" s="19">
        <f t="shared" si="10"/>
        <v>5</v>
      </c>
      <c r="V107" s="41">
        <f t="shared" si="9"/>
        <v>400</v>
      </c>
      <c r="W107" s="14">
        <v>494.4</v>
      </c>
      <c r="X107" s="14" t="s">
        <v>56</v>
      </c>
      <c r="Z107" s="14" t="s">
        <v>58</v>
      </c>
      <c r="AA107" s="14"/>
      <c r="AB107" s="14" t="s">
        <v>192</v>
      </c>
      <c r="AC107" s="14">
        <v>1987</v>
      </c>
      <c r="AD107" s="14">
        <v>17</v>
      </c>
      <c r="AE107" s="14"/>
      <c r="AF107" s="14">
        <v>23</v>
      </c>
      <c r="AG107" s="14">
        <v>1991</v>
      </c>
      <c r="AH107" s="14">
        <f t="shared" si="6"/>
        <v>-4</v>
      </c>
      <c r="AI107" s="17">
        <f t="shared" si="7"/>
        <v>13</v>
      </c>
      <c r="AJ107" s="14">
        <v>19</v>
      </c>
      <c r="AK107" s="14" t="s">
        <v>58</v>
      </c>
      <c r="AL107" s="13" t="s">
        <v>615</v>
      </c>
      <c r="AM107" s="12">
        <v>2014</v>
      </c>
      <c r="AN107" s="12" t="s">
        <v>183</v>
      </c>
      <c r="AO107" s="12" t="s">
        <v>56</v>
      </c>
      <c r="AP107" s="12"/>
      <c r="AQ107" s="12" t="s">
        <v>56</v>
      </c>
      <c r="AR107" s="12" t="s">
        <v>58</v>
      </c>
      <c r="AS107" s="12" t="s">
        <v>163</v>
      </c>
      <c r="AT107" s="12" t="s">
        <v>151</v>
      </c>
      <c r="AU107" s="45" t="s">
        <v>1403</v>
      </c>
      <c r="AV107" s="15"/>
      <c r="AW107" s="12" t="str">
        <f>B107&amp;C107&amp;L107&amp;M107&amp;O107&amp;U107&amp;AL107&amp;AM107</f>
        <v>KenyaMombasa Marine National ParkPiscivoresbiomassden5McClanahan2014</v>
      </c>
    </row>
    <row r="108" spans="1:49" ht="14.25" customHeight="1" x14ac:dyDescent="0.35">
      <c r="A108" s="12">
        <v>107</v>
      </c>
      <c r="B108" s="12" t="s">
        <v>684</v>
      </c>
      <c r="C108" s="44" t="s">
        <v>1400</v>
      </c>
      <c r="D108" s="15" t="s">
        <v>1401</v>
      </c>
      <c r="E108" s="12" t="s">
        <v>171</v>
      </c>
      <c r="F108" s="13" t="s">
        <v>50</v>
      </c>
      <c r="G108" s="13" t="s">
        <v>51</v>
      </c>
      <c r="H108" s="13" t="s">
        <v>613</v>
      </c>
      <c r="I108" s="13" t="s">
        <v>156</v>
      </c>
      <c r="J108" s="14">
        <v>6</v>
      </c>
      <c r="K108" s="14"/>
      <c r="L108" s="14"/>
      <c r="M108" s="14" t="s">
        <v>1404</v>
      </c>
      <c r="N108" s="14" t="s">
        <v>407</v>
      </c>
      <c r="O108" s="17" t="s">
        <v>70</v>
      </c>
      <c r="P108" s="14"/>
      <c r="Q108" s="14"/>
      <c r="R108" s="14">
        <v>1500</v>
      </c>
      <c r="S108" s="14"/>
      <c r="T108" s="14">
        <v>8600</v>
      </c>
      <c r="U108" s="19">
        <f t="shared" si="10"/>
        <v>5.7333333333333334</v>
      </c>
      <c r="V108" s="41">
        <f t="shared" si="9"/>
        <v>473.33333333333331</v>
      </c>
      <c r="W108" s="14">
        <v>460.42</v>
      </c>
      <c r="X108" s="14" t="s">
        <v>56</v>
      </c>
      <c r="Z108" s="14" t="s">
        <v>58</v>
      </c>
      <c r="AA108" s="14"/>
      <c r="AB108" s="14" t="s">
        <v>192</v>
      </c>
      <c r="AC108" s="14">
        <v>1987</v>
      </c>
      <c r="AD108" s="14">
        <v>17</v>
      </c>
      <c r="AE108" s="14"/>
      <c r="AF108" s="14">
        <v>23</v>
      </c>
      <c r="AG108" s="14">
        <v>1991</v>
      </c>
      <c r="AH108" s="14">
        <f t="shared" si="6"/>
        <v>-4</v>
      </c>
      <c r="AI108" s="17">
        <f t="shared" si="7"/>
        <v>13</v>
      </c>
      <c r="AJ108" s="14">
        <v>19</v>
      </c>
      <c r="AK108" s="14" t="s">
        <v>58</v>
      </c>
      <c r="AL108" s="13" t="s">
        <v>615</v>
      </c>
      <c r="AM108" s="12">
        <v>2014</v>
      </c>
      <c r="AN108" s="12" t="s">
        <v>183</v>
      </c>
      <c r="AO108" s="12" t="s">
        <v>56</v>
      </c>
      <c r="AP108" s="12"/>
      <c r="AQ108" s="12" t="s">
        <v>56</v>
      </c>
      <c r="AR108" s="12" t="s">
        <v>58</v>
      </c>
      <c r="AS108" s="12" t="s">
        <v>163</v>
      </c>
      <c r="AT108" s="12" t="s">
        <v>151</v>
      </c>
      <c r="AU108" s="45" t="s">
        <v>1403</v>
      </c>
      <c r="AV108" s="15"/>
      <c r="AW108" s="12" t="str">
        <f>B108&amp;C108&amp;L108&amp;M108&amp;O108&amp;U108&amp;AL108&amp;AM108</f>
        <v>KenyaMombasa Marine National ParkScavengersbiomassden5.73333333333333McClanahan2014</v>
      </c>
    </row>
    <row r="109" spans="1:49" ht="14.25" customHeight="1" x14ac:dyDescent="0.35">
      <c r="A109" s="12">
        <v>108</v>
      </c>
      <c r="B109" s="12" t="s">
        <v>684</v>
      </c>
      <c r="C109" s="44" t="s">
        <v>1400</v>
      </c>
      <c r="D109" s="15" t="s">
        <v>1401</v>
      </c>
      <c r="E109" s="12" t="s">
        <v>171</v>
      </c>
      <c r="F109" s="13" t="s">
        <v>50</v>
      </c>
      <c r="G109" s="13" t="s">
        <v>51</v>
      </c>
      <c r="H109" s="13" t="s">
        <v>613</v>
      </c>
      <c r="I109" s="13" t="s">
        <v>156</v>
      </c>
      <c r="J109" s="14">
        <v>6</v>
      </c>
      <c r="K109" s="14"/>
      <c r="L109" s="14"/>
      <c r="M109" s="14" t="s">
        <v>1405</v>
      </c>
      <c r="N109" s="14" t="s">
        <v>407</v>
      </c>
      <c r="O109" s="17" t="s">
        <v>70</v>
      </c>
      <c r="P109" s="14"/>
      <c r="Q109" s="14"/>
      <c r="R109" s="14">
        <v>400</v>
      </c>
      <c r="S109" s="14"/>
      <c r="T109" s="14">
        <v>2800</v>
      </c>
      <c r="U109" s="19">
        <f t="shared" si="10"/>
        <v>7</v>
      </c>
      <c r="V109" s="41">
        <f t="shared" si="9"/>
        <v>600</v>
      </c>
      <c r="W109" s="14">
        <v>133.78</v>
      </c>
      <c r="X109" s="14" t="s">
        <v>56</v>
      </c>
      <c r="Z109" s="14" t="s">
        <v>58</v>
      </c>
      <c r="AA109" s="14"/>
      <c r="AB109" s="14" t="s">
        <v>192</v>
      </c>
      <c r="AC109" s="14">
        <v>1987</v>
      </c>
      <c r="AD109" s="14">
        <v>17</v>
      </c>
      <c r="AE109" s="14"/>
      <c r="AF109" s="14">
        <v>23</v>
      </c>
      <c r="AG109" s="14">
        <v>1991</v>
      </c>
      <c r="AH109" s="14">
        <f t="shared" si="6"/>
        <v>-4</v>
      </c>
      <c r="AI109" s="17">
        <f t="shared" si="7"/>
        <v>13</v>
      </c>
      <c r="AJ109" s="14">
        <v>19</v>
      </c>
      <c r="AK109" s="14" t="s">
        <v>58</v>
      </c>
      <c r="AL109" s="13" t="s">
        <v>615</v>
      </c>
      <c r="AM109" s="12">
        <v>2014</v>
      </c>
      <c r="AN109" s="12" t="s">
        <v>183</v>
      </c>
      <c r="AO109" s="12" t="s">
        <v>56</v>
      </c>
      <c r="AP109" s="12"/>
      <c r="AQ109" s="12" t="s">
        <v>56</v>
      </c>
      <c r="AR109" s="12" t="s">
        <v>58</v>
      </c>
      <c r="AS109" s="12" t="s">
        <v>163</v>
      </c>
      <c r="AT109" s="12" t="s">
        <v>151</v>
      </c>
      <c r="AU109" s="45" t="s">
        <v>1403</v>
      </c>
      <c r="AV109" s="15"/>
      <c r="AW109" s="12" t="str">
        <f>B109&amp;C109&amp;L109&amp;M109&amp;O109&amp;U109&amp;AL109&amp;AM109</f>
        <v>KenyaMombasa Marine National ParkSea urchin predatorsbiomassden7McClanahan2014</v>
      </c>
    </row>
    <row r="110" spans="1:49" ht="14.25" customHeight="1" x14ac:dyDescent="0.35">
      <c r="A110" s="12">
        <v>109</v>
      </c>
      <c r="B110" s="12" t="s">
        <v>684</v>
      </c>
      <c r="C110" s="44" t="s">
        <v>1400</v>
      </c>
      <c r="D110" s="12" t="s">
        <v>1401</v>
      </c>
      <c r="E110" s="12" t="s">
        <v>171</v>
      </c>
      <c r="F110" s="13" t="s">
        <v>50</v>
      </c>
      <c r="G110" s="13" t="s">
        <v>51</v>
      </c>
      <c r="H110" s="13" t="s">
        <v>613</v>
      </c>
      <c r="I110" s="13" t="s">
        <v>156</v>
      </c>
      <c r="J110" s="14">
        <v>6</v>
      </c>
      <c r="K110" s="14"/>
      <c r="L110" s="14"/>
      <c r="M110" s="14" t="s">
        <v>1406</v>
      </c>
      <c r="N110" s="14" t="s">
        <v>407</v>
      </c>
      <c r="O110" s="17" t="s">
        <v>70</v>
      </c>
      <c r="P110" s="14"/>
      <c r="Q110" s="14"/>
      <c r="R110" s="14">
        <v>400</v>
      </c>
      <c r="S110" s="14"/>
      <c r="T110" s="14">
        <v>1900</v>
      </c>
      <c r="U110" s="19">
        <f t="shared" si="10"/>
        <v>4.75</v>
      </c>
      <c r="V110" s="41">
        <f t="shared" si="9"/>
        <v>375</v>
      </c>
      <c r="W110" s="14">
        <v>-4.3600000000000003</v>
      </c>
      <c r="X110" s="14" t="s">
        <v>56</v>
      </c>
      <c r="Z110" s="14" t="s">
        <v>58</v>
      </c>
      <c r="AA110" s="14"/>
      <c r="AB110" s="14" t="s">
        <v>192</v>
      </c>
      <c r="AC110" s="14">
        <v>1987</v>
      </c>
      <c r="AD110" s="14">
        <v>17</v>
      </c>
      <c r="AE110" s="14"/>
      <c r="AF110" s="14">
        <v>23</v>
      </c>
      <c r="AG110" s="14">
        <v>1991</v>
      </c>
      <c r="AH110" s="14">
        <f t="shared" si="6"/>
        <v>-4</v>
      </c>
      <c r="AI110" s="17">
        <f t="shared" si="7"/>
        <v>13</v>
      </c>
      <c r="AJ110" s="14">
        <v>19</v>
      </c>
      <c r="AK110" s="14" t="s">
        <v>58</v>
      </c>
      <c r="AL110" s="13" t="s">
        <v>615</v>
      </c>
      <c r="AM110" s="12">
        <v>2014</v>
      </c>
      <c r="AN110" s="12" t="s">
        <v>183</v>
      </c>
      <c r="AO110" s="12" t="s">
        <v>56</v>
      </c>
      <c r="AP110" s="12"/>
      <c r="AQ110" s="12" t="s">
        <v>56</v>
      </c>
      <c r="AR110" s="12" t="s">
        <v>58</v>
      </c>
      <c r="AS110" s="12" t="s">
        <v>163</v>
      </c>
      <c r="AT110" s="12" t="s">
        <v>151</v>
      </c>
      <c r="AU110" s="45" t="s">
        <v>1403</v>
      </c>
      <c r="AV110" s="15"/>
      <c r="AW110" s="12" t="str">
        <f>B110&amp;C110&amp;L110&amp;M110&amp;O110&amp;U110&amp;AL110&amp;AM110</f>
        <v>KenyaMombasa Marine National ParkSponge eatersbiomassden4.75McClanahan2014</v>
      </c>
    </row>
    <row r="111" spans="1:49" ht="14.25" customHeight="1" x14ac:dyDescent="0.35">
      <c r="A111" s="12">
        <v>110</v>
      </c>
      <c r="B111" s="15" t="s">
        <v>684</v>
      </c>
      <c r="C111" s="43" t="s">
        <v>1400</v>
      </c>
      <c r="D111" s="15" t="s">
        <v>1401</v>
      </c>
      <c r="E111" s="15" t="s">
        <v>171</v>
      </c>
      <c r="F111" s="16" t="s">
        <v>50</v>
      </c>
      <c r="G111" s="16" t="s">
        <v>51</v>
      </c>
      <c r="H111" s="16" t="s">
        <v>613</v>
      </c>
      <c r="I111" s="16" t="s">
        <v>156</v>
      </c>
      <c r="J111" s="17">
        <v>6</v>
      </c>
      <c r="K111" s="17"/>
      <c r="L111" s="17"/>
      <c r="M111" s="17" t="s">
        <v>1074</v>
      </c>
      <c r="N111" s="17" t="s">
        <v>407</v>
      </c>
      <c r="O111" s="17" t="s">
        <v>70</v>
      </c>
      <c r="P111" s="17"/>
      <c r="Q111" s="17"/>
      <c r="R111" s="17">
        <v>60</v>
      </c>
      <c r="S111" s="17"/>
      <c r="T111" s="17">
        <v>200</v>
      </c>
      <c r="U111" s="20">
        <f t="shared" si="10"/>
        <v>3.3333333333333335</v>
      </c>
      <c r="V111" s="22">
        <f t="shared" si="9"/>
        <v>233.33333333333334</v>
      </c>
      <c r="W111" s="17">
        <v>222.58</v>
      </c>
      <c r="X111" s="17" t="s">
        <v>56</v>
      </c>
      <c r="Y111" s="17"/>
      <c r="Z111" s="17" t="s">
        <v>58</v>
      </c>
      <c r="AA111" s="17"/>
      <c r="AB111" s="17" t="s">
        <v>192</v>
      </c>
      <c r="AC111" s="17">
        <v>1987</v>
      </c>
      <c r="AD111" s="17">
        <v>17</v>
      </c>
      <c r="AE111" s="17"/>
      <c r="AF111" s="17">
        <v>23</v>
      </c>
      <c r="AG111" s="14">
        <v>1991</v>
      </c>
      <c r="AH111" s="14">
        <f t="shared" si="6"/>
        <v>-4</v>
      </c>
      <c r="AI111" s="17">
        <f t="shared" si="7"/>
        <v>13</v>
      </c>
      <c r="AJ111" s="17">
        <v>19</v>
      </c>
      <c r="AK111" s="17" t="s">
        <v>58</v>
      </c>
      <c r="AL111" s="16" t="s">
        <v>615</v>
      </c>
      <c r="AM111" s="15">
        <v>2014</v>
      </c>
      <c r="AN111" s="15" t="s">
        <v>183</v>
      </c>
      <c r="AO111" s="15" t="s">
        <v>56</v>
      </c>
      <c r="AP111" s="15"/>
      <c r="AQ111" s="15" t="s">
        <v>56</v>
      </c>
      <c r="AR111" s="15" t="s">
        <v>58</v>
      </c>
      <c r="AS111" s="15" t="s">
        <v>163</v>
      </c>
      <c r="AT111" s="15" t="s">
        <v>151</v>
      </c>
      <c r="AU111" s="45" t="s">
        <v>1403</v>
      </c>
      <c r="AV111" s="15"/>
      <c r="AW111" s="12" t="str">
        <f>B111&amp;C111&amp;L111&amp;M111&amp;O111&amp;U111&amp;AL111&amp;AM111</f>
        <v>KenyaMombasa Marine National ParkCorallivoresbiomassden3.33333333333333McClanahan2014</v>
      </c>
    </row>
    <row r="112" spans="1:49" ht="14.25" customHeight="1" x14ac:dyDescent="0.35">
      <c r="A112" s="12">
        <v>111</v>
      </c>
      <c r="B112" s="12" t="s">
        <v>684</v>
      </c>
      <c r="C112" s="44" t="s">
        <v>1400</v>
      </c>
      <c r="D112" s="12" t="s">
        <v>1401</v>
      </c>
      <c r="E112" s="12" t="s">
        <v>171</v>
      </c>
      <c r="F112" s="13" t="s">
        <v>50</v>
      </c>
      <c r="G112" s="13" t="s">
        <v>51</v>
      </c>
      <c r="H112" s="13" t="s">
        <v>613</v>
      </c>
      <c r="I112" s="13" t="s">
        <v>156</v>
      </c>
      <c r="J112" s="14">
        <v>6</v>
      </c>
      <c r="K112" s="14"/>
      <c r="L112" s="17" t="s">
        <v>269</v>
      </c>
      <c r="M112" s="14" t="s">
        <v>1407</v>
      </c>
      <c r="N112" s="14" t="s">
        <v>407</v>
      </c>
      <c r="O112" s="17" t="s">
        <v>70</v>
      </c>
      <c r="P112" s="14"/>
      <c r="Q112" s="14"/>
      <c r="R112" s="14">
        <v>4400</v>
      </c>
      <c r="S112" s="14"/>
      <c r="T112" s="14">
        <v>4200</v>
      </c>
      <c r="U112" s="19">
        <f t="shared" si="10"/>
        <v>0.95454545454545459</v>
      </c>
      <c r="V112" s="41">
        <f t="shared" si="9"/>
        <v>-4.5454545454545414</v>
      </c>
      <c r="W112" s="14"/>
      <c r="X112" s="14" t="s">
        <v>56</v>
      </c>
      <c r="Z112" s="14" t="s">
        <v>58</v>
      </c>
      <c r="AA112" s="14"/>
      <c r="AB112" s="14" t="s">
        <v>192</v>
      </c>
      <c r="AC112" s="14">
        <v>1987</v>
      </c>
      <c r="AD112" s="14">
        <v>17</v>
      </c>
      <c r="AE112" s="14"/>
      <c r="AF112" s="14"/>
      <c r="AG112" s="14">
        <v>1991</v>
      </c>
      <c r="AH112" s="14">
        <f t="shared" si="6"/>
        <v>-4</v>
      </c>
      <c r="AI112" s="17">
        <f t="shared" si="7"/>
        <v>13</v>
      </c>
      <c r="AJ112" s="14"/>
      <c r="AK112" s="14" t="s">
        <v>58</v>
      </c>
      <c r="AL112" s="13" t="s">
        <v>615</v>
      </c>
      <c r="AM112" s="12">
        <v>2014</v>
      </c>
      <c r="AN112" s="12" t="s">
        <v>183</v>
      </c>
      <c r="AO112" s="12" t="s">
        <v>56</v>
      </c>
      <c r="AP112" s="12"/>
      <c r="AQ112" s="12" t="s">
        <v>56</v>
      </c>
      <c r="AR112" s="12" t="s">
        <v>58</v>
      </c>
      <c r="AS112" s="12" t="s">
        <v>163</v>
      </c>
      <c r="AT112" s="12" t="s">
        <v>151</v>
      </c>
      <c r="AU112" s="45" t="s">
        <v>1403</v>
      </c>
      <c r="AV112" s="15"/>
      <c r="AW112" s="12" t="str">
        <f>B112&amp;C112&amp;L112&amp;M112&amp;O112&amp;U112&amp;AL112&amp;AM112</f>
        <v>KenyaMombasa Marine National ParkPomacentridaeDamselfishbiomassden0.954545454545455McClanahan2014</v>
      </c>
    </row>
    <row r="113" spans="1:49" ht="14.25" customHeight="1" x14ac:dyDescent="0.35">
      <c r="A113" s="12">
        <v>112</v>
      </c>
      <c r="B113" s="12" t="s">
        <v>684</v>
      </c>
      <c r="C113" s="44" t="s">
        <v>1400</v>
      </c>
      <c r="D113" s="12" t="s">
        <v>1401</v>
      </c>
      <c r="E113" s="12" t="s">
        <v>171</v>
      </c>
      <c r="F113" s="13" t="s">
        <v>50</v>
      </c>
      <c r="G113" s="13" t="s">
        <v>51</v>
      </c>
      <c r="H113" s="13" t="s">
        <v>613</v>
      </c>
      <c r="I113" s="13" t="s">
        <v>156</v>
      </c>
      <c r="J113" s="14">
        <v>6</v>
      </c>
      <c r="K113" s="14"/>
      <c r="L113" s="14"/>
      <c r="M113" s="14" t="s">
        <v>503</v>
      </c>
      <c r="N113" s="14" t="s">
        <v>407</v>
      </c>
      <c r="O113" s="17" t="s">
        <v>70</v>
      </c>
      <c r="P113" s="14"/>
      <c r="Q113" s="14"/>
      <c r="R113" s="14">
        <v>3500</v>
      </c>
      <c r="S113" s="14"/>
      <c r="T113" s="14">
        <v>24600</v>
      </c>
      <c r="U113" s="19">
        <f t="shared" si="10"/>
        <v>7.0285714285714285</v>
      </c>
      <c r="V113" s="41">
        <f t="shared" si="9"/>
        <v>602.85714285714289</v>
      </c>
      <c r="W113" s="14"/>
      <c r="X113" s="14" t="s">
        <v>56</v>
      </c>
      <c r="Z113" s="14" t="s">
        <v>58</v>
      </c>
      <c r="AA113" s="14"/>
      <c r="AB113" s="14" t="s">
        <v>192</v>
      </c>
      <c r="AC113" s="14">
        <v>1987</v>
      </c>
      <c r="AD113" s="14">
        <v>17</v>
      </c>
      <c r="AE113" s="14"/>
      <c r="AF113" s="14"/>
      <c r="AG113" s="14">
        <v>1991</v>
      </c>
      <c r="AH113" s="14">
        <f t="shared" si="6"/>
        <v>-4</v>
      </c>
      <c r="AI113" s="17">
        <f t="shared" si="7"/>
        <v>13</v>
      </c>
      <c r="AJ113" s="14"/>
      <c r="AK113" s="14" t="s">
        <v>58</v>
      </c>
      <c r="AL113" s="13" t="s">
        <v>615</v>
      </c>
      <c r="AM113" s="12">
        <v>2014</v>
      </c>
      <c r="AN113" s="12" t="s">
        <v>183</v>
      </c>
      <c r="AO113" s="12" t="s">
        <v>56</v>
      </c>
      <c r="AP113" s="12"/>
      <c r="AQ113" s="12" t="s">
        <v>56</v>
      </c>
      <c r="AR113" s="12" t="s">
        <v>58</v>
      </c>
      <c r="AS113" s="12" t="s">
        <v>163</v>
      </c>
      <c r="AT113" s="12" t="s">
        <v>151</v>
      </c>
      <c r="AU113" s="45" t="s">
        <v>1403</v>
      </c>
      <c r="AV113" s="15"/>
      <c r="AW113" s="12" t="str">
        <f>B113&amp;C113&amp;L113&amp;M113&amp;O113&amp;U113&amp;AL113&amp;AM113</f>
        <v>KenyaMombasa Marine National Parkherbivoresbiomassden7.02857142857143McClanahan2014</v>
      </c>
    </row>
    <row r="114" spans="1:49" ht="14.25" customHeight="1" x14ac:dyDescent="0.35">
      <c r="A114" s="12">
        <v>113</v>
      </c>
      <c r="B114" s="12" t="s">
        <v>684</v>
      </c>
      <c r="C114" s="44" t="s">
        <v>1400</v>
      </c>
      <c r="D114" s="12" t="s">
        <v>1401</v>
      </c>
      <c r="E114" s="12" t="s">
        <v>171</v>
      </c>
      <c r="F114" s="13" t="s">
        <v>50</v>
      </c>
      <c r="G114" s="13" t="s">
        <v>51</v>
      </c>
      <c r="H114" s="13" t="s">
        <v>613</v>
      </c>
      <c r="I114" s="13" t="s">
        <v>156</v>
      </c>
      <c r="J114" s="14">
        <v>6</v>
      </c>
      <c r="K114" s="14"/>
      <c r="L114" s="14" t="s">
        <v>445</v>
      </c>
      <c r="M114" s="14" t="s">
        <v>242</v>
      </c>
      <c r="N114" s="14" t="s">
        <v>446</v>
      </c>
      <c r="O114" s="17" t="s">
        <v>70</v>
      </c>
      <c r="P114" s="14"/>
      <c r="Q114" s="14"/>
      <c r="R114" s="14">
        <v>510000</v>
      </c>
      <c r="S114" s="14"/>
      <c r="T114" s="14">
        <v>160000</v>
      </c>
      <c r="U114" s="19">
        <f t="shared" si="10"/>
        <v>0.31372549019607843</v>
      </c>
      <c r="V114" s="41">
        <f t="shared" si="9"/>
        <v>-68.627450980392155</v>
      </c>
      <c r="W114" s="14"/>
      <c r="X114" s="14" t="s">
        <v>56</v>
      </c>
      <c r="Z114" s="14" t="s">
        <v>58</v>
      </c>
      <c r="AA114" s="14"/>
      <c r="AB114" s="14" t="s">
        <v>192</v>
      </c>
      <c r="AC114" s="14">
        <v>1987</v>
      </c>
      <c r="AD114" s="14">
        <v>17</v>
      </c>
      <c r="AE114" s="14"/>
      <c r="AF114" s="14"/>
      <c r="AG114" s="14">
        <v>1991</v>
      </c>
      <c r="AH114" s="14">
        <f t="shared" si="6"/>
        <v>-4</v>
      </c>
      <c r="AI114" s="17">
        <f t="shared" si="7"/>
        <v>13</v>
      </c>
      <c r="AJ114" s="14"/>
      <c r="AK114" s="14" t="s">
        <v>58</v>
      </c>
      <c r="AL114" s="13" t="s">
        <v>615</v>
      </c>
      <c r="AM114" s="12">
        <v>2014</v>
      </c>
      <c r="AN114" s="12" t="s">
        <v>183</v>
      </c>
      <c r="AO114" s="12" t="s">
        <v>56</v>
      </c>
      <c r="AP114" s="12"/>
      <c r="AQ114" s="12" t="s">
        <v>56</v>
      </c>
      <c r="AR114" s="12" t="s">
        <v>58</v>
      </c>
      <c r="AS114" s="12" t="s">
        <v>163</v>
      </c>
      <c r="AT114" s="12" t="s">
        <v>151</v>
      </c>
      <c r="AU114" s="45" t="s">
        <v>1403</v>
      </c>
      <c r="AV114" s="15"/>
      <c r="AW114" s="12" t="str">
        <f>B114&amp;C114&amp;L114&amp;M114&amp;O114&amp;U114&amp;AL114&amp;AM114</f>
        <v>KenyaMombasa Marine National ParkEchinoideaSea urchinsbiomassden0.313725490196078McClanahan2014</v>
      </c>
    </row>
    <row r="115" spans="1:49" ht="14.25" customHeight="1" x14ac:dyDescent="0.35">
      <c r="A115" s="12">
        <v>114</v>
      </c>
      <c r="B115" s="12" t="s">
        <v>684</v>
      </c>
      <c r="C115" s="12" t="s">
        <v>2014</v>
      </c>
      <c r="D115" s="15" t="s">
        <v>2014</v>
      </c>
      <c r="E115" s="12" t="s">
        <v>171</v>
      </c>
      <c r="F115" s="13" t="s">
        <v>50</v>
      </c>
      <c r="G115" s="13" t="s">
        <v>51</v>
      </c>
      <c r="H115" s="13" t="s">
        <v>613</v>
      </c>
      <c r="I115" s="13" t="s">
        <v>156</v>
      </c>
      <c r="J115" s="14">
        <v>0.4</v>
      </c>
      <c r="K115" s="14"/>
      <c r="L115" s="14"/>
      <c r="M115" s="14" t="s">
        <v>1402</v>
      </c>
      <c r="N115" s="14" t="s">
        <v>407</v>
      </c>
      <c r="O115" s="17" t="s">
        <v>70</v>
      </c>
      <c r="P115" s="14"/>
      <c r="Q115" s="14"/>
      <c r="R115" s="14">
        <v>100</v>
      </c>
      <c r="S115" s="14"/>
      <c r="T115" s="14">
        <v>200</v>
      </c>
      <c r="U115" s="19">
        <f t="shared" si="10"/>
        <v>2</v>
      </c>
      <c r="V115" s="41">
        <f t="shared" si="9"/>
        <v>100</v>
      </c>
      <c r="W115" s="14"/>
      <c r="X115" s="14" t="s">
        <v>56</v>
      </c>
      <c r="Z115" s="14" t="s">
        <v>58</v>
      </c>
      <c r="AA115" s="14"/>
      <c r="AB115" s="14" t="s">
        <v>192</v>
      </c>
      <c r="AC115" s="14">
        <v>1987</v>
      </c>
      <c r="AD115" s="14">
        <v>4</v>
      </c>
      <c r="AE115" s="14"/>
      <c r="AF115" s="14"/>
      <c r="AG115" s="14">
        <v>2005</v>
      </c>
      <c r="AH115" s="14">
        <f t="shared" si="6"/>
        <v>-18</v>
      </c>
      <c r="AI115" s="17">
        <f t="shared" si="7"/>
        <v>-14</v>
      </c>
      <c r="AJ115" s="14"/>
      <c r="AK115" s="14" t="s">
        <v>58</v>
      </c>
      <c r="AL115" s="13" t="s">
        <v>615</v>
      </c>
      <c r="AM115" s="12">
        <v>2014</v>
      </c>
      <c r="AN115" s="12" t="s">
        <v>183</v>
      </c>
      <c r="AO115" s="12" t="s">
        <v>56</v>
      </c>
      <c r="AP115" s="12"/>
      <c r="AQ115" s="12" t="s">
        <v>56</v>
      </c>
      <c r="AR115" s="12" t="s">
        <v>58</v>
      </c>
      <c r="AS115" s="12" t="s">
        <v>163</v>
      </c>
      <c r="AT115" s="12" t="s">
        <v>151</v>
      </c>
      <c r="AU115" s="45" t="s">
        <v>1403</v>
      </c>
      <c r="AV115" s="15"/>
      <c r="AW115" s="12" t="str">
        <f>B115&amp;C115&amp;L115&amp;M115&amp;O115&amp;U115&amp;AL115&amp;AM115</f>
        <v>KenyaVipingo Community ClosurePiscivoresbiomassden2McClanahan2014</v>
      </c>
    </row>
    <row r="116" spans="1:49" ht="14.25" customHeight="1" x14ac:dyDescent="0.35">
      <c r="A116" s="12">
        <v>115</v>
      </c>
      <c r="B116" s="12" t="s">
        <v>684</v>
      </c>
      <c r="C116" s="12" t="s">
        <v>2014</v>
      </c>
      <c r="D116" s="12" t="s">
        <v>2014</v>
      </c>
      <c r="E116" s="12" t="s">
        <v>171</v>
      </c>
      <c r="F116" s="13" t="s">
        <v>50</v>
      </c>
      <c r="G116" s="13" t="s">
        <v>51</v>
      </c>
      <c r="H116" s="13" t="s">
        <v>613</v>
      </c>
      <c r="I116" s="13" t="s">
        <v>156</v>
      </c>
      <c r="J116" s="14">
        <v>0.4</v>
      </c>
      <c r="K116" s="14"/>
      <c r="L116" s="14"/>
      <c r="M116" s="14" t="s">
        <v>1404</v>
      </c>
      <c r="N116" s="14" t="s">
        <v>407</v>
      </c>
      <c r="O116" s="17" t="s">
        <v>70</v>
      </c>
      <c r="P116" s="14"/>
      <c r="Q116" s="14"/>
      <c r="R116" s="14">
        <v>1800</v>
      </c>
      <c r="S116" s="14"/>
      <c r="T116" s="14">
        <v>7300</v>
      </c>
      <c r="U116" s="19">
        <f t="shared" si="10"/>
        <v>4.0555555555555554</v>
      </c>
      <c r="V116" s="41">
        <f t="shared" si="9"/>
        <v>305.55555555555554</v>
      </c>
      <c r="W116" s="14"/>
      <c r="X116" s="14" t="s">
        <v>56</v>
      </c>
      <c r="Z116" s="14" t="s">
        <v>58</v>
      </c>
      <c r="AA116" s="14"/>
      <c r="AB116" s="14" t="s">
        <v>192</v>
      </c>
      <c r="AC116" s="14">
        <v>1987</v>
      </c>
      <c r="AD116" s="14">
        <v>4</v>
      </c>
      <c r="AE116" s="14"/>
      <c r="AF116" s="14"/>
      <c r="AG116" s="14">
        <v>2005</v>
      </c>
      <c r="AH116" s="14">
        <f t="shared" si="6"/>
        <v>-18</v>
      </c>
      <c r="AI116" s="17">
        <f t="shared" si="7"/>
        <v>-14</v>
      </c>
      <c r="AJ116" s="14"/>
      <c r="AK116" s="14" t="s">
        <v>58</v>
      </c>
      <c r="AL116" s="13" t="s">
        <v>615</v>
      </c>
      <c r="AM116" s="12">
        <v>2014</v>
      </c>
      <c r="AN116" s="12" t="s">
        <v>183</v>
      </c>
      <c r="AO116" s="12" t="s">
        <v>56</v>
      </c>
      <c r="AP116" s="12"/>
      <c r="AQ116" s="12" t="s">
        <v>56</v>
      </c>
      <c r="AR116" s="12" t="s">
        <v>58</v>
      </c>
      <c r="AS116" s="12" t="s">
        <v>163</v>
      </c>
      <c r="AT116" s="12" t="s">
        <v>151</v>
      </c>
      <c r="AU116" s="45" t="s">
        <v>1403</v>
      </c>
      <c r="AV116" s="15"/>
      <c r="AW116" s="12" t="str">
        <f>B116&amp;C116&amp;L116&amp;M116&amp;O116&amp;U116&amp;AL116&amp;AM116</f>
        <v>KenyaVipingo Community ClosureScavengersbiomassden4.05555555555556McClanahan2014</v>
      </c>
    </row>
    <row r="117" spans="1:49" ht="14.25" customHeight="1" x14ac:dyDescent="0.35">
      <c r="A117" s="12">
        <v>116</v>
      </c>
      <c r="B117" s="12" t="s">
        <v>684</v>
      </c>
      <c r="C117" s="12" t="s">
        <v>2014</v>
      </c>
      <c r="D117" s="12" t="s">
        <v>2014</v>
      </c>
      <c r="E117" s="12" t="s">
        <v>171</v>
      </c>
      <c r="F117" s="13" t="s">
        <v>50</v>
      </c>
      <c r="G117" s="13" t="s">
        <v>51</v>
      </c>
      <c r="H117" s="13" t="s">
        <v>613</v>
      </c>
      <c r="I117" s="13" t="s">
        <v>156</v>
      </c>
      <c r="J117" s="14">
        <v>0.4</v>
      </c>
      <c r="K117" s="14"/>
      <c r="L117" s="14"/>
      <c r="M117" s="14" t="s">
        <v>1405</v>
      </c>
      <c r="N117" s="14" t="s">
        <v>407</v>
      </c>
      <c r="O117" s="17" t="s">
        <v>70</v>
      </c>
      <c r="P117" s="14"/>
      <c r="Q117" s="14"/>
      <c r="R117" s="14">
        <v>400</v>
      </c>
      <c r="S117" s="14"/>
      <c r="T117" s="14">
        <v>50</v>
      </c>
      <c r="U117" s="19">
        <f t="shared" si="10"/>
        <v>0.125</v>
      </c>
      <c r="V117" s="41">
        <f t="shared" si="9"/>
        <v>-87.5</v>
      </c>
      <c r="W117" s="14"/>
      <c r="X117" s="14" t="s">
        <v>56</v>
      </c>
      <c r="Z117" s="14" t="s">
        <v>58</v>
      </c>
      <c r="AA117" s="14"/>
      <c r="AB117" s="14" t="s">
        <v>192</v>
      </c>
      <c r="AC117" s="14">
        <v>1987</v>
      </c>
      <c r="AD117" s="14">
        <v>4</v>
      </c>
      <c r="AE117" s="14"/>
      <c r="AF117" s="14"/>
      <c r="AG117" s="14">
        <v>2005</v>
      </c>
      <c r="AH117" s="14">
        <f t="shared" si="6"/>
        <v>-18</v>
      </c>
      <c r="AI117" s="17">
        <f t="shared" si="7"/>
        <v>-14</v>
      </c>
      <c r="AJ117" s="14"/>
      <c r="AK117" s="14" t="s">
        <v>58</v>
      </c>
      <c r="AL117" s="13" t="s">
        <v>615</v>
      </c>
      <c r="AM117" s="12">
        <v>2014</v>
      </c>
      <c r="AN117" s="12" t="s">
        <v>183</v>
      </c>
      <c r="AO117" s="12" t="s">
        <v>56</v>
      </c>
      <c r="AP117" s="12"/>
      <c r="AQ117" s="12" t="s">
        <v>56</v>
      </c>
      <c r="AR117" s="12" t="s">
        <v>58</v>
      </c>
      <c r="AS117" s="12" t="s">
        <v>163</v>
      </c>
      <c r="AT117" s="12" t="s">
        <v>151</v>
      </c>
      <c r="AU117" s="45" t="s">
        <v>1403</v>
      </c>
      <c r="AV117" s="15"/>
      <c r="AW117" s="12" t="str">
        <f>B117&amp;C117&amp;L117&amp;M117&amp;O117&amp;U117&amp;AL117&amp;AM117</f>
        <v>KenyaVipingo Community ClosureSea urchin predatorsbiomassden0.125McClanahan2014</v>
      </c>
    </row>
    <row r="118" spans="1:49" ht="14.25" customHeight="1" x14ac:dyDescent="0.35">
      <c r="A118" s="12">
        <v>117</v>
      </c>
      <c r="B118" s="12" t="s">
        <v>684</v>
      </c>
      <c r="C118" s="12" t="s">
        <v>2014</v>
      </c>
      <c r="D118" s="12" t="s">
        <v>2014</v>
      </c>
      <c r="E118" s="12" t="s">
        <v>171</v>
      </c>
      <c r="F118" s="13" t="s">
        <v>50</v>
      </c>
      <c r="G118" s="13" t="s">
        <v>51</v>
      </c>
      <c r="H118" s="13" t="s">
        <v>613</v>
      </c>
      <c r="I118" s="13" t="s">
        <v>156</v>
      </c>
      <c r="J118" s="14">
        <v>0.4</v>
      </c>
      <c r="K118" s="14"/>
      <c r="L118" s="14"/>
      <c r="M118" s="14" t="s">
        <v>1406</v>
      </c>
      <c r="N118" s="14" t="s">
        <v>407</v>
      </c>
      <c r="O118" s="17" t="s">
        <v>70</v>
      </c>
      <c r="P118" s="14"/>
      <c r="Q118" s="14"/>
      <c r="R118" s="14">
        <v>500</v>
      </c>
      <c r="S118" s="14"/>
      <c r="T118" s="14">
        <v>40</v>
      </c>
      <c r="U118" s="19">
        <f t="shared" si="10"/>
        <v>0.08</v>
      </c>
      <c r="V118" s="41">
        <f t="shared" si="9"/>
        <v>-92</v>
      </c>
      <c r="W118" s="14"/>
      <c r="X118" s="14" t="s">
        <v>56</v>
      </c>
      <c r="Z118" s="14" t="s">
        <v>58</v>
      </c>
      <c r="AA118" s="14"/>
      <c r="AB118" s="14" t="s">
        <v>192</v>
      </c>
      <c r="AC118" s="14">
        <v>1987</v>
      </c>
      <c r="AD118" s="14">
        <v>4</v>
      </c>
      <c r="AE118" s="14"/>
      <c r="AF118" s="14"/>
      <c r="AG118" s="14">
        <v>2005</v>
      </c>
      <c r="AH118" s="14">
        <f t="shared" si="6"/>
        <v>-18</v>
      </c>
      <c r="AI118" s="17">
        <f t="shared" si="7"/>
        <v>-14</v>
      </c>
      <c r="AJ118" s="14"/>
      <c r="AK118" s="14" t="s">
        <v>58</v>
      </c>
      <c r="AL118" s="13" t="s">
        <v>615</v>
      </c>
      <c r="AM118" s="12">
        <v>2014</v>
      </c>
      <c r="AN118" s="12" t="s">
        <v>183</v>
      </c>
      <c r="AO118" s="12" t="s">
        <v>56</v>
      </c>
      <c r="AP118" s="12"/>
      <c r="AQ118" s="12" t="s">
        <v>56</v>
      </c>
      <c r="AR118" s="12" t="s">
        <v>58</v>
      </c>
      <c r="AS118" s="12" t="s">
        <v>163</v>
      </c>
      <c r="AT118" s="12" t="s">
        <v>151</v>
      </c>
      <c r="AU118" s="45" t="s">
        <v>1403</v>
      </c>
      <c r="AV118" s="15"/>
      <c r="AW118" s="12" t="str">
        <f>B118&amp;C118&amp;L118&amp;M118&amp;O118&amp;U118&amp;AL118&amp;AM118</f>
        <v>KenyaVipingo Community ClosureSponge eatersbiomassden0.08McClanahan2014</v>
      </c>
    </row>
    <row r="119" spans="1:49" ht="14.25" customHeight="1" x14ac:dyDescent="0.35">
      <c r="A119" s="12">
        <v>118</v>
      </c>
      <c r="B119" s="12" t="s">
        <v>684</v>
      </c>
      <c r="C119" s="12" t="s">
        <v>2014</v>
      </c>
      <c r="D119" s="12" t="s">
        <v>2014</v>
      </c>
      <c r="E119" s="12" t="s">
        <v>171</v>
      </c>
      <c r="F119" s="13" t="s">
        <v>50</v>
      </c>
      <c r="G119" s="13" t="s">
        <v>51</v>
      </c>
      <c r="H119" s="13" t="s">
        <v>613</v>
      </c>
      <c r="I119" s="13" t="s">
        <v>156</v>
      </c>
      <c r="J119" s="14">
        <v>0.4</v>
      </c>
      <c r="K119" s="17"/>
      <c r="L119" s="14"/>
      <c r="M119" s="14" t="s">
        <v>1074</v>
      </c>
      <c r="N119" s="14" t="s">
        <v>407</v>
      </c>
      <c r="O119" s="17" t="s">
        <v>70</v>
      </c>
      <c r="P119" s="14"/>
      <c r="Q119" s="14"/>
      <c r="R119" s="14">
        <v>600</v>
      </c>
      <c r="S119" s="14"/>
      <c r="T119" s="14">
        <v>2400</v>
      </c>
      <c r="U119" s="19">
        <f t="shared" si="10"/>
        <v>4</v>
      </c>
      <c r="V119" s="41">
        <f t="shared" si="9"/>
        <v>300</v>
      </c>
      <c r="W119" s="14"/>
      <c r="X119" s="14" t="s">
        <v>56</v>
      </c>
      <c r="Z119" s="14" t="s">
        <v>58</v>
      </c>
      <c r="AA119" s="14"/>
      <c r="AB119" s="14" t="s">
        <v>192</v>
      </c>
      <c r="AC119" s="14">
        <v>1987</v>
      </c>
      <c r="AD119" s="14">
        <v>4</v>
      </c>
      <c r="AE119" s="14"/>
      <c r="AF119" s="14"/>
      <c r="AG119" s="14">
        <v>2005</v>
      </c>
      <c r="AH119" s="14">
        <f t="shared" si="6"/>
        <v>-18</v>
      </c>
      <c r="AI119" s="17">
        <f t="shared" si="7"/>
        <v>-14</v>
      </c>
      <c r="AJ119" s="14"/>
      <c r="AK119" s="14" t="s">
        <v>58</v>
      </c>
      <c r="AL119" s="13" t="s">
        <v>615</v>
      </c>
      <c r="AM119" s="12">
        <v>2014</v>
      </c>
      <c r="AN119" s="12" t="s">
        <v>183</v>
      </c>
      <c r="AO119" s="12" t="s">
        <v>56</v>
      </c>
      <c r="AP119" s="12"/>
      <c r="AQ119" s="12" t="s">
        <v>56</v>
      </c>
      <c r="AR119" s="12" t="s">
        <v>58</v>
      </c>
      <c r="AS119" s="12" t="s">
        <v>163</v>
      </c>
      <c r="AT119" s="12" t="s">
        <v>151</v>
      </c>
      <c r="AU119" s="45" t="s">
        <v>1403</v>
      </c>
      <c r="AV119" s="15"/>
      <c r="AW119" s="12" t="str">
        <f>B119&amp;C119&amp;L119&amp;M119&amp;O119&amp;U119&amp;AL119&amp;AM119</f>
        <v>KenyaVipingo Community ClosureCorallivoresbiomassden4McClanahan2014</v>
      </c>
    </row>
    <row r="120" spans="1:49" ht="14.25" customHeight="1" x14ac:dyDescent="0.35">
      <c r="A120" s="12">
        <v>119</v>
      </c>
      <c r="B120" s="15" t="s">
        <v>684</v>
      </c>
      <c r="C120" s="15" t="s">
        <v>2014</v>
      </c>
      <c r="D120" s="15" t="s">
        <v>2014</v>
      </c>
      <c r="E120" s="15" t="s">
        <v>171</v>
      </c>
      <c r="F120" s="13" t="s">
        <v>50</v>
      </c>
      <c r="G120" s="13" t="s">
        <v>51</v>
      </c>
      <c r="H120" s="16" t="s">
        <v>613</v>
      </c>
      <c r="I120" s="16" t="s">
        <v>156</v>
      </c>
      <c r="J120" s="17">
        <v>0.4</v>
      </c>
      <c r="K120" s="17"/>
      <c r="L120" s="17" t="s">
        <v>269</v>
      </c>
      <c r="M120" s="17" t="s">
        <v>1407</v>
      </c>
      <c r="N120" s="17" t="s">
        <v>407</v>
      </c>
      <c r="O120" s="17" t="s">
        <v>70</v>
      </c>
      <c r="P120" s="17"/>
      <c r="Q120" s="17"/>
      <c r="R120" s="17">
        <v>2400</v>
      </c>
      <c r="S120" s="17"/>
      <c r="T120" s="17">
        <v>5200</v>
      </c>
      <c r="U120" s="20">
        <f t="shared" si="10"/>
        <v>2.1666666666666665</v>
      </c>
      <c r="V120" s="22">
        <f t="shared" si="9"/>
        <v>116.66666666666666</v>
      </c>
      <c r="W120" s="17"/>
      <c r="X120" s="14" t="s">
        <v>56</v>
      </c>
      <c r="Z120" s="17" t="s">
        <v>58</v>
      </c>
      <c r="AA120" s="17"/>
      <c r="AB120" s="17" t="s">
        <v>192</v>
      </c>
      <c r="AC120" s="17">
        <v>1987</v>
      </c>
      <c r="AD120" s="17">
        <v>4</v>
      </c>
      <c r="AE120" s="17"/>
      <c r="AF120" s="17"/>
      <c r="AG120" s="17">
        <v>2005</v>
      </c>
      <c r="AH120" s="14">
        <f t="shared" si="6"/>
        <v>-18</v>
      </c>
      <c r="AI120" s="17">
        <f t="shared" si="7"/>
        <v>-14</v>
      </c>
      <c r="AJ120" s="17"/>
      <c r="AK120" s="17" t="s">
        <v>58</v>
      </c>
      <c r="AL120" s="16" t="s">
        <v>615</v>
      </c>
      <c r="AM120" s="15">
        <v>2014</v>
      </c>
      <c r="AN120" s="15" t="s">
        <v>183</v>
      </c>
      <c r="AO120" s="15" t="s">
        <v>56</v>
      </c>
      <c r="AP120" s="15"/>
      <c r="AQ120" s="15" t="s">
        <v>56</v>
      </c>
      <c r="AR120" s="15" t="s">
        <v>58</v>
      </c>
      <c r="AS120" s="15" t="s">
        <v>163</v>
      </c>
      <c r="AT120" s="15" t="s">
        <v>151</v>
      </c>
      <c r="AU120" s="45" t="s">
        <v>1403</v>
      </c>
      <c r="AV120" s="15"/>
      <c r="AW120" s="12" t="str">
        <f>B120&amp;C120&amp;L120&amp;M120&amp;O120&amp;U120&amp;AL120&amp;AM120</f>
        <v>KenyaVipingo Community ClosurePomacentridaeDamselfishbiomassden2.16666666666667McClanahan2014</v>
      </c>
    </row>
    <row r="121" spans="1:49" ht="14.25" customHeight="1" x14ac:dyDescent="0.35">
      <c r="A121" s="12">
        <v>120</v>
      </c>
      <c r="B121" s="15" t="s">
        <v>684</v>
      </c>
      <c r="C121" s="15" t="s">
        <v>2014</v>
      </c>
      <c r="D121" s="15" t="s">
        <v>2014</v>
      </c>
      <c r="E121" s="15" t="s">
        <v>171</v>
      </c>
      <c r="F121" s="16" t="s">
        <v>50</v>
      </c>
      <c r="G121" s="16" t="s">
        <v>51</v>
      </c>
      <c r="H121" s="16" t="s">
        <v>613</v>
      </c>
      <c r="I121" s="16" t="s">
        <v>156</v>
      </c>
      <c r="J121" s="17">
        <v>0.4</v>
      </c>
      <c r="K121" s="17"/>
      <c r="L121" s="17"/>
      <c r="M121" s="17" t="s">
        <v>503</v>
      </c>
      <c r="N121" s="17" t="s">
        <v>407</v>
      </c>
      <c r="O121" s="17" t="s">
        <v>70</v>
      </c>
      <c r="P121" s="17"/>
      <c r="Q121" s="17"/>
      <c r="R121" s="17">
        <v>1700</v>
      </c>
      <c r="S121" s="17"/>
      <c r="T121" s="17">
        <v>19500</v>
      </c>
      <c r="U121" s="20">
        <f t="shared" si="10"/>
        <v>11.470588235294118</v>
      </c>
      <c r="V121" s="22">
        <f t="shared" si="9"/>
        <v>1047.0588235294117</v>
      </c>
      <c r="W121" s="17"/>
      <c r="X121" s="17" t="s">
        <v>56</v>
      </c>
      <c r="Z121" s="17" t="s">
        <v>58</v>
      </c>
      <c r="AA121" s="17"/>
      <c r="AB121" s="17" t="s">
        <v>192</v>
      </c>
      <c r="AC121" s="17">
        <v>1987</v>
      </c>
      <c r="AD121" s="17">
        <v>4</v>
      </c>
      <c r="AE121" s="17"/>
      <c r="AF121" s="17"/>
      <c r="AG121" s="17">
        <v>2005</v>
      </c>
      <c r="AH121" s="14">
        <f t="shared" si="6"/>
        <v>-18</v>
      </c>
      <c r="AI121" s="17">
        <f t="shared" si="7"/>
        <v>-14</v>
      </c>
      <c r="AJ121" s="17"/>
      <c r="AK121" s="17" t="s">
        <v>58</v>
      </c>
      <c r="AL121" s="16" t="s">
        <v>615</v>
      </c>
      <c r="AM121" s="15">
        <v>2014</v>
      </c>
      <c r="AN121" s="15" t="s">
        <v>183</v>
      </c>
      <c r="AO121" s="15" t="s">
        <v>56</v>
      </c>
      <c r="AP121" s="15"/>
      <c r="AQ121" s="15" t="s">
        <v>56</v>
      </c>
      <c r="AR121" s="15" t="s">
        <v>58</v>
      </c>
      <c r="AS121" s="15" t="s">
        <v>163</v>
      </c>
      <c r="AT121" s="15" t="s">
        <v>151</v>
      </c>
      <c r="AU121" s="45" t="s">
        <v>1403</v>
      </c>
      <c r="AV121" s="15"/>
      <c r="AW121" s="12" t="str">
        <f>B121&amp;C121&amp;L121&amp;M121&amp;O121&amp;U121&amp;AL121&amp;AM121</f>
        <v>KenyaVipingo Community Closureherbivoresbiomassden11.4705882352941McClanahan2014</v>
      </c>
    </row>
    <row r="122" spans="1:49" ht="14.25" customHeight="1" x14ac:dyDescent="0.35">
      <c r="A122" s="12">
        <v>121</v>
      </c>
      <c r="B122" s="15" t="s">
        <v>684</v>
      </c>
      <c r="C122" s="15" t="s">
        <v>2014</v>
      </c>
      <c r="D122" s="15" t="s">
        <v>2014</v>
      </c>
      <c r="E122" s="15" t="s">
        <v>171</v>
      </c>
      <c r="F122" s="16" t="s">
        <v>50</v>
      </c>
      <c r="G122" s="16" t="s">
        <v>51</v>
      </c>
      <c r="H122" s="16" t="s">
        <v>613</v>
      </c>
      <c r="I122" s="16" t="s">
        <v>156</v>
      </c>
      <c r="J122" s="17">
        <v>0.4</v>
      </c>
      <c r="K122" s="17"/>
      <c r="L122" s="17" t="s">
        <v>445</v>
      </c>
      <c r="M122" s="17" t="s">
        <v>242</v>
      </c>
      <c r="N122" s="14" t="s">
        <v>446</v>
      </c>
      <c r="O122" s="17" t="s">
        <v>70</v>
      </c>
      <c r="P122" s="17"/>
      <c r="Q122" s="17"/>
      <c r="R122" s="17">
        <v>280000</v>
      </c>
      <c r="S122" s="17"/>
      <c r="T122" s="17">
        <v>210000</v>
      </c>
      <c r="U122" s="20">
        <f t="shared" si="10"/>
        <v>0.75</v>
      </c>
      <c r="V122" s="22">
        <f t="shared" si="9"/>
        <v>-25</v>
      </c>
      <c r="W122" s="17"/>
      <c r="X122" s="17" t="s">
        <v>56</v>
      </c>
      <c r="Z122" s="17" t="s">
        <v>58</v>
      </c>
      <c r="AA122" s="17"/>
      <c r="AB122" s="17" t="s">
        <v>192</v>
      </c>
      <c r="AC122" s="17">
        <v>1987</v>
      </c>
      <c r="AD122" s="17">
        <v>4</v>
      </c>
      <c r="AE122" s="17"/>
      <c r="AF122" s="17"/>
      <c r="AG122" s="17">
        <v>2005</v>
      </c>
      <c r="AH122" s="14">
        <f t="shared" si="6"/>
        <v>-18</v>
      </c>
      <c r="AI122" s="17">
        <f t="shared" si="7"/>
        <v>-14</v>
      </c>
      <c r="AJ122" s="17"/>
      <c r="AK122" s="17" t="s">
        <v>58</v>
      </c>
      <c r="AL122" s="16" t="s">
        <v>615</v>
      </c>
      <c r="AM122" s="15">
        <v>2014</v>
      </c>
      <c r="AN122" s="15" t="s">
        <v>183</v>
      </c>
      <c r="AO122" s="15" t="s">
        <v>56</v>
      </c>
      <c r="AP122" s="15"/>
      <c r="AQ122" s="15" t="s">
        <v>56</v>
      </c>
      <c r="AR122" s="15" t="s">
        <v>58</v>
      </c>
      <c r="AS122" s="15" t="s">
        <v>163</v>
      </c>
      <c r="AT122" s="15" t="s">
        <v>151</v>
      </c>
      <c r="AU122" s="45" t="s">
        <v>1403</v>
      </c>
      <c r="AV122" s="15"/>
      <c r="AW122" s="12" t="str">
        <f>B122&amp;C122&amp;L122&amp;M122&amp;O122&amp;U122&amp;AL122&amp;AM122</f>
        <v>KenyaVipingo Community ClosureEchinoideaSea urchinsbiomassden0.75McClanahan2014</v>
      </c>
    </row>
    <row r="123" spans="1:49" ht="14.25" customHeight="1" x14ac:dyDescent="0.35">
      <c r="A123" s="12">
        <v>122</v>
      </c>
      <c r="B123" s="15" t="s">
        <v>1748</v>
      </c>
      <c r="C123" s="15" t="s">
        <v>2713</v>
      </c>
      <c r="D123" s="15" t="s">
        <v>2713</v>
      </c>
      <c r="E123" s="15" t="s">
        <v>1426</v>
      </c>
      <c r="F123" s="16" t="s">
        <v>480</v>
      </c>
      <c r="G123" s="16" t="s">
        <v>51</v>
      </c>
      <c r="H123" s="16" t="s">
        <v>52</v>
      </c>
      <c r="I123" s="16" t="s">
        <v>156</v>
      </c>
      <c r="J123" s="17" t="s">
        <v>509</v>
      </c>
      <c r="K123" s="17"/>
      <c r="L123" s="17" t="s">
        <v>627</v>
      </c>
      <c r="M123" s="17" t="s">
        <v>628</v>
      </c>
      <c r="N123" s="17" t="s">
        <v>170</v>
      </c>
      <c r="O123" s="17" t="s">
        <v>86</v>
      </c>
      <c r="P123" s="17"/>
      <c r="Q123" s="17"/>
      <c r="R123" s="17"/>
      <c r="S123" s="17">
        <f>AVERAGE(11.2*5000,13.8*5000,1.5*5000)</f>
        <v>44166.666666666664</v>
      </c>
      <c r="T123" s="17">
        <f>AVERAGE(19.4*5000,20.9*5000,1.5*5000)</f>
        <v>69666.666666666672</v>
      </c>
      <c r="U123" s="20">
        <f t="shared" si="10"/>
        <v>1.5773584905660378</v>
      </c>
      <c r="V123" s="22">
        <f t="shared" si="9"/>
        <v>57.735849056603783</v>
      </c>
      <c r="W123" s="17"/>
      <c r="X123" s="17" t="s">
        <v>58</v>
      </c>
      <c r="Y123" s="17">
        <v>2.5</v>
      </c>
      <c r="Z123" s="17" t="s">
        <v>56</v>
      </c>
      <c r="AA123" s="17"/>
      <c r="AB123" s="17" t="s">
        <v>57</v>
      </c>
      <c r="AC123" s="17">
        <v>2009</v>
      </c>
      <c r="AD123" s="17">
        <v>2</v>
      </c>
      <c r="AE123" s="17"/>
      <c r="AF123" s="17"/>
      <c r="AG123" s="17">
        <v>1999</v>
      </c>
      <c r="AH123" s="14">
        <f t="shared" si="6"/>
        <v>10</v>
      </c>
      <c r="AI123" s="17">
        <f t="shared" si="7"/>
        <v>12</v>
      </c>
      <c r="AJ123" s="17"/>
      <c r="AK123" s="17" t="s">
        <v>56</v>
      </c>
      <c r="AL123" s="16" t="s">
        <v>1427</v>
      </c>
      <c r="AM123" s="15">
        <v>2013</v>
      </c>
      <c r="AN123" s="15" t="s">
        <v>1428</v>
      </c>
      <c r="AO123" s="15" t="s">
        <v>56</v>
      </c>
      <c r="AP123" s="15"/>
      <c r="AQ123" s="15" t="s">
        <v>56</v>
      </c>
      <c r="AR123" s="15" t="s">
        <v>58</v>
      </c>
      <c r="AS123" s="15" t="s">
        <v>163</v>
      </c>
      <c r="AT123" s="15" t="s">
        <v>151</v>
      </c>
      <c r="AU123" s="45"/>
      <c r="AV123" s="15"/>
      <c r="AW123" s="12" t="str">
        <f>B123&amp;C123&amp;L123&amp;M123&amp;O123&amp;U123&amp;AL123&amp;AM123</f>
        <v>Solomon IslandsKida, Nusa Hope/Heloro, &amp; Olive Marine Managed AreasLutjanidaesnappersdensity1.57735849056604Olds2013</v>
      </c>
    </row>
    <row r="124" spans="1:49" ht="14.25" customHeight="1" x14ac:dyDescent="0.35">
      <c r="A124" s="12">
        <v>123</v>
      </c>
      <c r="B124" s="12" t="s">
        <v>1748</v>
      </c>
      <c r="C124" s="12" t="s">
        <v>2713</v>
      </c>
      <c r="D124" s="12" t="s">
        <v>2713</v>
      </c>
      <c r="E124" s="12" t="s">
        <v>1426</v>
      </c>
      <c r="F124" s="13" t="s">
        <v>480</v>
      </c>
      <c r="G124" s="13" t="s">
        <v>51</v>
      </c>
      <c r="H124" s="13" t="s">
        <v>52</v>
      </c>
      <c r="I124" s="13" t="s">
        <v>156</v>
      </c>
      <c r="J124" s="14" t="s">
        <v>509</v>
      </c>
      <c r="K124" s="17"/>
      <c r="L124" s="14" t="s">
        <v>631</v>
      </c>
      <c r="M124" s="14" t="s">
        <v>1411</v>
      </c>
      <c r="N124" s="14" t="s">
        <v>170</v>
      </c>
      <c r="O124" s="17" t="s">
        <v>86</v>
      </c>
      <c r="P124" s="14"/>
      <c r="Q124" s="14"/>
      <c r="R124" s="14"/>
      <c r="S124" s="14">
        <f>AVERAGE(16.3*5000,1*5000,1.5*5000)</f>
        <v>31333.333333333332</v>
      </c>
      <c r="T124" s="14">
        <f>AVERAGE(9.7*5000,12.8*5000,1*5000)</f>
        <v>39166.666666666664</v>
      </c>
      <c r="U124" s="19">
        <f t="shared" si="10"/>
        <v>1.25</v>
      </c>
      <c r="V124" s="41">
        <f t="shared" si="9"/>
        <v>25</v>
      </c>
      <c r="W124" s="14"/>
      <c r="X124" s="14" t="s">
        <v>58</v>
      </c>
      <c r="Y124" s="14">
        <v>2.5</v>
      </c>
      <c r="Z124" s="14" t="s">
        <v>56</v>
      </c>
      <c r="AA124" s="14"/>
      <c r="AB124" s="14" t="s">
        <v>57</v>
      </c>
      <c r="AC124" s="14">
        <v>2009</v>
      </c>
      <c r="AD124" s="14">
        <v>2</v>
      </c>
      <c r="AE124" s="14"/>
      <c r="AF124" s="14"/>
      <c r="AG124" s="14">
        <v>1999</v>
      </c>
      <c r="AH124" s="14">
        <f t="shared" si="6"/>
        <v>10</v>
      </c>
      <c r="AI124" s="17">
        <f t="shared" si="7"/>
        <v>12</v>
      </c>
      <c r="AJ124" s="14"/>
      <c r="AK124" s="14" t="s">
        <v>56</v>
      </c>
      <c r="AL124" s="13" t="s">
        <v>1427</v>
      </c>
      <c r="AM124" s="12">
        <v>2013</v>
      </c>
      <c r="AN124" s="12" t="s">
        <v>1428</v>
      </c>
      <c r="AO124" s="12" t="s">
        <v>56</v>
      </c>
      <c r="AP124" s="12"/>
      <c r="AQ124" s="12" t="s">
        <v>56</v>
      </c>
      <c r="AR124" s="12" t="s">
        <v>58</v>
      </c>
      <c r="AS124" s="12" t="s">
        <v>163</v>
      </c>
      <c r="AT124" s="12" t="s">
        <v>151</v>
      </c>
      <c r="AU124" s="45"/>
      <c r="AV124" s="15"/>
      <c r="AW124" s="12" t="str">
        <f>B124&amp;C124&amp;L124&amp;M124&amp;O124&amp;U124&amp;AL124&amp;AM124</f>
        <v>Solomon IslandsKida, Nusa Hope/Heloro, &amp; Olive Marine Managed AreasSiganidaerabbitfishdensity1.25Olds2013</v>
      </c>
    </row>
    <row r="125" spans="1:49" ht="14.25" customHeight="1" x14ac:dyDescent="0.35">
      <c r="A125" s="12">
        <v>124</v>
      </c>
      <c r="B125" s="12" t="s">
        <v>1748</v>
      </c>
      <c r="C125" s="12" t="s">
        <v>2713</v>
      </c>
      <c r="D125" s="15" t="s">
        <v>2713</v>
      </c>
      <c r="E125" s="12" t="s">
        <v>1426</v>
      </c>
      <c r="F125" s="13" t="s">
        <v>480</v>
      </c>
      <c r="G125" s="13" t="s">
        <v>51</v>
      </c>
      <c r="H125" s="13" t="s">
        <v>52</v>
      </c>
      <c r="I125" s="13" t="s">
        <v>156</v>
      </c>
      <c r="J125" s="14" t="s">
        <v>509</v>
      </c>
      <c r="K125" s="17"/>
      <c r="L125" s="14" t="s">
        <v>541</v>
      </c>
      <c r="M125" s="14" t="s">
        <v>1430</v>
      </c>
      <c r="N125" s="14" t="s">
        <v>170</v>
      </c>
      <c r="O125" s="17" t="s">
        <v>86</v>
      </c>
      <c r="P125" s="14"/>
      <c r="Q125" s="14"/>
      <c r="R125" s="14"/>
      <c r="S125" s="14">
        <v>0</v>
      </c>
      <c r="T125" s="14">
        <v>0</v>
      </c>
      <c r="U125" s="19" t="str">
        <f t="shared" si="10"/>
        <v>N/A</v>
      </c>
      <c r="V125" s="41" t="str">
        <f t="shared" si="9"/>
        <v>N/A</v>
      </c>
      <c r="W125" s="14"/>
      <c r="X125" s="14" t="s">
        <v>58</v>
      </c>
      <c r="Y125" s="14">
        <v>2.5</v>
      </c>
      <c r="Z125" s="14" t="s">
        <v>56</v>
      </c>
      <c r="AA125" s="14"/>
      <c r="AB125" s="14" t="s">
        <v>57</v>
      </c>
      <c r="AC125" s="14">
        <v>2009</v>
      </c>
      <c r="AD125" s="14">
        <v>2</v>
      </c>
      <c r="AE125" s="14"/>
      <c r="AF125" s="14"/>
      <c r="AG125" s="14">
        <v>1999</v>
      </c>
      <c r="AH125" s="14">
        <f t="shared" si="6"/>
        <v>10</v>
      </c>
      <c r="AI125" s="17">
        <f t="shared" si="7"/>
        <v>12</v>
      </c>
      <c r="AJ125" s="14"/>
      <c r="AK125" s="14" t="s">
        <v>56</v>
      </c>
      <c r="AL125" s="13" t="s">
        <v>1427</v>
      </c>
      <c r="AM125" s="12">
        <v>2013</v>
      </c>
      <c r="AN125" s="12" t="s">
        <v>1428</v>
      </c>
      <c r="AO125" s="12" t="s">
        <v>56</v>
      </c>
      <c r="AP125" s="12"/>
      <c r="AQ125" s="12" t="s">
        <v>56</v>
      </c>
      <c r="AR125" s="12" t="s">
        <v>58</v>
      </c>
      <c r="AS125" s="12" t="s">
        <v>163</v>
      </c>
      <c r="AT125" s="12" t="s">
        <v>151</v>
      </c>
      <c r="AU125" s="45"/>
      <c r="AV125" s="15"/>
      <c r="AW125" s="12" t="str">
        <f>B125&amp;C125&amp;L125&amp;M125&amp;O125&amp;U125&amp;AL125&amp;AM125</f>
        <v>Solomon IslandsKida, Nusa Hope/Heloro, &amp; Olive Marine Managed AreasSparidaebreamdensityN/AOlds2013</v>
      </c>
    </row>
    <row r="126" spans="1:49" ht="14.25" customHeight="1" x14ac:dyDescent="0.35">
      <c r="A126" s="12">
        <v>125</v>
      </c>
      <c r="B126" s="12" t="s">
        <v>1748</v>
      </c>
      <c r="C126" s="12" t="s">
        <v>2713</v>
      </c>
      <c r="D126" s="15" t="s">
        <v>2713</v>
      </c>
      <c r="E126" s="12" t="s">
        <v>1426</v>
      </c>
      <c r="F126" s="13" t="s">
        <v>480</v>
      </c>
      <c r="G126" s="13" t="s">
        <v>51</v>
      </c>
      <c r="H126" s="13" t="s">
        <v>52</v>
      </c>
      <c r="I126" s="13" t="s">
        <v>156</v>
      </c>
      <c r="J126" s="14" t="s">
        <v>509</v>
      </c>
      <c r="K126" s="17"/>
      <c r="L126" s="14" t="s">
        <v>695</v>
      </c>
      <c r="M126" s="14" t="s">
        <v>1431</v>
      </c>
      <c r="N126" s="14" t="s">
        <v>120</v>
      </c>
      <c r="O126" s="17" t="s">
        <v>86</v>
      </c>
      <c r="P126" s="14"/>
      <c r="Q126" s="14"/>
      <c r="R126" s="14"/>
      <c r="S126" s="14">
        <f>AVERAGE(0.5*5000,0.5*5000,0.5*5000)</f>
        <v>2500</v>
      </c>
      <c r="T126" s="14">
        <f>AVERAGE(3.5*5000,6.6*5000,0.1*5000)</f>
        <v>17000</v>
      </c>
      <c r="U126" s="19">
        <f t="shared" si="10"/>
        <v>6.8</v>
      </c>
      <c r="V126" s="41">
        <f t="shared" si="9"/>
        <v>580</v>
      </c>
      <c r="W126" s="14"/>
      <c r="X126" s="14" t="s">
        <v>58</v>
      </c>
      <c r="Y126" s="14">
        <v>2.5</v>
      </c>
      <c r="Z126" s="14" t="s">
        <v>56</v>
      </c>
      <c r="AA126" s="14"/>
      <c r="AB126" s="14" t="s">
        <v>57</v>
      </c>
      <c r="AC126" s="14">
        <v>2009</v>
      </c>
      <c r="AD126" s="14">
        <v>2</v>
      </c>
      <c r="AE126" s="14"/>
      <c r="AF126" s="14"/>
      <c r="AG126" s="14">
        <v>1999</v>
      </c>
      <c r="AH126" s="14">
        <f t="shared" si="6"/>
        <v>10</v>
      </c>
      <c r="AI126" s="17">
        <f t="shared" si="7"/>
        <v>12</v>
      </c>
      <c r="AJ126" s="14"/>
      <c r="AK126" s="14" t="s">
        <v>56</v>
      </c>
      <c r="AL126" s="13" t="s">
        <v>1427</v>
      </c>
      <c r="AM126" s="12">
        <v>2013</v>
      </c>
      <c r="AN126" s="12" t="s">
        <v>1428</v>
      </c>
      <c r="AO126" s="12" t="s">
        <v>56</v>
      </c>
      <c r="AP126" s="12"/>
      <c r="AQ126" s="12" t="s">
        <v>56</v>
      </c>
      <c r="AR126" s="12" t="s">
        <v>58</v>
      </c>
      <c r="AS126" s="12" t="s">
        <v>163</v>
      </c>
      <c r="AT126" s="12" t="s">
        <v>151</v>
      </c>
      <c r="AU126" s="45"/>
      <c r="AV126" s="15"/>
      <c r="AW126" s="12" t="str">
        <f>B126&amp;C126&amp;L126&amp;M126&amp;O126&amp;U126&amp;AL126&amp;AM126</f>
        <v>Solomon IslandsKida, Nusa Hope/Heloro, &amp; Olive Marine Managed AreasHaemulidaesweetlipdensity6.8Olds2013</v>
      </c>
    </row>
    <row r="127" spans="1:49" ht="14.25" customHeight="1" x14ac:dyDescent="0.35">
      <c r="A127" s="12">
        <v>126</v>
      </c>
      <c r="B127" s="15" t="s">
        <v>1748</v>
      </c>
      <c r="C127" s="15" t="s">
        <v>2713</v>
      </c>
      <c r="D127" s="15" t="s">
        <v>2713</v>
      </c>
      <c r="E127" s="15" t="s">
        <v>1426</v>
      </c>
      <c r="F127" s="13" t="s">
        <v>480</v>
      </c>
      <c r="G127" s="13" t="s">
        <v>51</v>
      </c>
      <c r="H127" s="16" t="s">
        <v>52</v>
      </c>
      <c r="I127" s="16" t="s">
        <v>156</v>
      </c>
      <c r="J127" s="17" t="s">
        <v>509</v>
      </c>
      <c r="K127" s="17"/>
      <c r="L127" s="17"/>
      <c r="M127" s="17" t="s">
        <v>1432</v>
      </c>
      <c r="N127" s="17" t="s">
        <v>1070</v>
      </c>
      <c r="O127" s="17" t="s">
        <v>86</v>
      </c>
      <c r="P127" s="17"/>
      <c r="Q127" s="17"/>
      <c r="R127" s="17"/>
      <c r="S127" s="17">
        <f>AVERAGE(45.9*5000,40.3*5000,25*5000)</f>
        <v>185333.33333333334</v>
      </c>
      <c r="T127" s="17">
        <f>AVERAGE(56.6*5000,91.8*5000,35.7*5000)</f>
        <v>306833.33333333331</v>
      </c>
      <c r="U127" s="20">
        <f t="shared" si="10"/>
        <v>1.6555755395683451</v>
      </c>
      <c r="V127" s="22">
        <f t="shared" si="9"/>
        <v>65.557553956834511</v>
      </c>
      <c r="W127" s="17"/>
      <c r="X127" s="17" t="s">
        <v>58</v>
      </c>
      <c r="Y127" s="14">
        <v>2.5</v>
      </c>
      <c r="Z127" s="17" t="s">
        <v>56</v>
      </c>
      <c r="AA127" s="17"/>
      <c r="AB127" s="17" t="s">
        <v>57</v>
      </c>
      <c r="AC127" s="17">
        <v>2009</v>
      </c>
      <c r="AD127" s="17">
        <v>2</v>
      </c>
      <c r="AE127" s="17"/>
      <c r="AF127" s="17"/>
      <c r="AG127" s="17">
        <v>1999</v>
      </c>
      <c r="AH127" s="14">
        <f t="shared" si="6"/>
        <v>10</v>
      </c>
      <c r="AI127" s="17">
        <f t="shared" si="7"/>
        <v>12</v>
      </c>
      <c r="AJ127" s="17"/>
      <c r="AK127" s="17" t="s">
        <v>56</v>
      </c>
      <c r="AL127" s="16" t="s">
        <v>1427</v>
      </c>
      <c r="AM127" s="15">
        <v>2013</v>
      </c>
      <c r="AN127" s="15" t="s">
        <v>1428</v>
      </c>
      <c r="AO127" s="15" t="s">
        <v>56</v>
      </c>
      <c r="AP127" s="15"/>
      <c r="AQ127" s="15" t="s">
        <v>56</v>
      </c>
      <c r="AR127" s="15" t="s">
        <v>58</v>
      </c>
      <c r="AS127" s="15" t="s">
        <v>163</v>
      </c>
      <c r="AT127" s="15" t="s">
        <v>151</v>
      </c>
      <c r="AU127" s="45"/>
      <c r="AV127" s="15"/>
      <c r="AW127" s="12" t="str">
        <f>B127&amp;C127&amp;L127&amp;M127&amp;O127&amp;U127&amp;AL127&amp;AM127</f>
        <v>Solomon IslandsKida, Nusa Hope/Heloro, &amp; Olive Marine Managed Areasharvested fishdensity1.65557553956835Olds2013</v>
      </c>
    </row>
    <row r="128" spans="1:49" ht="14.25" customHeight="1" x14ac:dyDescent="0.35">
      <c r="A128" s="12">
        <v>127</v>
      </c>
      <c r="B128" s="12" t="s">
        <v>1748</v>
      </c>
      <c r="C128" s="12" t="s">
        <v>2713</v>
      </c>
      <c r="D128" s="12" t="s">
        <v>2713</v>
      </c>
      <c r="E128" s="12" t="s">
        <v>1426</v>
      </c>
      <c r="F128" s="13" t="s">
        <v>480</v>
      </c>
      <c r="G128" s="13" t="s">
        <v>51</v>
      </c>
      <c r="H128" s="13" t="s">
        <v>52</v>
      </c>
      <c r="I128" s="13" t="s">
        <v>156</v>
      </c>
      <c r="J128" s="14" t="s">
        <v>509</v>
      </c>
      <c r="K128" s="17"/>
      <c r="L128" s="14"/>
      <c r="M128" s="14" t="s">
        <v>503</v>
      </c>
      <c r="N128" s="14" t="s">
        <v>407</v>
      </c>
      <c r="O128" s="17" t="s">
        <v>86</v>
      </c>
      <c r="P128" s="14"/>
      <c r="Q128" s="14"/>
      <c r="R128" s="14"/>
      <c r="S128" s="14">
        <f>AVERAGE(18.9*5000,11.2*5000,19.4*5000)</f>
        <v>82500</v>
      </c>
      <c r="T128" s="14">
        <f>AVERAGE(13.3*5000,58.2*5000,28.6*5000)</f>
        <v>166833.33333333334</v>
      </c>
      <c r="U128" s="19">
        <f t="shared" si="10"/>
        <v>2.0222222222222221</v>
      </c>
      <c r="V128" s="41">
        <f t="shared" si="9"/>
        <v>102.22222222222221</v>
      </c>
      <c r="W128" s="14"/>
      <c r="X128" s="14" t="s">
        <v>58</v>
      </c>
      <c r="Y128" s="14">
        <v>2.5</v>
      </c>
      <c r="Z128" s="14" t="s">
        <v>56</v>
      </c>
      <c r="AA128" s="14"/>
      <c r="AB128" s="14" t="s">
        <v>57</v>
      </c>
      <c r="AC128" s="14">
        <v>2009</v>
      </c>
      <c r="AD128" s="14">
        <v>2</v>
      </c>
      <c r="AE128" s="14"/>
      <c r="AF128" s="14"/>
      <c r="AG128" s="14">
        <v>1999</v>
      </c>
      <c r="AH128" s="14">
        <f t="shared" si="6"/>
        <v>10</v>
      </c>
      <c r="AI128" s="17">
        <f t="shared" si="7"/>
        <v>12</v>
      </c>
      <c r="AJ128" s="14"/>
      <c r="AK128" s="14" t="s">
        <v>56</v>
      </c>
      <c r="AL128" s="13" t="s">
        <v>1427</v>
      </c>
      <c r="AM128" s="12">
        <v>2013</v>
      </c>
      <c r="AN128" s="12" t="s">
        <v>1428</v>
      </c>
      <c r="AO128" s="12" t="s">
        <v>56</v>
      </c>
      <c r="AP128" s="12"/>
      <c r="AQ128" s="12" t="s">
        <v>56</v>
      </c>
      <c r="AR128" s="12" t="s">
        <v>58</v>
      </c>
      <c r="AS128" s="12" t="s">
        <v>163</v>
      </c>
      <c r="AT128" s="12" t="s">
        <v>151</v>
      </c>
      <c r="AU128" s="45"/>
      <c r="AV128" s="15"/>
      <c r="AW128" s="12" t="str">
        <f>B128&amp;C128&amp;L128&amp;M128&amp;O128&amp;U128&amp;AL128&amp;AM128</f>
        <v>Solomon IslandsKida, Nusa Hope/Heloro, &amp; Olive Marine Managed Areasherbivoresdensity2.02222222222222Olds2013</v>
      </c>
    </row>
    <row r="129" spans="1:49" ht="14.25" customHeight="1" x14ac:dyDescent="0.35">
      <c r="A129" s="12">
        <v>128</v>
      </c>
      <c r="B129" s="12" t="s">
        <v>1748</v>
      </c>
      <c r="C129" s="12" t="s">
        <v>2713</v>
      </c>
      <c r="D129" s="12" t="s">
        <v>2713</v>
      </c>
      <c r="E129" s="12" t="s">
        <v>1426</v>
      </c>
      <c r="F129" s="13" t="s">
        <v>480</v>
      </c>
      <c r="G129" s="13" t="s">
        <v>51</v>
      </c>
      <c r="H129" s="13" t="s">
        <v>52</v>
      </c>
      <c r="I129" s="13" t="s">
        <v>156</v>
      </c>
      <c r="J129" s="14" t="s">
        <v>509</v>
      </c>
      <c r="K129" s="17"/>
      <c r="L129" s="14"/>
      <c r="M129" s="14" t="s">
        <v>1433</v>
      </c>
      <c r="N129" s="14" t="s">
        <v>407</v>
      </c>
      <c r="O129" s="17" t="s">
        <v>86</v>
      </c>
      <c r="P129" s="14"/>
      <c r="Q129" s="14"/>
      <c r="R129" s="14"/>
      <c r="S129" s="14">
        <f>AVERAGE(11.8*5000,14.8*5000,1.6*5000)</f>
        <v>47000</v>
      </c>
      <c r="T129" s="14">
        <f>AVERAGE(19.9*5000,24.5*5000,4.6*5000)</f>
        <v>81666.666666666672</v>
      </c>
      <c r="U129" s="19">
        <f t="shared" si="10"/>
        <v>1.7375886524822697</v>
      </c>
      <c r="V129" s="41">
        <f t="shared" si="9"/>
        <v>73.758865248226968</v>
      </c>
      <c r="W129" s="14"/>
      <c r="X129" s="14" t="s">
        <v>58</v>
      </c>
      <c r="Y129" s="14">
        <v>2.5</v>
      </c>
      <c r="Z129" s="14" t="s">
        <v>56</v>
      </c>
      <c r="AA129" s="14"/>
      <c r="AB129" s="14" t="s">
        <v>57</v>
      </c>
      <c r="AC129" s="14">
        <v>2009</v>
      </c>
      <c r="AD129" s="14">
        <v>2</v>
      </c>
      <c r="AE129" s="14"/>
      <c r="AF129" s="14"/>
      <c r="AG129" s="14">
        <v>1999</v>
      </c>
      <c r="AH129" s="14">
        <f t="shared" si="6"/>
        <v>10</v>
      </c>
      <c r="AI129" s="17">
        <f t="shared" si="7"/>
        <v>12</v>
      </c>
      <c r="AJ129" s="14"/>
      <c r="AK129" s="14" t="s">
        <v>56</v>
      </c>
      <c r="AL129" s="13" t="s">
        <v>1427</v>
      </c>
      <c r="AM129" s="12">
        <v>2013</v>
      </c>
      <c r="AN129" s="12" t="s">
        <v>1428</v>
      </c>
      <c r="AO129" s="12" t="s">
        <v>56</v>
      </c>
      <c r="AP129" s="12"/>
      <c r="AQ129" s="12" t="s">
        <v>56</v>
      </c>
      <c r="AR129" s="12" t="s">
        <v>58</v>
      </c>
      <c r="AS129" s="12" t="s">
        <v>163</v>
      </c>
      <c r="AT129" s="12" t="s">
        <v>151</v>
      </c>
      <c r="AU129" s="45"/>
      <c r="AV129" s="15"/>
      <c r="AW129" s="12" t="str">
        <f>B129&amp;C129&amp;L129&amp;M129&amp;O129&amp;U129&amp;AL129&amp;AM129</f>
        <v>Solomon IslandsKida, Nusa Hope/Heloro, &amp; Olive Marine Managed Areaspiscivoresdensity1.73758865248227Olds2013</v>
      </c>
    </row>
    <row r="130" spans="1:49" ht="14.25" customHeight="1" x14ac:dyDescent="0.35">
      <c r="A130" s="12">
        <v>129</v>
      </c>
      <c r="B130" s="12" t="s">
        <v>1748</v>
      </c>
      <c r="C130" s="12" t="s">
        <v>2713</v>
      </c>
      <c r="D130" s="12" t="s">
        <v>2713</v>
      </c>
      <c r="E130" s="12" t="s">
        <v>1426</v>
      </c>
      <c r="F130" s="13" t="s">
        <v>480</v>
      </c>
      <c r="G130" s="13" t="s">
        <v>51</v>
      </c>
      <c r="H130" s="13" t="s">
        <v>52</v>
      </c>
      <c r="I130" s="13" t="s">
        <v>156</v>
      </c>
      <c r="J130" s="14" t="s">
        <v>509</v>
      </c>
      <c r="K130" s="17"/>
      <c r="L130" s="14"/>
      <c r="M130" s="14" t="s">
        <v>463</v>
      </c>
      <c r="N130" s="17" t="s">
        <v>1070</v>
      </c>
      <c r="O130" s="17" t="s">
        <v>55</v>
      </c>
      <c r="P130" s="14"/>
      <c r="Q130" s="14"/>
      <c r="R130" s="14"/>
      <c r="S130" s="14">
        <f>AVERAGE(15.3*5000,12.2*5000,10.25*5000)</f>
        <v>62916.666666666664</v>
      </c>
      <c r="T130" s="14">
        <f>AVERAGE(18.4*5000,17.9*5000,11.2*5000)</f>
        <v>79166.666666666672</v>
      </c>
      <c r="U130" s="19">
        <f t="shared" si="10"/>
        <v>1.2582781456953644</v>
      </c>
      <c r="V130" s="41">
        <f t="shared" si="9"/>
        <v>25.827814569536443</v>
      </c>
      <c r="W130" s="14"/>
      <c r="X130" s="14" t="s">
        <v>58</v>
      </c>
      <c r="Y130" s="14">
        <v>2.5</v>
      </c>
      <c r="Z130" s="14" t="s">
        <v>56</v>
      </c>
      <c r="AA130" s="14"/>
      <c r="AB130" s="14" t="s">
        <v>57</v>
      </c>
      <c r="AC130" s="14">
        <v>2009</v>
      </c>
      <c r="AD130" s="14">
        <v>2</v>
      </c>
      <c r="AE130" s="14"/>
      <c r="AF130" s="14"/>
      <c r="AG130" s="14">
        <v>1999</v>
      </c>
      <c r="AH130" s="14">
        <f t="shared" ref="AH130:AH193" si="11">IF(OR(AG130="NA",AC130="NA"),"NA",IF(OR(AC130="",AG130=""), "", AC130-AG130))</f>
        <v>10</v>
      </c>
      <c r="AI130" s="17">
        <f t="shared" ref="AI130:AI193" si="12">IF(AH130="NA", "NA",IF(OR(AH130="",AND(AD130="",AE130="")), "",AH130+AD130+AE130/12))</f>
        <v>12</v>
      </c>
      <c r="AJ130" s="14"/>
      <c r="AK130" s="14" t="s">
        <v>56</v>
      </c>
      <c r="AL130" s="13" t="s">
        <v>1427</v>
      </c>
      <c r="AM130" s="12">
        <v>2013</v>
      </c>
      <c r="AN130" s="12" t="s">
        <v>1428</v>
      </c>
      <c r="AO130" s="12" t="s">
        <v>56</v>
      </c>
      <c r="AP130" s="12"/>
      <c r="AQ130" s="12" t="s">
        <v>56</v>
      </c>
      <c r="AR130" s="12" t="s">
        <v>58</v>
      </c>
      <c r="AS130" s="12" t="s">
        <v>163</v>
      </c>
      <c r="AT130" s="12" t="s">
        <v>151</v>
      </c>
      <c r="AU130" s="45"/>
      <c r="AV130" s="15"/>
      <c r="AW130" s="12" t="str">
        <f>B130&amp;C130&amp;L130&amp;M130&amp;O130&amp;U130&amp;AL130&amp;AM130</f>
        <v>Solomon IslandsKida, Nusa Hope/Heloro, &amp; Olive Marine Managed AreasReef-associated Fishrichness1.25827814569536Olds2013</v>
      </c>
    </row>
    <row r="131" spans="1:49" ht="14.25" customHeight="1" x14ac:dyDescent="0.35">
      <c r="A131" s="12">
        <v>130</v>
      </c>
      <c r="B131" s="15" t="s">
        <v>66</v>
      </c>
      <c r="C131" s="43" t="s">
        <v>1501</v>
      </c>
      <c r="D131" s="15" t="s">
        <v>888</v>
      </c>
      <c r="E131" s="15" t="s">
        <v>1426</v>
      </c>
      <c r="F131" s="13" t="s">
        <v>480</v>
      </c>
      <c r="G131" s="13" t="s">
        <v>51</v>
      </c>
      <c r="H131" s="16" t="s">
        <v>52</v>
      </c>
      <c r="I131" s="16" t="s">
        <v>156</v>
      </c>
      <c r="J131" s="17"/>
      <c r="K131" s="17">
        <v>46</v>
      </c>
      <c r="L131" s="17" t="s">
        <v>627</v>
      </c>
      <c r="M131" s="17" t="s">
        <v>628</v>
      </c>
      <c r="N131" s="17" t="s">
        <v>170</v>
      </c>
      <c r="O131" s="17" t="s">
        <v>86</v>
      </c>
      <c r="P131" s="17"/>
      <c r="Q131" s="17"/>
      <c r="R131" s="17"/>
      <c r="S131" s="17">
        <f>AVERAGE(0.8*5000,12.8*5000,2.4*5000)</f>
        <v>26666.666666666668</v>
      </c>
      <c r="T131" s="17">
        <f>AVERAGE(19.1*5000,17.1*5000,2.8*5000)</f>
        <v>65000</v>
      </c>
      <c r="U131" s="20">
        <f t="shared" si="10"/>
        <v>2.4375</v>
      </c>
      <c r="V131" s="22">
        <f t="shared" si="9"/>
        <v>143.75</v>
      </c>
      <c r="W131" s="17"/>
      <c r="X131" s="17" t="s">
        <v>56</v>
      </c>
      <c r="Z131" s="17" t="s">
        <v>56</v>
      </c>
      <c r="AA131" s="17"/>
      <c r="AB131" s="17" t="s">
        <v>57</v>
      </c>
      <c r="AC131" s="17">
        <v>2009</v>
      </c>
      <c r="AD131" s="17">
        <v>2</v>
      </c>
      <c r="AE131" s="17"/>
      <c r="AF131" s="17"/>
      <c r="AG131" s="17">
        <v>1987</v>
      </c>
      <c r="AH131" s="14">
        <f t="shared" si="11"/>
        <v>22</v>
      </c>
      <c r="AI131" s="17">
        <f t="shared" si="12"/>
        <v>24</v>
      </c>
      <c r="AJ131" s="17"/>
      <c r="AK131" s="17" t="s">
        <v>56</v>
      </c>
      <c r="AL131" s="16" t="s">
        <v>1427</v>
      </c>
      <c r="AM131" s="15">
        <v>2013</v>
      </c>
      <c r="AN131" s="15" t="s">
        <v>1428</v>
      </c>
      <c r="AO131" s="15" t="s">
        <v>56</v>
      </c>
      <c r="AP131" s="15"/>
      <c r="AQ131" s="15" t="s">
        <v>56</v>
      </c>
      <c r="AR131" s="15" t="s">
        <v>58</v>
      </c>
      <c r="AS131" s="15" t="s">
        <v>163</v>
      </c>
      <c r="AT131" s="15" t="s">
        <v>151</v>
      </c>
      <c r="AU131" s="45" t="s">
        <v>2690</v>
      </c>
      <c r="AV131" s="15"/>
      <c r="AW131" s="12" t="str">
        <f>B131&amp;C131&amp;L131&amp;M131&amp;O131&amp;U131&amp;AL131&amp;AM131</f>
        <v>AustraliaOrpheus Island Marine National ParkLutjanidaesnappersdensity2.4375Olds2013</v>
      </c>
    </row>
    <row r="132" spans="1:49" ht="14.25" customHeight="1" x14ac:dyDescent="0.35">
      <c r="A132" s="12">
        <v>131</v>
      </c>
      <c r="B132" s="12" t="s">
        <v>66</v>
      </c>
      <c r="C132" s="44" t="s">
        <v>1501</v>
      </c>
      <c r="D132" s="12" t="s">
        <v>888</v>
      </c>
      <c r="E132" s="12" t="s">
        <v>1426</v>
      </c>
      <c r="F132" s="13" t="s">
        <v>480</v>
      </c>
      <c r="G132" s="13" t="s">
        <v>51</v>
      </c>
      <c r="H132" s="13" t="s">
        <v>52</v>
      </c>
      <c r="I132" s="13" t="s">
        <v>156</v>
      </c>
      <c r="K132" s="17">
        <v>46</v>
      </c>
      <c r="L132" s="14" t="s">
        <v>631</v>
      </c>
      <c r="M132" s="14" t="s">
        <v>1411</v>
      </c>
      <c r="N132" s="14" t="s">
        <v>170</v>
      </c>
      <c r="O132" s="17" t="s">
        <v>86</v>
      </c>
      <c r="P132" s="14"/>
      <c r="Q132" s="14"/>
      <c r="R132" s="14"/>
      <c r="S132" s="14">
        <f>AVERAGE(6.1*5000,8.5*5000,4.9*5000)</f>
        <v>32500</v>
      </c>
      <c r="T132" s="14">
        <f>AVERAGE(15.4*5000,17.5*5000,4.9*5000)</f>
        <v>63000</v>
      </c>
      <c r="U132" s="19">
        <f t="shared" si="10"/>
        <v>1.9384615384615385</v>
      </c>
      <c r="V132" s="41">
        <f t="shared" ref="V132:V195" si="13">IFERROR(IF(U132 = "", "",(U132-1)*100),"N/A")</f>
        <v>93.84615384615384</v>
      </c>
      <c r="W132" s="14"/>
      <c r="X132" s="14" t="s">
        <v>56</v>
      </c>
      <c r="Z132" s="14" t="s">
        <v>56</v>
      </c>
      <c r="AA132" s="14"/>
      <c r="AB132" s="14" t="s">
        <v>57</v>
      </c>
      <c r="AC132" s="14">
        <v>2009</v>
      </c>
      <c r="AD132" s="14">
        <v>2</v>
      </c>
      <c r="AE132" s="14"/>
      <c r="AF132" s="14"/>
      <c r="AG132" s="14">
        <v>1987</v>
      </c>
      <c r="AH132" s="14">
        <f t="shared" si="11"/>
        <v>22</v>
      </c>
      <c r="AI132" s="17">
        <f t="shared" si="12"/>
        <v>24</v>
      </c>
      <c r="AJ132" s="14"/>
      <c r="AK132" s="14" t="s">
        <v>56</v>
      </c>
      <c r="AL132" s="13" t="s">
        <v>1427</v>
      </c>
      <c r="AM132" s="12">
        <v>2013</v>
      </c>
      <c r="AN132" s="12" t="s">
        <v>1428</v>
      </c>
      <c r="AO132" s="12" t="s">
        <v>56</v>
      </c>
      <c r="AP132" s="12"/>
      <c r="AQ132" s="12" t="s">
        <v>56</v>
      </c>
      <c r="AR132" s="12" t="s">
        <v>58</v>
      </c>
      <c r="AS132" s="12" t="s">
        <v>163</v>
      </c>
      <c r="AT132" s="12" t="s">
        <v>151</v>
      </c>
      <c r="AU132" s="45" t="s">
        <v>2690</v>
      </c>
      <c r="AV132" s="15"/>
      <c r="AW132" s="12" t="str">
        <f>B132&amp;C132&amp;L132&amp;M132&amp;O132&amp;U132&amp;AL132&amp;AM132</f>
        <v>AustraliaOrpheus Island Marine National ParkSiganidaerabbitfishdensity1.93846153846154Olds2013</v>
      </c>
    </row>
    <row r="133" spans="1:49" ht="14.25" customHeight="1" x14ac:dyDescent="0.35">
      <c r="A133" s="12">
        <v>132</v>
      </c>
      <c r="B133" s="15" t="s">
        <v>66</v>
      </c>
      <c r="C133" s="43" t="s">
        <v>1501</v>
      </c>
      <c r="D133" s="15" t="s">
        <v>888</v>
      </c>
      <c r="E133" s="15" t="s">
        <v>1426</v>
      </c>
      <c r="F133" s="13" t="s">
        <v>480</v>
      </c>
      <c r="G133" s="13" t="s">
        <v>51</v>
      </c>
      <c r="H133" s="16" t="s">
        <v>52</v>
      </c>
      <c r="I133" s="16" t="s">
        <v>156</v>
      </c>
      <c r="J133" s="17"/>
      <c r="K133" s="17">
        <v>46</v>
      </c>
      <c r="L133" s="17" t="s">
        <v>541</v>
      </c>
      <c r="M133" s="17" t="s">
        <v>1430</v>
      </c>
      <c r="N133" s="17" t="s">
        <v>170</v>
      </c>
      <c r="O133" s="17" t="s">
        <v>86</v>
      </c>
      <c r="P133" s="17"/>
      <c r="Q133" s="17"/>
      <c r="R133" s="17"/>
      <c r="S133" s="17">
        <f>AVERAGE(0.4*5000,1.2*5000,0.1*5000)</f>
        <v>2833.3333333333335</v>
      </c>
      <c r="T133" s="17">
        <f>AVERAGE(6.5*5000,3.7*5000,0.1*5000)</f>
        <v>17166.666666666668</v>
      </c>
      <c r="U133" s="20">
        <f t="shared" si="10"/>
        <v>6.0588235294117645</v>
      </c>
      <c r="V133" s="22">
        <f t="shared" si="13"/>
        <v>505.88235294117646</v>
      </c>
      <c r="W133" s="17"/>
      <c r="X133" s="17" t="s">
        <v>56</v>
      </c>
      <c r="Z133" s="17" t="s">
        <v>56</v>
      </c>
      <c r="AA133" s="17"/>
      <c r="AB133" s="17" t="s">
        <v>57</v>
      </c>
      <c r="AC133" s="17">
        <v>2009</v>
      </c>
      <c r="AD133" s="17">
        <v>2</v>
      </c>
      <c r="AE133" s="17"/>
      <c r="AF133" s="17"/>
      <c r="AG133" s="17">
        <v>1987</v>
      </c>
      <c r="AH133" s="14">
        <f t="shared" si="11"/>
        <v>22</v>
      </c>
      <c r="AI133" s="17">
        <f t="shared" si="12"/>
        <v>24</v>
      </c>
      <c r="AJ133" s="17"/>
      <c r="AK133" s="17" t="s">
        <v>56</v>
      </c>
      <c r="AL133" s="16" t="s">
        <v>1427</v>
      </c>
      <c r="AM133" s="15">
        <v>2013</v>
      </c>
      <c r="AN133" s="15" t="s">
        <v>1428</v>
      </c>
      <c r="AO133" s="15" t="s">
        <v>56</v>
      </c>
      <c r="AP133" s="15"/>
      <c r="AQ133" s="15" t="s">
        <v>56</v>
      </c>
      <c r="AR133" s="15" t="s">
        <v>58</v>
      </c>
      <c r="AS133" s="15" t="s">
        <v>163</v>
      </c>
      <c r="AT133" s="15" t="s">
        <v>151</v>
      </c>
      <c r="AU133" s="45" t="s">
        <v>2690</v>
      </c>
      <c r="AV133" s="15"/>
      <c r="AW133" s="12" t="str">
        <f>B133&amp;C133&amp;L133&amp;M133&amp;O133&amp;U133&amp;AL133&amp;AM133</f>
        <v>AustraliaOrpheus Island Marine National ParkSparidaebreamdensity6.05882352941176Olds2013</v>
      </c>
    </row>
    <row r="134" spans="1:49" ht="14.25" customHeight="1" x14ac:dyDescent="0.35">
      <c r="A134" s="12">
        <v>133</v>
      </c>
      <c r="B134" s="12" t="s">
        <v>66</v>
      </c>
      <c r="C134" s="44" t="s">
        <v>1501</v>
      </c>
      <c r="D134" s="12" t="s">
        <v>888</v>
      </c>
      <c r="E134" s="12" t="s">
        <v>1426</v>
      </c>
      <c r="F134" s="13" t="s">
        <v>480</v>
      </c>
      <c r="G134" s="13" t="s">
        <v>51</v>
      </c>
      <c r="H134" s="13" t="s">
        <v>52</v>
      </c>
      <c r="I134" s="13" t="s">
        <v>156</v>
      </c>
      <c r="K134" s="17">
        <v>46</v>
      </c>
      <c r="L134" s="14" t="s">
        <v>695</v>
      </c>
      <c r="M134" s="14" t="s">
        <v>1431</v>
      </c>
      <c r="N134" s="14" t="s">
        <v>120</v>
      </c>
      <c r="O134" s="14" t="s">
        <v>86</v>
      </c>
      <c r="P134" s="14"/>
      <c r="Q134" s="14"/>
      <c r="R134" s="14"/>
      <c r="S134" s="14">
        <f>AVERAGE(0.4*5000,1.6*5000,1.2*5000)</f>
        <v>5333.333333333333</v>
      </c>
      <c r="T134" s="14">
        <f>AVERAGE(2.4*5000,9.3*5000,0.8*5000)</f>
        <v>20833.333333333332</v>
      </c>
      <c r="U134" s="19">
        <f t="shared" si="10"/>
        <v>3.90625</v>
      </c>
      <c r="V134" s="41">
        <f t="shared" si="13"/>
        <v>290.625</v>
      </c>
      <c r="W134" s="14"/>
      <c r="X134" s="14" t="s">
        <v>56</v>
      </c>
      <c r="Z134" s="14" t="s">
        <v>56</v>
      </c>
      <c r="AA134" s="14"/>
      <c r="AB134" s="14" t="s">
        <v>57</v>
      </c>
      <c r="AC134" s="14">
        <v>2009</v>
      </c>
      <c r="AD134" s="14">
        <v>2</v>
      </c>
      <c r="AE134" s="14"/>
      <c r="AF134" s="14"/>
      <c r="AG134" s="14">
        <v>1987</v>
      </c>
      <c r="AH134" s="14">
        <f t="shared" si="11"/>
        <v>22</v>
      </c>
      <c r="AI134" s="17">
        <f t="shared" si="12"/>
        <v>24</v>
      </c>
      <c r="AJ134" s="14"/>
      <c r="AK134" s="14" t="s">
        <v>56</v>
      </c>
      <c r="AL134" s="13" t="s">
        <v>1427</v>
      </c>
      <c r="AM134" s="12">
        <v>2013</v>
      </c>
      <c r="AN134" s="12" t="s">
        <v>1428</v>
      </c>
      <c r="AO134" s="12" t="s">
        <v>56</v>
      </c>
      <c r="AP134" s="12"/>
      <c r="AQ134" s="12" t="s">
        <v>56</v>
      </c>
      <c r="AR134" s="12" t="s">
        <v>58</v>
      </c>
      <c r="AS134" s="12" t="s">
        <v>163</v>
      </c>
      <c r="AT134" s="12" t="s">
        <v>151</v>
      </c>
      <c r="AU134" s="45" t="s">
        <v>2690</v>
      </c>
      <c r="AV134" s="15"/>
      <c r="AW134" s="12" t="str">
        <f>B134&amp;C134&amp;L134&amp;M134&amp;O134&amp;U134&amp;AL134&amp;AM134</f>
        <v>AustraliaOrpheus Island Marine National ParkHaemulidaesweetlipdensity3.90625Olds2013</v>
      </c>
    </row>
    <row r="135" spans="1:49" ht="14.25" customHeight="1" x14ac:dyDescent="0.35">
      <c r="A135" s="12">
        <v>134</v>
      </c>
      <c r="B135" s="12" t="s">
        <v>66</v>
      </c>
      <c r="C135" s="44" t="s">
        <v>1501</v>
      </c>
      <c r="D135" s="12" t="s">
        <v>888</v>
      </c>
      <c r="E135" s="12" t="s">
        <v>1426</v>
      </c>
      <c r="F135" s="13" t="s">
        <v>480</v>
      </c>
      <c r="G135" s="13" t="s">
        <v>51</v>
      </c>
      <c r="H135" s="13" t="s">
        <v>52</v>
      </c>
      <c r="I135" s="13" t="s">
        <v>156</v>
      </c>
      <c r="K135" s="17">
        <v>46</v>
      </c>
      <c r="L135" s="14"/>
      <c r="M135" s="14" t="s">
        <v>1432</v>
      </c>
      <c r="N135" s="17" t="s">
        <v>1070</v>
      </c>
      <c r="O135" s="14" t="s">
        <v>86</v>
      </c>
      <c r="P135" s="14"/>
      <c r="Q135" s="14"/>
      <c r="R135" s="14"/>
      <c r="S135" s="14">
        <f>AVERAGE(8.9*5000,17.9*5000,4.8*5000)</f>
        <v>52666.666666666664</v>
      </c>
      <c r="T135" s="14">
        <f>AVERAGE(47.5*5000,34.6*5000,6.1*5000)</f>
        <v>147000</v>
      </c>
      <c r="U135" s="19">
        <f t="shared" si="10"/>
        <v>2.7911392405063293</v>
      </c>
      <c r="V135" s="41">
        <f t="shared" si="13"/>
        <v>179.11392405063293</v>
      </c>
      <c r="W135" s="14"/>
      <c r="X135" s="14" t="s">
        <v>56</v>
      </c>
      <c r="Z135" s="14" t="s">
        <v>56</v>
      </c>
      <c r="AA135" s="14"/>
      <c r="AB135" s="14" t="s">
        <v>57</v>
      </c>
      <c r="AC135" s="14">
        <v>2009</v>
      </c>
      <c r="AD135" s="14">
        <v>2</v>
      </c>
      <c r="AE135" s="14"/>
      <c r="AF135" s="14"/>
      <c r="AG135" s="14">
        <v>1987</v>
      </c>
      <c r="AH135" s="14">
        <f t="shared" si="11"/>
        <v>22</v>
      </c>
      <c r="AI135" s="17">
        <f t="shared" si="12"/>
        <v>24</v>
      </c>
      <c r="AJ135" s="14"/>
      <c r="AK135" s="14" t="s">
        <v>56</v>
      </c>
      <c r="AL135" s="13" t="s">
        <v>1427</v>
      </c>
      <c r="AM135" s="12">
        <v>2013</v>
      </c>
      <c r="AN135" s="12" t="s">
        <v>1428</v>
      </c>
      <c r="AO135" s="12" t="s">
        <v>56</v>
      </c>
      <c r="AP135" s="12"/>
      <c r="AQ135" s="12" t="s">
        <v>56</v>
      </c>
      <c r="AR135" s="12" t="s">
        <v>58</v>
      </c>
      <c r="AS135" s="12" t="s">
        <v>163</v>
      </c>
      <c r="AT135" s="12" t="s">
        <v>151</v>
      </c>
      <c r="AU135" s="45" t="s">
        <v>2690</v>
      </c>
      <c r="AV135" s="15"/>
      <c r="AW135" s="12" t="str">
        <f>B135&amp;C135&amp;L135&amp;M135&amp;O135&amp;U135&amp;AL135&amp;AM135</f>
        <v>AustraliaOrpheus Island Marine National Parkharvested fishdensity2.79113924050633Olds2013</v>
      </c>
    </row>
    <row r="136" spans="1:49" ht="14.25" customHeight="1" x14ac:dyDescent="0.35">
      <c r="A136" s="12">
        <v>135</v>
      </c>
      <c r="B136" s="15" t="s">
        <v>66</v>
      </c>
      <c r="C136" s="43" t="s">
        <v>1501</v>
      </c>
      <c r="D136" s="15" t="s">
        <v>888</v>
      </c>
      <c r="E136" s="15" t="s">
        <v>1426</v>
      </c>
      <c r="F136" s="13" t="s">
        <v>480</v>
      </c>
      <c r="G136" s="13" t="s">
        <v>51</v>
      </c>
      <c r="H136" s="16" t="s">
        <v>52</v>
      </c>
      <c r="I136" s="16" t="s">
        <v>156</v>
      </c>
      <c r="J136" s="17"/>
      <c r="K136" s="17">
        <v>46</v>
      </c>
      <c r="L136" s="17"/>
      <c r="M136" s="17" t="s">
        <v>503</v>
      </c>
      <c r="N136" s="17" t="s">
        <v>407</v>
      </c>
      <c r="O136" s="17" t="s">
        <v>86</v>
      </c>
      <c r="P136" s="17"/>
      <c r="Q136" s="17"/>
      <c r="R136" s="17"/>
      <c r="S136" s="17">
        <f>AVERAGE(11.4*5000,21.1*5000,17.1*5000)</f>
        <v>82666.666666666672</v>
      </c>
      <c r="T136" s="17">
        <f>AVERAGE(20*5000,37*5000,18.7*5000)</f>
        <v>126166.66666666667</v>
      </c>
      <c r="U136" s="20">
        <f t="shared" si="10"/>
        <v>1.5262096774193548</v>
      </c>
      <c r="V136" s="22">
        <f t="shared" si="13"/>
        <v>52.620967741935473</v>
      </c>
      <c r="W136" s="17"/>
      <c r="X136" s="17" t="s">
        <v>56</v>
      </c>
      <c r="Z136" s="17" t="s">
        <v>56</v>
      </c>
      <c r="AA136" s="17"/>
      <c r="AB136" s="17" t="s">
        <v>57</v>
      </c>
      <c r="AC136" s="17">
        <v>2009</v>
      </c>
      <c r="AD136" s="17">
        <v>2</v>
      </c>
      <c r="AE136" s="17"/>
      <c r="AF136" s="17"/>
      <c r="AG136" s="17">
        <v>1987</v>
      </c>
      <c r="AH136" s="14">
        <f t="shared" si="11"/>
        <v>22</v>
      </c>
      <c r="AI136" s="17">
        <f t="shared" si="12"/>
        <v>24</v>
      </c>
      <c r="AJ136" s="17"/>
      <c r="AK136" s="17" t="s">
        <v>56</v>
      </c>
      <c r="AL136" s="16" t="s">
        <v>1427</v>
      </c>
      <c r="AM136" s="15">
        <v>2013</v>
      </c>
      <c r="AN136" s="15" t="s">
        <v>1428</v>
      </c>
      <c r="AO136" s="15" t="s">
        <v>56</v>
      </c>
      <c r="AP136" s="15"/>
      <c r="AQ136" s="15" t="s">
        <v>56</v>
      </c>
      <c r="AR136" s="15" t="s">
        <v>58</v>
      </c>
      <c r="AS136" s="15" t="s">
        <v>163</v>
      </c>
      <c r="AT136" s="15" t="s">
        <v>151</v>
      </c>
      <c r="AU136" s="45" t="s">
        <v>2690</v>
      </c>
      <c r="AV136" s="15"/>
      <c r="AW136" s="12" t="str">
        <f>B136&amp;C136&amp;L136&amp;M136&amp;O136&amp;U136&amp;AL136&amp;AM136</f>
        <v>AustraliaOrpheus Island Marine National Parkherbivoresdensity1.52620967741935Olds2013</v>
      </c>
    </row>
    <row r="137" spans="1:49" ht="14.25" customHeight="1" x14ac:dyDescent="0.35">
      <c r="A137" s="12">
        <v>136</v>
      </c>
      <c r="B137" s="15" t="s">
        <v>66</v>
      </c>
      <c r="C137" s="43" t="s">
        <v>1501</v>
      </c>
      <c r="D137" s="15" t="s">
        <v>888</v>
      </c>
      <c r="E137" s="15" t="s">
        <v>1426</v>
      </c>
      <c r="F137" s="13" t="s">
        <v>480</v>
      </c>
      <c r="G137" s="13" t="s">
        <v>51</v>
      </c>
      <c r="H137" s="16" t="s">
        <v>52</v>
      </c>
      <c r="I137" s="16" t="s">
        <v>156</v>
      </c>
      <c r="J137" s="17"/>
      <c r="K137" s="17">
        <v>46</v>
      </c>
      <c r="L137" s="17"/>
      <c r="M137" s="17" t="s">
        <v>1433</v>
      </c>
      <c r="N137" s="17" t="s">
        <v>407</v>
      </c>
      <c r="O137" s="17" t="s">
        <v>86</v>
      </c>
      <c r="P137" s="17"/>
      <c r="Q137" s="17"/>
      <c r="R137" s="17"/>
      <c r="S137" s="17">
        <f>AVERAGE(1.6*5000,14.2*5000,3.3*5000)</f>
        <v>31833.333333333332</v>
      </c>
      <c r="T137" s="17">
        <f>AVERAGE(29.3*5000,22*5000,4*5000)</f>
        <v>92166.666666666672</v>
      </c>
      <c r="U137" s="20">
        <f t="shared" si="10"/>
        <v>2.8952879581151834</v>
      </c>
      <c r="V137" s="22">
        <f t="shared" si="13"/>
        <v>189.52879581151834</v>
      </c>
      <c r="W137" s="17"/>
      <c r="X137" s="17" t="s">
        <v>56</v>
      </c>
      <c r="Z137" s="17" t="s">
        <v>56</v>
      </c>
      <c r="AA137" s="17"/>
      <c r="AB137" s="17" t="s">
        <v>57</v>
      </c>
      <c r="AC137" s="17">
        <v>2009</v>
      </c>
      <c r="AD137" s="17">
        <v>2</v>
      </c>
      <c r="AE137" s="17"/>
      <c r="AF137" s="17"/>
      <c r="AG137" s="17">
        <v>1987</v>
      </c>
      <c r="AH137" s="14">
        <f t="shared" si="11"/>
        <v>22</v>
      </c>
      <c r="AI137" s="17">
        <f t="shared" si="12"/>
        <v>24</v>
      </c>
      <c r="AJ137" s="17"/>
      <c r="AK137" s="17" t="s">
        <v>56</v>
      </c>
      <c r="AL137" s="16" t="s">
        <v>1427</v>
      </c>
      <c r="AM137" s="15">
        <v>2013</v>
      </c>
      <c r="AN137" s="15" t="s">
        <v>1428</v>
      </c>
      <c r="AO137" s="15" t="s">
        <v>56</v>
      </c>
      <c r="AP137" s="15"/>
      <c r="AQ137" s="15" t="s">
        <v>56</v>
      </c>
      <c r="AR137" s="15" t="s">
        <v>58</v>
      </c>
      <c r="AS137" s="15" t="s">
        <v>163</v>
      </c>
      <c r="AT137" s="15" t="s">
        <v>151</v>
      </c>
      <c r="AU137" s="45" t="s">
        <v>2690</v>
      </c>
      <c r="AV137" s="15"/>
      <c r="AW137" s="12" t="str">
        <f>B137&amp;C137&amp;L137&amp;M137&amp;O137&amp;U137&amp;AL137&amp;AM137</f>
        <v>AustraliaOrpheus Island Marine National Parkpiscivoresdensity2.89528795811518Olds2013</v>
      </c>
    </row>
    <row r="138" spans="1:49" ht="14.25" customHeight="1" x14ac:dyDescent="0.35">
      <c r="A138" s="12">
        <v>137</v>
      </c>
      <c r="B138" s="12" t="s">
        <v>66</v>
      </c>
      <c r="C138" s="44" t="s">
        <v>1501</v>
      </c>
      <c r="D138" s="12" t="s">
        <v>888</v>
      </c>
      <c r="E138" s="12" t="s">
        <v>1426</v>
      </c>
      <c r="F138" s="13" t="s">
        <v>480</v>
      </c>
      <c r="G138" s="13" t="s">
        <v>51</v>
      </c>
      <c r="H138" s="13" t="s">
        <v>52</v>
      </c>
      <c r="I138" s="13" t="s">
        <v>156</v>
      </c>
      <c r="K138" s="17">
        <v>46</v>
      </c>
      <c r="L138" s="14"/>
      <c r="M138" s="14" t="s">
        <v>463</v>
      </c>
      <c r="N138" s="17" t="s">
        <v>1070</v>
      </c>
      <c r="O138" s="17" t="s">
        <v>55</v>
      </c>
      <c r="P138" s="14"/>
      <c r="Q138" s="14"/>
      <c r="R138" s="14"/>
      <c r="S138" s="14">
        <f>AVERAGE(7.3*5000,18.3*5000,15.9*5000)</f>
        <v>69166.666666666672</v>
      </c>
      <c r="T138" s="14">
        <f>AVERAGE(13*5000,24.4*5000,17.1*5000)</f>
        <v>90833.333333333328</v>
      </c>
      <c r="U138" s="19">
        <f t="shared" ref="U138:U169" si="14">IFERROR(IF(AND(Q138="",R138="",S138="",T138=""),"",IF(AND(Q138&lt;&gt;"",R138&lt;&gt;"",S138&lt;&gt;"",T138&lt;&gt;""),(T138/R138)/(S138/Q138),IF(AND(Q138&lt;&gt;"",R138&lt;&gt;""),R138/Q138,IF(AND(S138&lt;&gt;"",T138&lt;&gt;""),T138/S138,IF(AND(Q138&lt;&gt;"",S138&lt;&gt;""),Q138/S138,IF(AND(R138&lt;&gt;"",T138&lt;&gt;""),T138/R138)))))), "N/A")</f>
        <v>1.3132530120481927</v>
      </c>
      <c r="V138" s="41">
        <f t="shared" si="13"/>
        <v>31.325301204819269</v>
      </c>
      <c r="W138" s="14"/>
      <c r="X138" s="14" t="s">
        <v>56</v>
      </c>
      <c r="Z138" s="14" t="s">
        <v>56</v>
      </c>
      <c r="AA138" s="14"/>
      <c r="AB138" s="14" t="s">
        <v>57</v>
      </c>
      <c r="AC138" s="14">
        <v>2009</v>
      </c>
      <c r="AD138" s="14">
        <v>2</v>
      </c>
      <c r="AE138" s="14"/>
      <c r="AF138" s="14"/>
      <c r="AG138" s="14">
        <v>1987</v>
      </c>
      <c r="AH138" s="14">
        <f t="shared" si="11"/>
        <v>22</v>
      </c>
      <c r="AI138" s="17">
        <f t="shared" si="12"/>
        <v>24</v>
      </c>
      <c r="AJ138" s="14"/>
      <c r="AK138" s="14" t="s">
        <v>56</v>
      </c>
      <c r="AL138" s="13" t="s">
        <v>1427</v>
      </c>
      <c r="AM138" s="12">
        <v>2013</v>
      </c>
      <c r="AN138" s="12" t="s">
        <v>1428</v>
      </c>
      <c r="AO138" s="12" t="s">
        <v>56</v>
      </c>
      <c r="AP138" s="12"/>
      <c r="AQ138" s="12" t="s">
        <v>56</v>
      </c>
      <c r="AR138" s="12" t="s">
        <v>58</v>
      </c>
      <c r="AS138" s="12" t="s">
        <v>163</v>
      </c>
      <c r="AT138" s="12" t="s">
        <v>151</v>
      </c>
      <c r="AU138" s="45" t="s">
        <v>2690</v>
      </c>
      <c r="AV138" s="15"/>
      <c r="AW138" s="12" t="str">
        <f>B138&amp;C138&amp;L138&amp;M138&amp;O138&amp;U138&amp;AL138&amp;AM138</f>
        <v>AustraliaOrpheus Island Marine National ParkReef-associated Fishrichness1.31325301204819Olds2013</v>
      </c>
    </row>
    <row r="139" spans="1:49" ht="14.25" customHeight="1" x14ac:dyDescent="0.35">
      <c r="A139" s="12">
        <v>138</v>
      </c>
      <c r="B139" s="12" t="s">
        <v>66</v>
      </c>
      <c r="C139" s="12" t="s">
        <v>2674</v>
      </c>
      <c r="D139" s="44" t="s">
        <v>1425</v>
      </c>
      <c r="E139" s="12" t="s">
        <v>1426</v>
      </c>
      <c r="F139" s="13" t="s">
        <v>480</v>
      </c>
      <c r="G139" s="13" t="s">
        <v>51</v>
      </c>
      <c r="H139" s="13" t="s">
        <v>52</v>
      </c>
      <c r="I139" s="13" t="s">
        <v>156</v>
      </c>
      <c r="K139" s="17">
        <v>8</v>
      </c>
      <c r="L139" s="14" t="s">
        <v>627</v>
      </c>
      <c r="M139" s="14" t="s">
        <v>628</v>
      </c>
      <c r="N139" s="14" t="s">
        <v>170</v>
      </c>
      <c r="O139" s="17" t="s">
        <v>86</v>
      </c>
      <c r="P139" s="14"/>
      <c r="Q139" s="14"/>
      <c r="R139" s="14"/>
      <c r="S139" s="14">
        <f>AVERAGE(0.1*5000,6.5*5000,1.6*5000)</f>
        <v>13666.666666666666</v>
      </c>
      <c r="T139" s="14">
        <f>AVERAGE(1*5000,15.4*5000,2.4*5000)</f>
        <v>31333.333333333332</v>
      </c>
      <c r="U139" s="19">
        <f t="shared" si="14"/>
        <v>2.2926829268292681</v>
      </c>
      <c r="V139" s="41">
        <f t="shared" si="13"/>
        <v>129.26829268292681</v>
      </c>
      <c r="W139" s="14"/>
      <c r="X139" s="14" t="s">
        <v>56</v>
      </c>
      <c r="Z139" s="14" t="s">
        <v>56</v>
      </c>
      <c r="AA139" s="14"/>
      <c r="AB139" s="14" t="s">
        <v>57</v>
      </c>
      <c r="AC139" s="14">
        <v>2009</v>
      </c>
      <c r="AD139" s="14">
        <v>2</v>
      </c>
      <c r="AE139" s="14"/>
      <c r="AF139" s="14"/>
      <c r="AG139" s="14">
        <v>1996</v>
      </c>
      <c r="AH139" s="14">
        <f t="shared" si="11"/>
        <v>13</v>
      </c>
      <c r="AI139" s="17">
        <f t="shared" si="12"/>
        <v>15</v>
      </c>
      <c r="AJ139" s="14"/>
      <c r="AK139" s="14" t="s">
        <v>56</v>
      </c>
      <c r="AL139" s="13" t="s">
        <v>1427</v>
      </c>
      <c r="AM139" s="12">
        <v>2013</v>
      </c>
      <c r="AN139" s="12" t="s">
        <v>1428</v>
      </c>
      <c r="AO139" s="12" t="s">
        <v>56</v>
      </c>
      <c r="AP139" s="12"/>
      <c r="AQ139" s="12" t="s">
        <v>56</v>
      </c>
      <c r="AR139" s="12" t="s">
        <v>58</v>
      </c>
      <c r="AS139" s="12" t="s">
        <v>163</v>
      </c>
      <c r="AT139" s="12" t="s">
        <v>151</v>
      </c>
      <c r="AU139" s="45" t="s">
        <v>1429</v>
      </c>
      <c r="AV139" s="15"/>
      <c r="AW139" s="12" t="str">
        <f>B139&amp;C139&amp;L139&amp;M139&amp;O139&amp;U139&amp;AL139&amp;AM139</f>
        <v>AustraliaPeel Island marine national parkLutjanidaesnappersdensity2.29268292682927Olds2013</v>
      </c>
    </row>
    <row r="140" spans="1:49" ht="14.25" customHeight="1" x14ac:dyDescent="0.35">
      <c r="A140" s="12">
        <v>139</v>
      </c>
      <c r="B140" s="12" t="s">
        <v>66</v>
      </c>
      <c r="C140" s="12" t="s">
        <v>2674</v>
      </c>
      <c r="D140" s="44" t="s">
        <v>1425</v>
      </c>
      <c r="E140" s="12" t="s">
        <v>1426</v>
      </c>
      <c r="F140" s="13" t="s">
        <v>480</v>
      </c>
      <c r="G140" s="13" t="s">
        <v>51</v>
      </c>
      <c r="H140" s="13" t="s">
        <v>52</v>
      </c>
      <c r="I140" s="13" t="s">
        <v>156</v>
      </c>
      <c r="K140" s="17">
        <v>8</v>
      </c>
      <c r="L140" s="14" t="s">
        <v>631</v>
      </c>
      <c r="M140" s="14" t="s">
        <v>1411</v>
      </c>
      <c r="N140" s="14" t="s">
        <v>170</v>
      </c>
      <c r="O140" s="17" t="s">
        <v>86</v>
      </c>
      <c r="P140" s="14"/>
      <c r="Q140" s="14"/>
      <c r="R140" s="14"/>
      <c r="S140" s="14">
        <f>AVERAGE(80.1*5000,67.2*5000,13*5000)</f>
        <v>267166.66666666669</v>
      </c>
      <c r="T140" s="14">
        <f>AVERAGE(106.1*5000,110.1*5000,14.6*5000)</f>
        <v>384666.66666666669</v>
      </c>
      <c r="U140" s="19">
        <f t="shared" si="14"/>
        <v>1.4398003742981909</v>
      </c>
      <c r="V140" s="41">
        <f t="shared" si="13"/>
        <v>43.980037429819085</v>
      </c>
      <c r="W140" s="14"/>
      <c r="X140" s="14" t="s">
        <v>56</v>
      </c>
      <c r="Z140" s="14" t="s">
        <v>56</v>
      </c>
      <c r="AA140" s="14"/>
      <c r="AB140" s="14" t="s">
        <v>57</v>
      </c>
      <c r="AC140" s="14">
        <v>2009</v>
      </c>
      <c r="AD140" s="14">
        <v>2</v>
      </c>
      <c r="AE140" s="14"/>
      <c r="AF140" s="14"/>
      <c r="AG140" s="14">
        <v>1996</v>
      </c>
      <c r="AH140" s="14">
        <f t="shared" si="11"/>
        <v>13</v>
      </c>
      <c r="AI140" s="17">
        <f t="shared" si="12"/>
        <v>15</v>
      </c>
      <c r="AJ140" s="14"/>
      <c r="AK140" s="14" t="s">
        <v>56</v>
      </c>
      <c r="AL140" s="13" t="s">
        <v>1427</v>
      </c>
      <c r="AM140" s="12">
        <v>2013</v>
      </c>
      <c r="AN140" s="12" t="s">
        <v>1428</v>
      </c>
      <c r="AO140" s="12" t="s">
        <v>56</v>
      </c>
      <c r="AP140" s="12"/>
      <c r="AQ140" s="12" t="s">
        <v>56</v>
      </c>
      <c r="AR140" s="12" t="s">
        <v>58</v>
      </c>
      <c r="AS140" s="12" t="s">
        <v>163</v>
      </c>
      <c r="AT140" s="12" t="s">
        <v>151</v>
      </c>
      <c r="AU140" s="45" t="s">
        <v>1429</v>
      </c>
      <c r="AV140" s="15"/>
      <c r="AW140" s="12" t="str">
        <f>B140&amp;C140&amp;L140&amp;M140&amp;O140&amp;U140&amp;AL140&amp;AM140</f>
        <v>AustraliaPeel Island marine national parkSiganidaerabbitfishdensity1.43980037429819Olds2013</v>
      </c>
    </row>
    <row r="141" spans="1:49" ht="14.25" customHeight="1" x14ac:dyDescent="0.35">
      <c r="A141" s="12">
        <v>140</v>
      </c>
      <c r="B141" s="15" t="s">
        <v>66</v>
      </c>
      <c r="C141" s="15" t="s">
        <v>2674</v>
      </c>
      <c r="D141" s="43" t="s">
        <v>1425</v>
      </c>
      <c r="E141" s="15" t="s">
        <v>1426</v>
      </c>
      <c r="F141" s="13" t="s">
        <v>480</v>
      </c>
      <c r="G141" s="13" t="s">
        <v>51</v>
      </c>
      <c r="H141" s="16" t="s">
        <v>52</v>
      </c>
      <c r="I141" s="13" t="s">
        <v>156</v>
      </c>
      <c r="J141" s="17"/>
      <c r="K141" s="17">
        <v>8</v>
      </c>
      <c r="L141" s="17" t="s">
        <v>541</v>
      </c>
      <c r="M141" s="17" t="s">
        <v>1430</v>
      </c>
      <c r="N141" s="17" t="s">
        <v>170</v>
      </c>
      <c r="O141" s="17" t="s">
        <v>86</v>
      </c>
      <c r="P141" s="17"/>
      <c r="Q141" s="17"/>
      <c r="R141" s="17"/>
      <c r="S141" s="17">
        <f>AVERAGE(17*5000,8.9*5000,2.3*5000)</f>
        <v>47000</v>
      </c>
      <c r="T141" s="17">
        <f>AVERAGE(33.2*5000,17*5000,3.2*5000)</f>
        <v>89000</v>
      </c>
      <c r="U141" s="20">
        <f t="shared" si="14"/>
        <v>1.8936170212765957</v>
      </c>
      <c r="V141" s="22">
        <f t="shared" si="13"/>
        <v>89.361702127659569</v>
      </c>
      <c r="W141" s="17"/>
      <c r="X141" s="17" t="s">
        <v>56</v>
      </c>
      <c r="Z141" s="17" t="s">
        <v>56</v>
      </c>
      <c r="AA141" s="17"/>
      <c r="AB141" s="17" t="s">
        <v>57</v>
      </c>
      <c r="AC141" s="17">
        <v>2009</v>
      </c>
      <c r="AD141" s="17">
        <v>2</v>
      </c>
      <c r="AE141" s="17"/>
      <c r="AF141" s="17"/>
      <c r="AG141" s="17">
        <v>1996</v>
      </c>
      <c r="AH141" s="14">
        <f t="shared" si="11"/>
        <v>13</v>
      </c>
      <c r="AI141" s="17">
        <f t="shared" si="12"/>
        <v>15</v>
      </c>
      <c r="AJ141" s="17"/>
      <c r="AK141" s="17" t="s">
        <v>56</v>
      </c>
      <c r="AL141" s="16" t="s">
        <v>1427</v>
      </c>
      <c r="AM141" s="15">
        <v>2013</v>
      </c>
      <c r="AN141" s="15" t="s">
        <v>1428</v>
      </c>
      <c r="AO141" s="15" t="s">
        <v>56</v>
      </c>
      <c r="AP141" s="15"/>
      <c r="AQ141" s="15" t="s">
        <v>56</v>
      </c>
      <c r="AR141" s="15" t="s">
        <v>58</v>
      </c>
      <c r="AS141" s="15" t="s">
        <v>163</v>
      </c>
      <c r="AT141" s="15" t="s">
        <v>151</v>
      </c>
      <c r="AU141" s="45" t="s">
        <v>1429</v>
      </c>
      <c r="AV141" s="15"/>
      <c r="AW141" s="12" t="str">
        <f>B141&amp;C141&amp;L141&amp;M141&amp;O141&amp;U141&amp;AL141&amp;AM141</f>
        <v>AustraliaPeel Island marine national parkSparidaebreamdensity1.8936170212766Olds2013</v>
      </c>
    </row>
    <row r="142" spans="1:49" ht="14.25" customHeight="1" x14ac:dyDescent="0.35">
      <c r="A142" s="12">
        <v>141</v>
      </c>
      <c r="B142" s="15" t="s">
        <v>66</v>
      </c>
      <c r="C142" s="15" t="s">
        <v>2674</v>
      </c>
      <c r="D142" s="43" t="s">
        <v>1425</v>
      </c>
      <c r="E142" s="15" t="s">
        <v>1426</v>
      </c>
      <c r="F142" s="16" t="s">
        <v>480</v>
      </c>
      <c r="G142" s="16" t="s">
        <v>51</v>
      </c>
      <c r="H142" s="16" t="s">
        <v>52</v>
      </c>
      <c r="I142" s="16" t="s">
        <v>156</v>
      </c>
      <c r="J142" s="17"/>
      <c r="K142" s="17">
        <v>8</v>
      </c>
      <c r="L142" s="14" t="s">
        <v>695</v>
      </c>
      <c r="M142" s="17" t="s">
        <v>1431</v>
      </c>
      <c r="N142" s="17" t="s">
        <v>120</v>
      </c>
      <c r="O142" s="17" t="s">
        <v>86</v>
      </c>
      <c r="P142" s="17"/>
      <c r="Q142" s="17"/>
      <c r="R142" s="17"/>
      <c r="S142" s="17">
        <f>AVERAGE(0.1*5000,1.6*5000)</f>
        <v>4250</v>
      </c>
      <c r="T142" s="17">
        <f>AVERAGE(2.5*5000,0.1*5000)</f>
        <v>6500</v>
      </c>
      <c r="U142" s="19">
        <f t="shared" si="14"/>
        <v>1.5294117647058822</v>
      </c>
      <c r="V142" s="41">
        <f t="shared" si="13"/>
        <v>52.941176470588225</v>
      </c>
      <c r="W142" s="17"/>
      <c r="X142" s="17" t="s">
        <v>56</v>
      </c>
      <c r="Y142" s="17"/>
      <c r="Z142" s="17" t="s">
        <v>56</v>
      </c>
      <c r="AA142" s="17"/>
      <c r="AB142" s="17" t="s">
        <v>57</v>
      </c>
      <c r="AC142" s="17">
        <v>2009</v>
      </c>
      <c r="AD142" s="17">
        <v>2</v>
      </c>
      <c r="AE142" s="17"/>
      <c r="AF142" s="17"/>
      <c r="AG142" s="17">
        <v>1996</v>
      </c>
      <c r="AH142" s="14">
        <f t="shared" si="11"/>
        <v>13</v>
      </c>
      <c r="AI142" s="17">
        <f t="shared" si="12"/>
        <v>15</v>
      </c>
      <c r="AJ142" s="17"/>
      <c r="AK142" s="17" t="s">
        <v>56</v>
      </c>
      <c r="AL142" s="16" t="s">
        <v>1427</v>
      </c>
      <c r="AM142" s="15">
        <v>2013</v>
      </c>
      <c r="AN142" s="12" t="s">
        <v>1428</v>
      </c>
      <c r="AO142" s="15" t="s">
        <v>56</v>
      </c>
      <c r="AP142" s="15"/>
      <c r="AQ142" s="15" t="s">
        <v>56</v>
      </c>
      <c r="AR142" s="15" t="s">
        <v>58</v>
      </c>
      <c r="AS142" s="15" t="s">
        <v>163</v>
      </c>
      <c r="AT142" s="12" t="s">
        <v>151</v>
      </c>
      <c r="AU142" s="45" t="s">
        <v>1429</v>
      </c>
      <c r="AV142" s="15"/>
      <c r="AW142" s="12" t="str">
        <f>B142&amp;C142&amp;L142&amp;M142&amp;O142&amp;U142&amp;AL142&amp;AM142</f>
        <v>AustraliaPeel Island marine national parkHaemulidaesweetlipdensity1.52941176470588Olds2013</v>
      </c>
    </row>
    <row r="143" spans="1:49" ht="14.25" customHeight="1" x14ac:dyDescent="0.35">
      <c r="A143" s="12">
        <v>142</v>
      </c>
      <c r="B143" s="15" t="s">
        <v>66</v>
      </c>
      <c r="C143" s="15" t="s">
        <v>2674</v>
      </c>
      <c r="D143" s="43" t="s">
        <v>1425</v>
      </c>
      <c r="E143" s="15" t="s">
        <v>1426</v>
      </c>
      <c r="F143" s="16" t="s">
        <v>480</v>
      </c>
      <c r="G143" s="16" t="s">
        <v>51</v>
      </c>
      <c r="H143" s="16" t="s">
        <v>52</v>
      </c>
      <c r="I143" s="16" t="s">
        <v>156</v>
      </c>
      <c r="J143" s="17"/>
      <c r="K143" s="17">
        <v>8</v>
      </c>
      <c r="L143" s="17"/>
      <c r="M143" s="17" t="s">
        <v>1432</v>
      </c>
      <c r="N143" s="17" t="s">
        <v>1070</v>
      </c>
      <c r="O143" s="17" t="s">
        <v>86</v>
      </c>
      <c r="P143" s="17"/>
      <c r="Q143" s="17"/>
      <c r="R143" s="17"/>
      <c r="S143" s="17">
        <f>AVERAGE(100.4*5000,90.7*5000,17.8*5000)</f>
        <v>348166.66666666669</v>
      </c>
      <c r="T143" s="17">
        <f>AVERAGE(141.7*5000,156.2*5000,27.5*5000)</f>
        <v>542333.33333333337</v>
      </c>
      <c r="U143" s="19">
        <f t="shared" si="14"/>
        <v>1.5576831019626616</v>
      </c>
      <c r="V143" s="41">
        <f t="shared" si="13"/>
        <v>55.768310196266157</v>
      </c>
      <c r="W143" s="17"/>
      <c r="X143" s="17" t="s">
        <v>56</v>
      </c>
      <c r="Y143" s="17"/>
      <c r="Z143" s="17" t="s">
        <v>56</v>
      </c>
      <c r="AA143" s="17"/>
      <c r="AB143" s="17" t="s">
        <v>57</v>
      </c>
      <c r="AC143" s="17">
        <v>2009</v>
      </c>
      <c r="AD143" s="17">
        <v>2</v>
      </c>
      <c r="AE143" s="17"/>
      <c r="AF143" s="17"/>
      <c r="AG143" s="17">
        <v>1996</v>
      </c>
      <c r="AH143" s="14">
        <f t="shared" si="11"/>
        <v>13</v>
      </c>
      <c r="AI143" s="17">
        <f t="shared" si="12"/>
        <v>15</v>
      </c>
      <c r="AJ143" s="17"/>
      <c r="AK143" s="17" t="s">
        <v>56</v>
      </c>
      <c r="AL143" s="16" t="s">
        <v>1427</v>
      </c>
      <c r="AM143" s="15">
        <v>2013</v>
      </c>
      <c r="AN143" s="12" t="s">
        <v>1428</v>
      </c>
      <c r="AO143" s="15" t="s">
        <v>56</v>
      </c>
      <c r="AP143" s="15"/>
      <c r="AQ143" s="15" t="s">
        <v>56</v>
      </c>
      <c r="AR143" s="15" t="s">
        <v>58</v>
      </c>
      <c r="AS143" s="15" t="s">
        <v>163</v>
      </c>
      <c r="AT143" s="12" t="s">
        <v>151</v>
      </c>
      <c r="AU143" s="45" t="s">
        <v>1429</v>
      </c>
      <c r="AV143" s="15"/>
      <c r="AW143" s="12" t="str">
        <f>B143&amp;C143&amp;L143&amp;M143&amp;O143&amp;U143&amp;AL143&amp;AM143</f>
        <v>AustraliaPeel Island marine national parkharvested fishdensity1.55768310196266Olds2013</v>
      </c>
    </row>
    <row r="144" spans="1:49" ht="14.25" customHeight="1" x14ac:dyDescent="0.35">
      <c r="A144" s="12">
        <v>143</v>
      </c>
      <c r="B144" s="15" t="s">
        <v>66</v>
      </c>
      <c r="C144" s="15" t="s">
        <v>2674</v>
      </c>
      <c r="D144" s="43" t="s">
        <v>1425</v>
      </c>
      <c r="E144" s="12" t="s">
        <v>1426</v>
      </c>
      <c r="F144" s="13" t="s">
        <v>480</v>
      </c>
      <c r="G144" s="13" t="s">
        <v>51</v>
      </c>
      <c r="H144" s="13" t="s">
        <v>52</v>
      </c>
      <c r="I144" s="13" t="s">
        <v>156</v>
      </c>
      <c r="K144" s="14">
        <v>8</v>
      </c>
      <c r="L144" s="14"/>
      <c r="M144" s="14" t="s">
        <v>503</v>
      </c>
      <c r="N144" s="14" t="s">
        <v>407</v>
      </c>
      <c r="O144" s="17" t="s">
        <v>86</v>
      </c>
      <c r="P144" s="14"/>
      <c r="Q144" s="14"/>
      <c r="R144" s="14"/>
      <c r="S144" s="14">
        <f>AVERAGE(80.2*5000,75.3*5000,17*5000)</f>
        <v>287500</v>
      </c>
      <c r="T144" s="14">
        <f>AVERAGE(106.9*5000,135.2*5000,25.1*5000)</f>
        <v>445333.33333333331</v>
      </c>
      <c r="U144" s="19">
        <f t="shared" si="14"/>
        <v>1.5489855072463767</v>
      </c>
      <c r="V144" s="41">
        <f t="shared" si="13"/>
        <v>54.898550724637673</v>
      </c>
      <c r="W144" s="14"/>
      <c r="X144" s="14" t="s">
        <v>56</v>
      </c>
      <c r="Z144" s="14" t="s">
        <v>56</v>
      </c>
      <c r="AA144" s="14"/>
      <c r="AB144" s="14" t="s">
        <v>57</v>
      </c>
      <c r="AC144" s="14">
        <v>2009</v>
      </c>
      <c r="AD144" s="14">
        <v>2</v>
      </c>
      <c r="AE144" s="14"/>
      <c r="AF144" s="14"/>
      <c r="AG144" s="14">
        <v>1996</v>
      </c>
      <c r="AH144" s="14">
        <f t="shared" si="11"/>
        <v>13</v>
      </c>
      <c r="AI144" s="17">
        <f t="shared" si="12"/>
        <v>15</v>
      </c>
      <c r="AJ144" s="14"/>
      <c r="AK144" s="14" t="s">
        <v>56</v>
      </c>
      <c r="AL144" s="13" t="s">
        <v>1427</v>
      </c>
      <c r="AM144" s="12">
        <v>2013</v>
      </c>
      <c r="AN144" s="12" t="s">
        <v>1428</v>
      </c>
      <c r="AO144" s="12" t="s">
        <v>56</v>
      </c>
      <c r="AP144" s="12"/>
      <c r="AQ144" s="12" t="s">
        <v>56</v>
      </c>
      <c r="AR144" s="12" t="s">
        <v>58</v>
      </c>
      <c r="AS144" s="12" t="s">
        <v>163</v>
      </c>
      <c r="AT144" s="12" t="s">
        <v>151</v>
      </c>
      <c r="AU144" s="45" t="s">
        <v>1429</v>
      </c>
      <c r="AV144" s="15"/>
      <c r="AW144" s="12" t="str">
        <f>B144&amp;C144&amp;L144&amp;M144&amp;O144&amp;U144&amp;AL144&amp;AM144</f>
        <v>AustraliaPeel Island marine national parkherbivoresdensity1.54898550724638Olds2013</v>
      </c>
    </row>
    <row r="145" spans="1:49" ht="14.25" customHeight="1" x14ac:dyDescent="0.35">
      <c r="A145" s="12">
        <v>144</v>
      </c>
      <c r="B145" s="15" t="s">
        <v>66</v>
      </c>
      <c r="C145" s="15" t="s">
        <v>2674</v>
      </c>
      <c r="D145" s="43" t="s">
        <v>1425</v>
      </c>
      <c r="E145" s="12" t="s">
        <v>1426</v>
      </c>
      <c r="F145" s="13" t="s">
        <v>480</v>
      </c>
      <c r="G145" s="13" t="s">
        <v>51</v>
      </c>
      <c r="H145" s="13" t="s">
        <v>52</v>
      </c>
      <c r="I145" s="13" t="s">
        <v>156</v>
      </c>
      <c r="K145" s="14">
        <v>8</v>
      </c>
      <c r="L145" s="14"/>
      <c r="M145" s="14" t="s">
        <v>1433</v>
      </c>
      <c r="N145" s="14" t="s">
        <v>407</v>
      </c>
      <c r="O145" s="17" t="s">
        <v>86</v>
      </c>
      <c r="P145" s="14"/>
      <c r="Q145" s="14"/>
      <c r="R145" s="14"/>
      <c r="S145" s="14">
        <f>AVERAGE(17*5000,20.2*5000,6.5*5000)</f>
        <v>72833.333333333328</v>
      </c>
      <c r="T145" s="14">
        <f>AVERAGE(35.6*5000,38.1*5000,13.8*5000)</f>
        <v>145833.33333333334</v>
      </c>
      <c r="U145" s="19">
        <f t="shared" si="14"/>
        <v>2.0022883295194509</v>
      </c>
      <c r="V145" s="41">
        <f t="shared" si="13"/>
        <v>100.22883295194509</v>
      </c>
      <c r="W145" s="14"/>
      <c r="X145" s="14" t="s">
        <v>56</v>
      </c>
      <c r="Z145" s="14" t="s">
        <v>56</v>
      </c>
      <c r="AA145" s="14"/>
      <c r="AB145" s="14" t="s">
        <v>57</v>
      </c>
      <c r="AC145" s="14">
        <v>2009</v>
      </c>
      <c r="AD145" s="14">
        <v>2</v>
      </c>
      <c r="AE145" s="14"/>
      <c r="AF145" s="14"/>
      <c r="AG145" s="14">
        <v>1996</v>
      </c>
      <c r="AH145" s="14">
        <f t="shared" si="11"/>
        <v>13</v>
      </c>
      <c r="AI145" s="17">
        <f t="shared" si="12"/>
        <v>15</v>
      </c>
      <c r="AJ145" s="14"/>
      <c r="AK145" s="14" t="s">
        <v>56</v>
      </c>
      <c r="AL145" s="13" t="s">
        <v>1427</v>
      </c>
      <c r="AM145" s="12">
        <v>2013</v>
      </c>
      <c r="AN145" s="12" t="s">
        <v>1428</v>
      </c>
      <c r="AO145" s="12" t="s">
        <v>56</v>
      </c>
      <c r="AP145" s="12"/>
      <c r="AQ145" s="12" t="s">
        <v>56</v>
      </c>
      <c r="AR145" s="12" t="s">
        <v>58</v>
      </c>
      <c r="AS145" s="12" t="s">
        <v>163</v>
      </c>
      <c r="AT145" s="12" t="s">
        <v>151</v>
      </c>
      <c r="AU145" s="45" t="s">
        <v>1429</v>
      </c>
      <c r="AV145" s="15"/>
      <c r="AW145" s="12" t="str">
        <f>B145&amp;C145&amp;L145&amp;M145&amp;O145&amp;U145&amp;AL145&amp;AM145</f>
        <v>AustraliaPeel Island marine national parkpiscivoresdensity2.00228832951945Olds2013</v>
      </c>
    </row>
    <row r="146" spans="1:49" ht="14.25" customHeight="1" x14ac:dyDescent="0.35">
      <c r="A146" s="12">
        <v>145</v>
      </c>
      <c r="B146" s="15" t="s">
        <v>66</v>
      </c>
      <c r="C146" s="15" t="s">
        <v>2674</v>
      </c>
      <c r="D146" s="43" t="s">
        <v>1425</v>
      </c>
      <c r="E146" s="12" t="s">
        <v>1426</v>
      </c>
      <c r="F146" s="13" t="s">
        <v>480</v>
      </c>
      <c r="G146" s="13" t="s">
        <v>51</v>
      </c>
      <c r="H146" s="13" t="s">
        <v>52</v>
      </c>
      <c r="I146" s="13" t="s">
        <v>156</v>
      </c>
      <c r="K146" s="14">
        <v>8</v>
      </c>
      <c r="L146" s="14"/>
      <c r="M146" s="14" t="s">
        <v>463</v>
      </c>
      <c r="N146" s="17" t="s">
        <v>1070</v>
      </c>
      <c r="O146" s="17" t="s">
        <v>55</v>
      </c>
      <c r="P146" s="14"/>
      <c r="Q146" s="14"/>
      <c r="R146" s="14"/>
      <c r="S146" s="14">
        <f>AVERAGE(4.9*5000,17*5000,13*5000)</f>
        <v>58166.666666666664</v>
      </c>
      <c r="T146" s="14">
        <f>AVERAGE(4*5000,22.7*5000,18.6*5000)</f>
        <v>75500</v>
      </c>
      <c r="U146" s="19">
        <f t="shared" si="14"/>
        <v>1.2979942693409743</v>
      </c>
      <c r="V146" s="41">
        <f t="shared" si="13"/>
        <v>29.799426934097429</v>
      </c>
      <c r="W146" s="14"/>
      <c r="X146" s="14" t="s">
        <v>56</v>
      </c>
      <c r="Z146" s="14" t="s">
        <v>56</v>
      </c>
      <c r="AA146" s="14"/>
      <c r="AB146" s="14" t="s">
        <v>57</v>
      </c>
      <c r="AC146" s="14">
        <v>2009</v>
      </c>
      <c r="AD146" s="14">
        <v>2</v>
      </c>
      <c r="AE146" s="14"/>
      <c r="AF146" s="14"/>
      <c r="AG146" s="14">
        <v>1996</v>
      </c>
      <c r="AH146" s="14">
        <f t="shared" si="11"/>
        <v>13</v>
      </c>
      <c r="AI146" s="17">
        <f t="shared" si="12"/>
        <v>15</v>
      </c>
      <c r="AJ146" s="14"/>
      <c r="AK146" s="14" t="s">
        <v>56</v>
      </c>
      <c r="AL146" s="13" t="s">
        <v>1427</v>
      </c>
      <c r="AM146" s="12">
        <v>2013</v>
      </c>
      <c r="AN146" s="12" t="s">
        <v>1428</v>
      </c>
      <c r="AO146" s="12" t="s">
        <v>56</v>
      </c>
      <c r="AP146" s="12"/>
      <c r="AQ146" s="12" t="s">
        <v>56</v>
      </c>
      <c r="AR146" s="12" t="s">
        <v>58</v>
      </c>
      <c r="AS146" s="12" t="s">
        <v>163</v>
      </c>
      <c r="AT146" s="12" t="s">
        <v>151</v>
      </c>
      <c r="AU146" s="45" t="s">
        <v>1429</v>
      </c>
      <c r="AV146" s="15"/>
      <c r="AW146" s="12" t="str">
        <f>B146&amp;C146&amp;L146&amp;M146&amp;O146&amp;U146&amp;AL146&amp;AM146</f>
        <v>AustraliaPeel Island marine national parkReef-associated Fishrichness1.29799426934097Olds2013</v>
      </c>
    </row>
    <row r="147" spans="1:49" ht="14.25" customHeight="1" x14ac:dyDescent="0.35">
      <c r="A147" s="12">
        <v>146</v>
      </c>
      <c r="B147" s="12" t="s">
        <v>823</v>
      </c>
      <c r="C147" s="12" t="s">
        <v>824</v>
      </c>
      <c r="D147" s="12" t="s">
        <v>825</v>
      </c>
      <c r="E147" s="12" t="s">
        <v>826</v>
      </c>
      <c r="F147" s="13" t="s">
        <v>50</v>
      </c>
      <c r="G147" s="13" t="s">
        <v>51</v>
      </c>
      <c r="H147" s="13" t="s">
        <v>108</v>
      </c>
      <c r="I147" s="13" t="s">
        <v>156</v>
      </c>
      <c r="J147" s="14">
        <v>950</v>
      </c>
      <c r="K147" s="14"/>
      <c r="L147" s="14" t="s">
        <v>778</v>
      </c>
      <c r="M147" s="14" t="s">
        <v>827</v>
      </c>
      <c r="N147" s="14" t="s">
        <v>85</v>
      </c>
      <c r="O147" s="17" t="s">
        <v>86</v>
      </c>
      <c r="P147" s="14"/>
      <c r="Q147" s="14"/>
      <c r="R147" s="14"/>
      <c r="S147" s="14">
        <f>AVERAGE(18.04*10000,55.6*10000)</f>
        <v>368200</v>
      </c>
      <c r="T147" s="14">
        <f>AVERAGE(17.33*10000,51.56*10000)</f>
        <v>344450</v>
      </c>
      <c r="U147" s="19">
        <f t="shared" si="14"/>
        <v>0.93549701249321027</v>
      </c>
      <c r="V147" s="41">
        <f t="shared" si="13"/>
        <v>-6.4502987506789733</v>
      </c>
      <c r="W147" s="14">
        <v>-5.9</v>
      </c>
      <c r="X147" s="14" t="s">
        <v>56</v>
      </c>
      <c r="Z147" s="14" t="s">
        <v>56</v>
      </c>
      <c r="AA147" s="14"/>
      <c r="AB147" s="14" t="s">
        <v>57</v>
      </c>
      <c r="AC147" s="14">
        <v>2004</v>
      </c>
      <c r="AD147" s="14">
        <v>1</v>
      </c>
      <c r="AE147" s="14">
        <v>6</v>
      </c>
      <c r="AF147" s="14">
        <v>1.5</v>
      </c>
      <c r="AG147" s="14">
        <v>1996</v>
      </c>
      <c r="AH147" s="14">
        <f t="shared" si="11"/>
        <v>8</v>
      </c>
      <c r="AI147" s="17">
        <f t="shared" si="12"/>
        <v>9.5</v>
      </c>
      <c r="AJ147" s="14">
        <v>9.5</v>
      </c>
      <c r="AK147" s="14" t="s">
        <v>56</v>
      </c>
      <c r="AL147" s="13" t="s">
        <v>828</v>
      </c>
      <c r="AM147" s="12">
        <v>2014</v>
      </c>
      <c r="AN147" s="12" t="s">
        <v>829</v>
      </c>
      <c r="AO147" s="12" t="s">
        <v>56</v>
      </c>
      <c r="AP147" s="12"/>
      <c r="AQ147" s="12" t="s">
        <v>56</v>
      </c>
      <c r="AR147" s="12" t="s">
        <v>58</v>
      </c>
      <c r="AS147" s="12" t="s">
        <v>163</v>
      </c>
      <c r="AT147" s="12" t="s">
        <v>151</v>
      </c>
      <c r="AU147" s="45"/>
      <c r="AV147" s="15"/>
      <c r="AW147" s="12" t="str">
        <f>B147&amp;C147&amp;L147&amp;M147&amp;O147&amp;U147&amp;AL147&amp;AM147</f>
        <v>CubaGardens of the QueenLutjanus apodusschoolmasterdensity0.93549701249321Pina-Amargos2014</v>
      </c>
    </row>
    <row r="148" spans="1:49" ht="14.25" customHeight="1" x14ac:dyDescent="0.35">
      <c r="A148" s="12">
        <v>147</v>
      </c>
      <c r="B148" s="12" t="s">
        <v>823</v>
      </c>
      <c r="C148" s="12" t="s">
        <v>824</v>
      </c>
      <c r="D148" s="12" t="s">
        <v>825</v>
      </c>
      <c r="E148" s="12" t="s">
        <v>826</v>
      </c>
      <c r="F148" s="13" t="s">
        <v>50</v>
      </c>
      <c r="G148" s="13" t="s">
        <v>51</v>
      </c>
      <c r="H148" s="13" t="s">
        <v>108</v>
      </c>
      <c r="I148" s="13" t="s">
        <v>156</v>
      </c>
      <c r="J148" s="14">
        <v>950</v>
      </c>
      <c r="K148" s="17"/>
      <c r="L148" s="14" t="s">
        <v>830</v>
      </c>
      <c r="M148" s="14" t="s">
        <v>2780</v>
      </c>
      <c r="N148" s="14" t="s">
        <v>85</v>
      </c>
      <c r="O148" s="17" t="s">
        <v>86</v>
      </c>
      <c r="P148" s="14"/>
      <c r="Q148" s="14"/>
      <c r="R148" s="14"/>
      <c r="S148" s="14">
        <f>AVERAGE(0.23*10000,0.2*10000)</f>
        <v>2150</v>
      </c>
      <c r="T148" s="14">
        <f>AVERAGE(0.36*10000,0.34*10000)</f>
        <v>3500</v>
      </c>
      <c r="U148" s="19">
        <f t="shared" si="14"/>
        <v>1.6279069767441861</v>
      </c>
      <c r="V148" s="41">
        <f t="shared" si="13"/>
        <v>62.790697674418603</v>
      </c>
      <c r="W148" s="14">
        <v>50.12</v>
      </c>
      <c r="X148" s="14" t="s">
        <v>56</v>
      </c>
      <c r="Z148" s="14" t="s">
        <v>56</v>
      </c>
      <c r="AA148" s="14"/>
      <c r="AB148" s="14" t="s">
        <v>57</v>
      </c>
      <c r="AC148" s="14">
        <v>2004</v>
      </c>
      <c r="AD148" s="14">
        <v>1</v>
      </c>
      <c r="AE148" s="14">
        <v>6</v>
      </c>
      <c r="AF148" s="14">
        <v>1.5</v>
      </c>
      <c r="AG148" s="14">
        <v>1996</v>
      </c>
      <c r="AH148" s="14">
        <f t="shared" si="11"/>
        <v>8</v>
      </c>
      <c r="AI148" s="17">
        <f t="shared" si="12"/>
        <v>9.5</v>
      </c>
      <c r="AJ148" s="14">
        <v>9.5</v>
      </c>
      <c r="AK148" s="14" t="s">
        <v>56</v>
      </c>
      <c r="AL148" s="13" t="s">
        <v>828</v>
      </c>
      <c r="AM148" s="12">
        <v>2014</v>
      </c>
      <c r="AN148" s="12" t="s">
        <v>829</v>
      </c>
      <c r="AO148" s="12" t="s">
        <v>56</v>
      </c>
      <c r="AP148" s="12"/>
      <c r="AQ148" s="12" t="s">
        <v>56</v>
      </c>
      <c r="AR148" s="12" t="s">
        <v>58</v>
      </c>
      <c r="AS148" s="12" t="s">
        <v>163</v>
      </c>
      <c r="AT148" s="12" t="s">
        <v>151</v>
      </c>
      <c r="AU148" s="45"/>
      <c r="AV148" s="15"/>
      <c r="AW148" s="12" t="str">
        <f>B148&amp;C148&amp;L148&amp;M148&amp;O148&amp;U148&amp;AL148&amp;AM148</f>
        <v>CubaGardens of the QueenSphyraena barracudagreat barradcudadensity1.62790697674419Pina-Amargos2014</v>
      </c>
    </row>
    <row r="149" spans="1:49" ht="14.25" customHeight="1" x14ac:dyDescent="0.35">
      <c r="A149" s="12">
        <v>148</v>
      </c>
      <c r="B149" s="15" t="s">
        <v>823</v>
      </c>
      <c r="C149" s="15" t="s">
        <v>824</v>
      </c>
      <c r="D149" s="15" t="s">
        <v>825</v>
      </c>
      <c r="E149" s="15" t="s">
        <v>826</v>
      </c>
      <c r="F149" s="16" t="s">
        <v>50</v>
      </c>
      <c r="G149" s="16" t="s">
        <v>51</v>
      </c>
      <c r="H149" s="16" t="s">
        <v>108</v>
      </c>
      <c r="I149" s="16" t="s">
        <v>156</v>
      </c>
      <c r="J149" s="17">
        <v>950</v>
      </c>
      <c r="K149" s="17"/>
      <c r="L149" s="17" t="s">
        <v>778</v>
      </c>
      <c r="M149" s="17" t="s">
        <v>831</v>
      </c>
      <c r="N149" s="17" t="s">
        <v>85</v>
      </c>
      <c r="O149" s="17" t="s">
        <v>86</v>
      </c>
      <c r="P149" s="17"/>
      <c r="Q149" s="17"/>
      <c r="R149" s="17"/>
      <c r="S149" s="17">
        <f>AVERAGE(0.25*10000,0.2*10000)</f>
        <v>2250</v>
      </c>
      <c r="T149" s="17">
        <f>AVERAGE(0.47*10000,1.5*10000)</f>
        <v>9850</v>
      </c>
      <c r="U149" s="20">
        <f t="shared" si="14"/>
        <v>4.3777777777777782</v>
      </c>
      <c r="V149" s="22">
        <f t="shared" si="13"/>
        <v>337.77777777777783</v>
      </c>
      <c r="W149" s="17">
        <v>515.66999999999996</v>
      </c>
      <c r="X149" s="17" t="s">
        <v>56</v>
      </c>
      <c r="Y149" s="17"/>
      <c r="Z149" s="17" t="s">
        <v>56</v>
      </c>
      <c r="AA149" s="17"/>
      <c r="AB149" s="17" t="s">
        <v>57</v>
      </c>
      <c r="AC149" s="17">
        <v>2004</v>
      </c>
      <c r="AD149" s="17">
        <v>1</v>
      </c>
      <c r="AE149" s="17">
        <v>6</v>
      </c>
      <c r="AF149" s="17">
        <v>1.5</v>
      </c>
      <c r="AG149" s="17">
        <v>1996</v>
      </c>
      <c r="AH149" s="14">
        <f t="shared" si="11"/>
        <v>8</v>
      </c>
      <c r="AI149" s="17">
        <f t="shared" si="12"/>
        <v>9.5</v>
      </c>
      <c r="AJ149" s="17">
        <v>9.5</v>
      </c>
      <c r="AK149" s="17" t="s">
        <v>56</v>
      </c>
      <c r="AL149" s="16" t="s">
        <v>828</v>
      </c>
      <c r="AM149" s="15">
        <v>2014</v>
      </c>
      <c r="AN149" s="12" t="s">
        <v>829</v>
      </c>
      <c r="AO149" s="15" t="s">
        <v>56</v>
      </c>
      <c r="AP149" s="15"/>
      <c r="AQ149" s="15" t="s">
        <v>56</v>
      </c>
      <c r="AR149" s="15" t="s">
        <v>58</v>
      </c>
      <c r="AS149" s="15" t="s">
        <v>163</v>
      </c>
      <c r="AT149" s="15" t="s">
        <v>151</v>
      </c>
      <c r="AU149" s="45"/>
      <c r="AV149" s="15"/>
      <c r="AW149" s="12" t="str">
        <f>B149&amp;C149&amp;L149&amp;M149&amp;O149&amp;U149&amp;AL149&amp;AM149</f>
        <v>CubaGardens of the QueenLutjanus apodusmutton snapperdensity4.37777777777778Pina-Amargos2014</v>
      </c>
    </row>
    <row r="150" spans="1:49" ht="14.25" customHeight="1" x14ac:dyDescent="0.35">
      <c r="A150" s="12">
        <v>149</v>
      </c>
      <c r="B150" s="15" t="s">
        <v>823</v>
      </c>
      <c r="C150" s="15" t="s">
        <v>824</v>
      </c>
      <c r="D150" s="15" t="s">
        <v>825</v>
      </c>
      <c r="E150" s="15" t="s">
        <v>826</v>
      </c>
      <c r="F150" s="16" t="s">
        <v>50</v>
      </c>
      <c r="G150" s="16" t="s">
        <v>51</v>
      </c>
      <c r="H150" s="16" t="s">
        <v>108</v>
      </c>
      <c r="I150" s="16" t="s">
        <v>156</v>
      </c>
      <c r="J150" s="17">
        <v>950</v>
      </c>
      <c r="K150" s="17"/>
      <c r="L150" s="17" t="s">
        <v>832</v>
      </c>
      <c r="M150" s="17" t="s">
        <v>833</v>
      </c>
      <c r="N150" s="17" t="s">
        <v>85</v>
      </c>
      <c r="O150" s="17" t="s">
        <v>86</v>
      </c>
      <c r="P150" s="17"/>
      <c r="Q150" s="17"/>
      <c r="R150" s="17"/>
      <c r="S150" s="17">
        <f>AVERAGE(0.42*10000,0.08*10000)</f>
        <v>2500</v>
      </c>
      <c r="T150" s="17">
        <f>AVERAGE(0.6*10000,0.28*10000)</f>
        <v>4400</v>
      </c>
      <c r="U150" s="20">
        <f t="shared" si="14"/>
        <v>1.76</v>
      </c>
      <c r="V150" s="22">
        <f t="shared" si="13"/>
        <v>76</v>
      </c>
      <c r="W150" s="17">
        <v>151.36000000000001</v>
      </c>
      <c r="X150" s="17" t="s">
        <v>56</v>
      </c>
      <c r="Y150" s="15"/>
      <c r="Z150" s="17" t="s">
        <v>56</v>
      </c>
      <c r="AA150" s="17"/>
      <c r="AB150" s="17" t="s">
        <v>57</v>
      </c>
      <c r="AC150" s="17">
        <v>2004</v>
      </c>
      <c r="AD150" s="17">
        <v>1</v>
      </c>
      <c r="AE150" s="17">
        <v>6</v>
      </c>
      <c r="AF150" s="17">
        <v>1.5</v>
      </c>
      <c r="AG150" s="17">
        <v>1996</v>
      </c>
      <c r="AH150" s="14">
        <f t="shared" si="11"/>
        <v>8</v>
      </c>
      <c r="AI150" s="17">
        <f t="shared" si="12"/>
        <v>9.5</v>
      </c>
      <c r="AJ150" s="17">
        <v>9.5</v>
      </c>
      <c r="AK150" s="17" t="s">
        <v>56</v>
      </c>
      <c r="AL150" s="16" t="s">
        <v>828</v>
      </c>
      <c r="AM150" s="15">
        <v>2014</v>
      </c>
      <c r="AN150" s="12" t="s">
        <v>829</v>
      </c>
      <c r="AO150" s="15" t="s">
        <v>56</v>
      </c>
      <c r="AP150" s="15"/>
      <c r="AQ150" s="15" t="s">
        <v>56</v>
      </c>
      <c r="AR150" s="15" t="s">
        <v>58</v>
      </c>
      <c r="AS150" s="15" t="s">
        <v>163</v>
      </c>
      <c r="AT150" s="15" t="s">
        <v>151</v>
      </c>
      <c r="AU150" s="45"/>
      <c r="AV150" s="15"/>
      <c r="AW150" s="12" t="str">
        <f>B150&amp;C150&amp;L150&amp;M150&amp;O150&amp;U150&amp;AL150&amp;AM150</f>
        <v>CubaGardens of the QueenLutjanus cyanopteruscubera snapperdensity1.76Pina-Amargos2014</v>
      </c>
    </row>
    <row r="151" spans="1:49" ht="14.25" customHeight="1" x14ac:dyDescent="0.35">
      <c r="A151" s="12">
        <v>150</v>
      </c>
      <c r="B151" s="15" t="s">
        <v>823</v>
      </c>
      <c r="C151" s="15" t="s">
        <v>824</v>
      </c>
      <c r="D151" s="15" t="s">
        <v>825</v>
      </c>
      <c r="E151" s="15" t="s">
        <v>826</v>
      </c>
      <c r="F151" s="16" t="s">
        <v>50</v>
      </c>
      <c r="G151" s="16" t="s">
        <v>51</v>
      </c>
      <c r="H151" s="16" t="s">
        <v>108</v>
      </c>
      <c r="I151" s="16" t="s">
        <v>156</v>
      </c>
      <c r="J151" s="17">
        <v>950</v>
      </c>
      <c r="K151" s="17"/>
      <c r="L151" s="17" t="s">
        <v>834</v>
      </c>
      <c r="M151" s="17" t="s">
        <v>835</v>
      </c>
      <c r="N151" s="17" t="s">
        <v>85</v>
      </c>
      <c r="O151" s="17" t="s">
        <v>86</v>
      </c>
      <c r="P151" s="17"/>
      <c r="Q151" s="17"/>
      <c r="R151" s="17"/>
      <c r="S151" s="17">
        <f>AVERAGE(0.3*10000,0.66*10000)</f>
        <v>4800</v>
      </c>
      <c r="T151" s="17">
        <f>AVERAGE(0.47*10000,0.85*10000)</f>
        <v>6600</v>
      </c>
      <c r="U151" s="20">
        <f t="shared" si="14"/>
        <v>1.375</v>
      </c>
      <c r="V151" s="22">
        <f t="shared" si="13"/>
        <v>37.5</v>
      </c>
      <c r="W151" s="17">
        <v>43.19</v>
      </c>
      <c r="X151" s="17" t="s">
        <v>56</v>
      </c>
      <c r="Y151" s="17"/>
      <c r="Z151" s="17" t="s">
        <v>56</v>
      </c>
      <c r="AA151" s="17"/>
      <c r="AB151" s="17" t="s">
        <v>57</v>
      </c>
      <c r="AC151" s="17">
        <v>2004</v>
      </c>
      <c r="AD151" s="17">
        <v>1</v>
      </c>
      <c r="AE151" s="17">
        <v>6</v>
      </c>
      <c r="AF151" s="17">
        <v>1.5</v>
      </c>
      <c r="AG151" s="17">
        <v>1996</v>
      </c>
      <c r="AH151" s="14">
        <f t="shared" si="11"/>
        <v>8</v>
      </c>
      <c r="AI151" s="17">
        <f t="shared" si="12"/>
        <v>9.5</v>
      </c>
      <c r="AJ151" s="17">
        <v>9.5</v>
      </c>
      <c r="AK151" s="17" t="s">
        <v>56</v>
      </c>
      <c r="AL151" s="16" t="s">
        <v>828</v>
      </c>
      <c r="AM151" s="15">
        <v>2014</v>
      </c>
      <c r="AN151" s="12" t="s">
        <v>829</v>
      </c>
      <c r="AO151" s="15" t="s">
        <v>56</v>
      </c>
      <c r="AP151" s="15"/>
      <c r="AQ151" s="15" t="s">
        <v>56</v>
      </c>
      <c r="AR151" s="15" t="s">
        <v>58</v>
      </c>
      <c r="AS151" s="15" t="s">
        <v>163</v>
      </c>
      <c r="AT151" s="15" t="s">
        <v>151</v>
      </c>
      <c r="AU151" s="45"/>
      <c r="AV151" s="15"/>
      <c r="AW151" s="12" t="str">
        <f>B151&amp;C151&amp;L151&amp;M151&amp;O151&amp;U151&amp;AL151&amp;AM151</f>
        <v>CubaGardens of the QueenLutjanus jocudog snapperdensity1.375Pina-Amargos2014</v>
      </c>
    </row>
    <row r="152" spans="1:49" ht="14.25" customHeight="1" x14ac:dyDescent="0.35">
      <c r="A152" s="12">
        <v>151</v>
      </c>
      <c r="B152" s="15" t="s">
        <v>823</v>
      </c>
      <c r="C152" s="15" t="s">
        <v>824</v>
      </c>
      <c r="D152" s="15" t="s">
        <v>825</v>
      </c>
      <c r="E152" s="15" t="s">
        <v>826</v>
      </c>
      <c r="F152" s="16" t="s">
        <v>50</v>
      </c>
      <c r="G152" s="16" t="s">
        <v>51</v>
      </c>
      <c r="H152" s="16" t="s">
        <v>108</v>
      </c>
      <c r="I152" s="16" t="s">
        <v>156</v>
      </c>
      <c r="J152" s="17">
        <v>950</v>
      </c>
      <c r="K152" s="17"/>
      <c r="L152" s="17" t="s">
        <v>744</v>
      </c>
      <c r="M152" s="17" t="s">
        <v>745</v>
      </c>
      <c r="N152" s="17" t="s">
        <v>85</v>
      </c>
      <c r="O152" s="17" t="s">
        <v>86</v>
      </c>
      <c r="P152" s="17"/>
      <c r="Q152" s="17"/>
      <c r="R152" s="17"/>
      <c r="S152" s="17">
        <f>AVERAGE(0.4*10000,0.11*10000)</f>
        <v>2550</v>
      </c>
      <c r="T152" s="17">
        <f>AVERAGE(0.54*10000,0.17*10000)</f>
        <v>3550</v>
      </c>
      <c r="U152" s="19">
        <f t="shared" si="14"/>
        <v>1.392156862745098</v>
      </c>
      <c r="V152" s="41">
        <f t="shared" si="13"/>
        <v>39.2156862745098</v>
      </c>
      <c r="W152" s="17">
        <v>48.8</v>
      </c>
      <c r="X152" s="17" t="s">
        <v>56</v>
      </c>
      <c r="Y152" s="17"/>
      <c r="Z152" s="17" t="s">
        <v>56</v>
      </c>
      <c r="AA152" s="17"/>
      <c r="AB152" s="17" t="s">
        <v>57</v>
      </c>
      <c r="AC152" s="17">
        <v>2004</v>
      </c>
      <c r="AD152" s="17">
        <v>1</v>
      </c>
      <c r="AE152" s="17">
        <v>6</v>
      </c>
      <c r="AF152" s="17">
        <v>1.5</v>
      </c>
      <c r="AG152" s="17">
        <v>1996</v>
      </c>
      <c r="AH152" s="14">
        <f t="shared" si="11"/>
        <v>8</v>
      </c>
      <c r="AI152" s="17">
        <f t="shared" si="12"/>
        <v>9.5</v>
      </c>
      <c r="AJ152" s="17">
        <v>9.5</v>
      </c>
      <c r="AK152" s="17" t="s">
        <v>56</v>
      </c>
      <c r="AL152" s="16" t="s">
        <v>828</v>
      </c>
      <c r="AM152" s="15">
        <v>2014</v>
      </c>
      <c r="AN152" s="12" t="s">
        <v>829</v>
      </c>
      <c r="AO152" s="15" t="s">
        <v>56</v>
      </c>
      <c r="AP152" s="15"/>
      <c r="AQ152" s="15" t="s">
        <v>56</v>
      </c>
      <c r="AR152" s="15" t="s">
        <v>58</v>
      </c>
      <c r="AS152" s="15" t="s">
        <v>163</v>
      </c>
      <c r="AT152" s="12" t="s">
        <v>151</v>
      </c>
      <c r="AU152" s="45"/>
      <c r="AV152" s="15"/>
      <c r="AW152" s="12" t="str">
        <f>B152&amp;C152&amp;L152&amp;M152&amp;O152&amp;U152&amp;AL152&amp;AM152</f>
        <v>CubaGardens of the QueenEpinephelus striatusnassau grouperdensity1.3921568627451Pina-Amargos2014</v>
      </c>
    </row>
    <row r="153" spans="1:49" ht="14.25" customHeight="1" x14ac:dyDescent="0.35">
      <c r="A153" s="12">
        <v>152</v>
      </c>
      <c r="B153" s="12" t="s">
        <v>823</v>
      </c>
      <c r="C153" s="12" t="s">
        <v>824</v>
      </c>
      <c r="D153" s="12" t="s">
        <v>825</v>
      </c>
      <c r="E153" s="12" t="s">
        <v>826</v>
      </c>
      <c r="F153" s="13" t="s">
        <v>50</v>
      </c>
      <c r="G153" s="13" t="s">
        <v>51</v>
      </c>
      <c r="H153" s="13" t="s">
        <v>108</v>
      </c>
      <c r="I153" s="13" t="s">
        <v>156</v>
      </c>
      <c r="J153" s="14">
        <v>950</v>
      </c>
      <c r="K153" s="14"/>
      <c r="L153" s="14" t="s">
        <v>836</v>
      </c>
      <c r="M153" s="14" t="s">
        <v>751</v>
      </c>
      <c r="N153" s="14" t="s">
        <v>85</v>
      </c>
      <c r="O153" s="14" t="s">
        <v>86</v>
      </c>
      <c r="P153" s="14"/>
      <c r="Q153" s="14"/>
      <c r="R153" s="14"/>
      <c r="S153" s="14">
        <f>AVERAGE(0.39*10000,0.11*10000)</f>
        <v>2500</v>
      </c>
      <c r="T153" s="14">
        <f>AVERAGE(0.52*10000,0.33*10000)</f>
        <v>4250</v>
      </c>
      <c r="U153" s="19">
        <f t="shared" si="14"/>
        <v>1.7</v>
      </c>
      <c r="V153" s="41">
        <f t="shared" si="13"/>
        <v>70</v>
      </c>
      <c r="W153" s="14">
        <v>123.56</v>
      </c>
      <c r="X153" s="14" t="s">
        <v>56</v>
      </c>
      <c r="Z153" s="14" t="s">
        <v>56</v>
      </c>
      <c r="AA153" s="14"/>
      <c r="AB153" s="14" t="s">
        <v>57</v>
      </c>
      <c r="AC153" s="14">
        <v>2004</v>
      </c>
      <c r="AD153" s="14">
        <v>1</v>
      </c>
      <c r="AE153" s="14">
        <v>6</v>
      </c>
      <c r="AF153" s="14">
        <v>1.5</v>
      </c>
      <c r="AG153" s="14">
        <v>1996</v>
      </c>
      <c r="AH153" s="14">
        <f t="shared" si="11"/>
        <v>8</v>
      </c>
      <c r="AI153" s="17">
        <f t="shared" si="12"/>
        <v>9.5</v>
      </c>
      <c r="AJ153" s="14">
        <v>9.5</v>
      </c>
      <c r="AK153" s="14" t="s">
        <v>56</v>
      </c>
      <c r="AL153" s="13" t="s">
        <v>828</v>
      </c>
      <c r="AM153" s="12">
        <v>2014</v>
      </c>
      <c r="AN153" s="12" t="s">
        <v>829</v>
      </c>
      <c r="AO153" s="12" t="s">
        <v>56</v>
      </c>
      <c r="AP153" s="12"/>
      <c r="AQ153" s="12" t="s">
        <v>56</v>
      </c>
      <c r="AR153" s="12" t="s">
        <v>58</v>
      </c>
      <c r="AS153" s="12" t="s">
        <v>163</v>
      </c>
      <c r="AT153" s="12" t="s">
        <v>151</v>
      </c>
      <c r="AU153" s="45"/>
      <c r="AV153" s="15"/>
      <c r="AW153" s="12" t="str">
        <f>B153&amp;C153&amp;L153&amp;M153&amp;O153&amp;U153&amp;AL153&amp;AM153</f>
        <v>CubaGardens of the QueenMycteroperca venenosayellowfin grouperdensity1.7Pina-Amargos2014</v>
      </c>
    </row>
    <row r="154" spans="1:49" ht="14.25" customHeight="1" x14ac:dyDescent="0.35">
      <c r="A154" s="12">
        <v>153</v>
      </c>
      <c r="B154" s="12" t="s">
        <v>823</v>
      </c>
      <c r="C154" s="12" t="s">
        <v>824</v>
      </c>
      <c r="D154" s="12" t="s">
        <v>825</v>
      </c>
      <c r="E154" s="12" t="s">
        <v>826</v>
      </c>
      <c r="F154" s="13" t="s">
        <v>50</v>
      </c>
      <c r="G154" s="13" t="s">
        <v>51</v>
      </c>
      <c r="H154" s="13" t="s">
        <v>108</v>
      </c>
      <c r="I154" s="13" t="s">
        <v>156</v>
      </c>
      <c r="J154" s="14">
        <v>950</v>
      </c>
      <c r="K154" s="14"/>
      <c r="L154" s="14" t="s">
        <v>752</v>
      </c>
      <c r="M154" s="14" t="s">
        <v>753</v>
      </c>
      <c r="N154" s="14" t="s">
        <v>85</v>
      </c>
      <c r="O154" s="17" t="s">
        <v>86</v>
      </c>
      <c r="P154" s="14"/>
      <c r="Q154" s="14"/>
      <c r="R154" s="14"/>
      <c r="S154" s="14">
        <f>AVERAGE(0.14*10000,0.14*10000)</f>
        <v>1400.0000000000002</v>
      </c>
      <c r="T154" s="14">
        <f>AVERAGE(0.31*10000,0.28*10000)</f>
        <v>2950</v>
      </c>
      <c r="U154" s="19">
        <f t="shared" si="14"/>
        <v>2.1071428571428568</v>
      </c>
      <c r="V154" s="41">
        <f t="shared" si="13"/>
        <v>110.71428571428568</v>
      </c>
      <c r="W154" s="14">
        <v>109.85</v>
      </c>
      <c r="X154" s="14" t="s">
        <v>56</v>
      </c>
      <c r="Z154" s="14" t="s">
        <v>56</v>
      </c>
      <c r="AA154" s="14"/>
      <c r="AB154" s="14" t="s">
        <v>57</v>
      </c>
      <c r="AC154" s="14">
        <v>2004</v>
      </c>
      <c r="AD154" s="14">
        <v>1</v>
      </c>
      <c r="AE154" s="14">
        <v>6</v>
      </c>
      <c r="AF154" s="14">
        <v>1.5</v>
      </c>
      <c r="AG154" s="14">
        <v>1996</v>
      </c>
      <c r="AH154" s="14">
        <f t="shared" si="11"/>
        <v>8</v>
      </c>
      <c r="AI154" s="17">
        <f t="shared" si="12"/>
        <v>9.5</v>
      </c>
      <c r="AJ154" s="14">
        <v>9.5</v>
      </c>
      <c r="AK154" s="14" t="s">
        <v>56</v>
      </c>
      <c r="AL154" s="13" t="s">
        <v>828</v>
      </c>
      <c r="AM154" s="12">
        <v>2014</v>
      </c>
      <c r="AN154" s="12" t="s">
        <v>829</v>
      </c>
      <c r="AO154" s="12" t="s">
        <v>56</v>
      </c>
      <c r="AP154" s="12"/>
      <c r="AQ154" s="12" t="s">
        <v>56</v>
      </c>
      <c r="AR154" s="12" t="s">
        <v>58</v>
      </c>
      <c r="AS154" s="12" t="s">
        <v>163</v>
      </c>
      <c r="AT154" s="12" t="s">
        <v>151</v>
      </c>
      <c r="AU154" s="45"/>
      <c r="AV154" s="15"/>
      <c r="AW154" s="12" t="str">
        <f>B154&amp;C154&amp;L154&amp;M154&amp;O154&amp;U154&amp;AL154&amp;AM154</f>
        <v>CubaGardens of the QueenMycteroperca bonaciblack grouperdensity2.10714285714286Pina-Amargos2014</v>
      </c>
    </row>
    <row r="155" spans="1:49" ht="14.25" customHeight="1" x14ac:dyDescent="0.35">
      <c r="A155" s="12">
        <v>154</v>
      </c>
      <c r="B155" s="12" t="s">
        <v>823</v>
      </c>
      <c r="C155" s="12" t="s">
        <v>824</v>
      </c>
      <c r="D155" s="12" t="s">
        <v>825</v>
      </c>
      <c r="E155" s="12" t="s">
        <v>826</v>
      </c>
      <c r="F155" s="13" t="s">
        <v>50</v>
      </c>
      <c r="G155" s="13" t="s">
        <v>51</v>
      </c>
      <c r="H155" s="13" t="s">
        <v>108</v>
      </c>
      <c r="I155" s="13" t="s">
        <v>156</v>
      </c>
      <c r="J155" s="14">
        <v>950</v>
      </c>
      <c r="K155" s="17"/>
      <c r="L155" s="14" t="s">
        <v>748</v>
      </c>
      <c r="M155" s="14" t="s">
        <v>749</v>
      </c>
      <c r="N155" s="14" t="s">
        <v>85</v>
      </c>
      <c r="O155" s="17" t="s">
        <v>86</v>
      </c>
      <c r="P155" s="14"/>
      <c r="Q155" s="14"/>
      <c r="R155" s="14"/>
      <c r="S155" s="14">
        <f>AVERAGE(0.5*10000,0.31*10000)</f>
        <v>4050</v>
      </c>
      <c r="T155" s="14">
        <f>AVERAGE(0.44*10000,0.37*10000)</f>
        <v>4050</v>
      </c>
      <c r="U155" s="19">
        <f t="shared" si="14"/>
        <v>1</v>
      </c>
      <c r="V155" s="41">
        <f t="shared" si="13"/>
        <v>0</v>
      </c>
      <c r="W155" s="14">
        <v>5.76</v>
      </c>
      <c r="X155" s="14" t="s">
        <v>56</v>
      </c>
      <c r="Z155" s="14" t="s">
        <v>56</v>
      </c>
      <c r="AA155" s="14"/>
      <c r="AB155" s="14" t="s">
        <v>57</v>
      </c>
      <c r="AC155" s="14">
        <v>2004</v>
      </c>
      <c r="AD155" s="14">
        <v>1</v>
      </c>
      <c r="AE155" s="14">
        <v>6</v>
      </c>
      <c r="AF155" s="14">
        <v>1.5</v>
      </c>
      <c r="AG155" s="14">
        <v>1996</v>
      </c>
      <c r="AH155" s="14">
        <f t="shared" si="11"/>
        <v>8</v>
      </c>
      <c r="AI155" s="17">
        <f t="shared" si="12"/>
        <v>9.5</v>
      </c>
      <c r="AJ155" s="14">
        <v>9.5</v>
      </c>
      <c r="AK155" s="14" t="s">
        <v>56</v>
      </c>
      <c r="AL155" s="13" t="s">
        <v>828</v>
      </c>
      <c r="AM155" s="12">
        <v>2014</v>
      </c>
      <c r="AN155" s="12" t="s">
        <v>829</v>
      </c>
      <c r="AO155" s="12" t="s">
        <v>56</v>
      </c>
      <c r="AP155" s="12"/>
      <c r="AQ155" s="12" t="s">
        <v>56</v>
      </c>
      <c r="AR155" s="12" t="s">
        <v>58</v>
      </c>
      <c r="AS155" s="12" t="s">
        <v>163</v>
      </c>
      <c r="AT155" s="12" t="s">
        <v>151</v>
      </c>
      <c r="AU155" s="45"/>
      <c r="AV155" s="15"/>
      <c r="AW155" s="12" t="str">
        <f>B155&amp;C155&amp;L155&amp;M155&amp;O155&amp;U155&amp;AL155&amp;AM155</f>
        <v>CubaGardens of the QueenMycteroperca tigristiger grouperdensity1Pina-Amargos2014</v>
      </c>
    </row>
    <row r="156" spans="1:49" ht="14.25" customHeight="1" x14ac:dyDescent="0.35">
      <c r="A156" s="12">
        <v>155</v>
      </c>
      <c r="B156" s="12" t="s">
        <v>823</v>
      </c>
      <c r="C156" s="12" t="s">
        <v>824</v>
      </c>
      <c r="D156" s="12" t="s">
        <v>825</v>
      </c>
      <c r="E156" s="12" t="s">
        <v>826</v>
      </c>
      <c r="F156" s="13" t="s">
        <v>50</v>
      </c>
      <c r="G156" s="13" t="s">
        <v>51</v>
      </c>
      <c r="H156" s="13" t="s">
        <v>108</v>
      </c>
      <c r="I156" s="13" t="s">
        <v>156</v>
      </c>
      <c r="J156" s="14">
        <v>950</v>
      </c>
      <c r="K156" s="17"/>
      <c r="L156" s="14" t="s">
        <v>708</v>
      </c>
      <c r="M156" s="14" t="s">
        <v>837</v>
      </c>
      <c r="N156" s="14" t="s">
        <v>85</v>
      </c>
      <c r="O156" s="17" t="s">
        <v>86</v>
      </c>
      <c r="P156" s="14"/>
      <c r="Q156" s="14"/>
      <c r="R156" s="14"/>
      <c r="S156" s="14">
        <f>AVERAGE(1.38*10000,0.21*10000)</f>
        <v>7949.9999999999991</v>
      </c>
      <c r="T156" s="14">
        <f>AVERAGE(2.35*10000,0.84*10000)</f>
        <v>15950</v>
      </c>
      <c r="U156" s="19">
        <f t="shared" si="14"/>
        <v>2.0062893081761008</v>
      </c>
      <c r="V156" s="41">
        <f t="shared" si="13"/>
        <v>100.62893081761008</v>
      </c>
      <c r="W156" s="14">
        <v>184.91</v>
      </c>
      <c r="X156" s="14" t="s">
        <v>56</v>
      </c>
      <c r="Z156" s="14" t="s">
        <v>56</v>
      </c>
      <c r="AA156" s="14"/>
      <c r="AB156" s="14" t="s">
        <v>57</v>
      </c>
      <c r="AC156" s="14">
        <v>2004</v>
      </c>
      <c r="AD156" s="14">
        <v>1</v>
      </c>
      <c r="AE156" s="14">
        <v>6</v>
      </c>
      <c r="AF156" s="14">
        <v>1.5</v>
      </c>
      <c r="AG156" s="14">
        <v>1996</v>
      </c>
      <c r="AH156" s="14">
        <f t="shared" si="11"/>
        <v>8</v>
      </c>
      <c r="AI156" s="17">
        <f t="shared" si="12"/>
        <v>9.5</v>
      </c>
      <c r="AJ156" s="14">
        <v>9.5</v>
      </c>
      <c r="AK156" s="14" t="s">
        <v>56</v>
      </c>
      <c r="AL156" s="13" t="s">
        <v>828</v>
      </c>
      <c r="AM156" s="12">
        <v>2014</v>
      </c>
      <c r="AN156" s="12" t="s">
        <v>829</v>
      </c>
      <c r="AO156" s="12" t="s">
        <v>56</v>
      </c>
      <c r="AP156" s="12"/>
      <c r="AQ156" s="12" t="s">
        <v>56</v>
      </c>
      <c r="AR156" s="12" t="s">
        <v>58</v>
      </c>
      <c r="AS156" s="12" t="s">
        <v>163</v>
      </c>
      <c r="AT156" s="12" t="s">
        <v>151</v>
      </c>
      <c r="AU156" s="45"/>
      <c r="AV156" s="15"/>
      <c r="AW156" s="12" t="str">
        <f>B156&amp;C156&amp;L156&amp;M156&amp;O156&amp;U156&amp;AL156&amp;AM156</f>
        <v>CubaGardens of the QueenLachnolaimus maximushogfishdensity2.0062893081761Pina-Amargos2014</v>
      </c>
    </row>
    <row r="157" spans="1:49" ht="14.25" customHeight="1" x14ac:dyDescent="0.35">
      <c r="A157" s="12">
        <v>156</v>
      </c>
      <c r="B157" s="12" t="s">
        <v>153</v>
      </c>
      <c r="C157" s="12" t="s">
        <v>154</v>
      </c>
      <c r="D157" s="12" t="s">
        <v>154</v>
      </c>
      <c r="E157" s="12" t="s">
        <v>155</v>
      </c>
      <c r="F157" s="13" t="s">
        <v>50</v>
      </c>
      <c r="G157" s="13" t="s">
        <v>51</v>
      </c>
      <c r="H157" s="13" t="s">
        <v>52</v>
      </c>
      <c r="I157" s="13" t="s">
        <v>156</v>
      </c>
      <c r="J157" s="14">
        <v>0.22500000000000001</v>
      </c>
      <c r="K157" s="17"/>
      <c r="L157" s="14" t="s">
        <v>157</v>
      </c>
      <c r="M157" s="14" t="s">
        <v>158</v>
      </c>
      <c r="N157" s="14" t="s">
        <v>85</v>
      </c>
      <c r="O157" s="17" t="s">
        <v>86</v>
      </c>
      <c r="P157" s="14"/>
      <c r="Q157" s="14"/>
      <c r="R157" s="14"/>
      <c r="S157" s="14">
        <f>0.5*1000</f>
        <v>500</v>
      </c>
      <c r="T157" s="14">
        <f>3.2*1000</f>
        <v>3200</v>
      </c>
      <c r="U157" s="19">
        <f t="shared" si="14"/>
        <v>6.4</v>
      </c>
      <c r="V157" s="41">
        <f t="shared" si="13"/>
        <v>540</v>
      </c>
      <c r="W157" s="14">
        <v>572.34</v>
      </c>
      <c r="X157" s="14" t="s">
        <v>56</v>
      </c>
      <c r="Z157" s="14" t="s">
        <v>56</v>
      </c>
      <c r="AA157" s="14"/>
      <c r="AB157" s="14" t="s">
        <v>57</v>
      </c>
      <c r="AC157" s="14">
        <v>1983</v>
      </c>
      <c r="AD157" s="14">
        <v>30</v>
      </c>
      <c r="AE157" s="14"/>
      <c r="AF157" s="14">
        <v>28</v>
      </c>
      <c r="AG157" s="14">
        <v>1982</v>
      </c>
      <c r="AH157" s="14">
        <f t="shared" si="11"/>
        <v>1</v>
      </c>
      <c r="AI157" s="17">
        <f t="shared" si="12"/>
        <v>31</v>
      </c>
      <c r="AJ157" s="14">
        <v>31</v>
      </c>
      <c r="AK157" s="14" t="s">
        <v>58</v>
      </c>
      <c r="AL157" s="13" t="s">
        <v>159</v>
      </c>
      <c r="AM157" s="12">
        <v>2015</v>
      </c>
      <c r="AN157" s="12" t="s">
        <v>160</v>
      </c>
      <c r="AO157" s="12" t="s">
        <v>161</v>
      </c>
      <c r="AP157" s="12" t="s">
        <v>162</v>
      </c>
      <c r="AQ157" s="12" t="s">
        <v>56</v>
      </c>
      <c r="AR157" s="12" t="s">
        <v>58</v>
      </c>
      <c r="AS157" s="12" t="s">
        <v>163</v>
      </c>
      <c r="AT157" s="12" t="s">
        <v>151</v>
      </c>
      <c r="AU157" s="45"/>
      <c r="AV157" s="15"/>
      <c r="AW157" s="12" t="str">
        <f>B157&amp;C157&amp;L157&amp;M157&amp;O157&amp;U157&amp;AL157&amp;AM157</f>
        <v>PhilippinesApo Island ReserveParupeneus barberinoidesbicolor goatfishdensity6.4Russ2015</v>
      </c>
    </row>
    <row r="158" spans="1:49" ht="14.25" customHeight="1" x14ac:dyDescent="0.35">
      <c r="A158" s="12">
        <v>157</v>
      </c>
      <c r="B158" s="12" t="s">
        <v>153</v>
      </c>
      <c r="C158" s="12" t="s">
        <v>154</v>
      </c>
      <c r="D158" s="12" t="s">
        <v>154</v>
      </c>
      <c r="E158" s="12" t="s">
        <v>155</v>
      </c>
      <c r="F158" s="13" t="s">
        <v>50</v>
      </c>
      <c r="G158" s="13" t="s">
        <v>51</v>
      </c>
      <c r="H158" s="13" t="s">
        <v>52</v>
      </c>
      <c r="I158" s="13" t="s">
        <v>156</v>
      </c>
      <c r="J158" s="14">
        <v>0.22500000000000001</v>
      </c>
      <c r="K158" s="14"/>
      <c r="L158" s="14" t="s">
        <v>164</v>
      </c>
      <c r="M158" s="14" t="s">
        <v>165</v>
      </c>
      <c r="N158" s="14" t="s">
        <v>85</v>
      </c>
      <c r="O158" s="17" t="s">
        <v>86</v>
      </c>
      <c r="P158" s="14"/>
      <c r="Q158" s="14"/>
      <c r="R158" s="14"/>
      <c r="S158" s="14">
        <f>0.52*1000</f>
        <v>520</v>
      </c>
      <c r="T158" s="14">
        <f>0.66*1000</f>
        <v>660</v>
      </c>
      <c r="U158" s="19">
        <f t="shared" si="14"/>
        <v>1.2692307692307692</v>
      </c>
      <c r="V158" s="41">
        <f t="shared" si="13"/>
        <v>26.923076923076916</v>
      </c>
      <c r="W158" s="14">
        <v>354.17</v>
      </c>
      <c r="X158" s="14" t="s">
        <v>56</v>
      </c>
      <c r="Z158" s="14" t="s">
        <v>56</v>
      </c>
      <c r="AA158" s="14"/>
      <c r="AB158" s="14" t="s">
        <v>57</v>
      </c>
      <c r="AC158" s="14">
        <v>1983</v>
      </c>
      <c r="AD158" s="14">
        <v>30</v>
      </c>
      <c r="AE158" s="14"/>
      <c r="AF158" s="14">
        <v>28</v>
      </c>
      <c r="AG158" s="14">
        <v>1982</v>
      </c>
      <c r="AH158" s="14">
        <f t="shared" si="11"/>
        <v>1</v>
      </c>
      <c r="AI158" s="17">
        <f t="shared" si="12"/>
        <v>31</v>
      </c>
      <c r="AJ158" s="14">
        <v>31</v>
      </c>
      <c r="AK158" s="14" t="s">
        <v>58</v>
      </c>
      <c r="AL158" s="13" t="s">
        <v>159</v>
      </c>
      <c r="AM158" s="12">
        <v>2015</v>
      </c>
      <c r="AN158" s="12" t="s">
        <v>160</v>
      </c>
      <c r="AO158" s="12" t="s">
        <v>161</v>
      </c>
      <c r="AP158" s="12" t="s">
        <v>162</v>
      </c>
      <c r="AQ158" s="12" t="s">
        <v>56</v>
      </c>
      <c r="AR158" s="12" t="s">
        <v>58</v>
      </c>
      <c r="AS158" s="12" t="s">
        <v>163</v>
      </c>
      <c r="AT158" s="12" t="s">
        <v>151</v>
      </c>
      <c r="AU158" s="45"/>
      <c r="AV158" s="15"/>
      <c r="AW158" s="12" t="str">
        <f>B158&amp;C158&amp;L158&amp;M158&amp;O158&amp;U158&amp;AL158&amp;AM158</f>
        <v>PhilippinesApo Island ReserveParupeneus crassilabrisdoublebar goatfishdensity1.26923076923077Russ2015</v>
      </c>
    </row>
    <row r="159" spans="1:49" ht="14.25" customHeight="1" x14ac:dyDescent="0.35">
      <c r="A159" s="12">
        <v>158</v>
      </c>
      <c r="B159" s="12" t="s">
        <v>153</v>
      </c>
      <c r="C159" s="12" t="s">
        <v>154</v>
      </c>
      <c r="D159" s="15" t="s">
        <v>154</v>
      </c>
      <c r="E159" s="12" t="s">
        <v>155</v>
      </c>
      <c r="F159" s="13" t="s">
        <v>50</v>
      </c>
      <c r="G159" s="13" t="s">
        <v>51</v>
      </c>
      <c r="H159" s="13" t="s">
        <v>52</v>
      </c>
      <c r="I159" s="13" t="s">
        <v>156</v>
      </c>
      <c r="J159" s="14">
        <v>0.22500000000000001</v>
      </c>
      <c r="K159" s="14"/>
      <c r="L159" s="14" t="s">
        <v>166</v>
      </c>
      <c r="M159" s="14" t="s">
        <v>167</v>
      </c>
      <c r="N159" s="14" t="s">
        <v>85</v>
      </c>
      <c r="O159" s="17" t="s">
        <v>86</v>
      </c>
      <c r="P159" s="14"/>
      <c r="Q159" s="14"/>
      <c r="R159" s="14"/>
      <c r="S159" s="14">
        <f>1.74*1000</f>
        <v>1740</v>
      </c>
      <c r="T159" s="14">
        <f>13.78*1000</f>
        <v>13780</v>
      </c>
      <c r="U159" s="19">
        <f t="shared" si="14"/>
        <v>7.9195402298850572</v>
      </c>
      <c r="V159" s="41">
        <f t="shared" si="13"/>
        <v>691.9540229885057</v>
      </c>
      <c r="W159" s="14">
        <v>640.64</v>
      </c>
      <c r="X159" s="14" t="s">
        <v>56</v>
      </c>
      <c r="Z159" s="14" t="s">
        <v>56</v>
      </c>
      <c r="AA159" s="14"/>
      <c r="AB159" s="14" t="s">
        <v>57</v>
      </c>
      <c r="AC159" s="14">
        <v>1983</v>
      </c>
      <c r="AD159" s="14">
        <v>30</v>
      </c>
      <c r="AE159" s="14"/>
      <c r="AF159" s="14">
        <v>28</v>
      </c>
      <c r="AG159" s="14">
        <v>1982</v>
      </c>
      <c r="AH159" s="14">
        <f t="shared" si="11"/>
        <v>1</v>
      </c>
      <c r="AI159" s="17">
        <f t="shared" si="12"/>
        <v>31</v>
      </c>
      <c r="AJ159" s="14">
        <v>31</v>
      </c>
      <c r="AK159" s="14" t="s">
        <v>58</v>
      </c>
      <c r="AL159" s="13" t="s">
        <v>159</v>
      </c>
      <c r="AM159" s="12">
        <v>2015</v>
      </c>
      <c r="AN159" s="12" t="s">
        <v>160</v>
      </c>
      <c r="AO159" s="12" t="s">
        <v>161</v>
      </c>
      <c r="AP159" s="12" t="s">
        <v>162</v>
      </c>
      <c r="AQ159" s="12" t="s">
        <v>56</v>
      </c>
      <c r="AR159" s="12" t="s">
        <v>58</v>
      </c>
      <c r="AS159" s="12" t="s">
        <v>163</v>
      </c>
      <c r="AT159" s="12" t="s">
        <v>151</v>
      </c>
      <c r="AU159" s="45"/>
      <c r="AV159" s="15"/>
      <c r="AW159" s="12" t="str">
        <f>B159&amp;C159&amp;L159&amp;M159&amp;O159&amp;U159&amp;AL159&amp;AM159</f>
        <v>PhilippinesApo Island ReserveParupeneus multifasciatusmanybar goatfishdensity7.91954022988506Russ2015</v>
      </c>
    </row>
    <row r="160" spans="1:49" ht="14.25" customHeight="1" x14ac:dyDescent="0.35">
      <c r="A160" s="12">
        <v>159</v>
      </c>
      <c r="B160" s="12" t="s">
        <v>153</v>
      </c>
      <c r="C160" s="44" t="s">
        <v>1893</v>
      </c>
      <c r="D160" s="43" t="s">
        <v>1893</v>
      </c>
      <c r="E160" s="12" t="s">
        <v>155</v>
      </c>
      <c r="F160" s="13" t="s">
        <v>50</v>
      </c>
      <c r="G160" s="13" t="s">
        <v>51</v>
      </c>
      <c r="H160" s="13" t="s">
        <v>52</v>
      </c>
      <c r="I160" s="13" t="s">
        <v>156</v>
      </c>
      <c r="J160" s="14">
        <v>0.375</v>
      </c>
      <c r="K160" s="17"/>
      <c r="L160" s="14" t="s">
        <v>1895</v>
      </c>
      <c r="M160" s="14" t="s">
        <v>158</v>
      </c>
      <c r="N160" s="14" t="s">
        <v>85</v>
      </c>
      <c r="O160" s="17" t="s">
        <v>86</v>
      </c>
      <c r="P160" s="14"/>
      <c r="Q160" s="14">
        <f>5.3*1000</f>
        <v>5300</v>
      </c>
      <c r="R160" s="14">
        <f>1.65*1000</f>
        <v>1650</v>
      </c>
      <c r="S160" s="14">
        <f>7.72*1000</f>
        <v>7720</v>
      </c>
      <c r="T160" s="14">
        <f>0.47*1000</f>
        <v>470</v>
      </c>
      <c r="U160" s="19" t="str">
        <f>IFERROR(IF(AND(Q160="",#REF!="",S160="",T160=""),"",IF(AND(Q160&lt;&gt;"",#REF!&lt;&gt;"",S160&lt;&gt;"",T160&lt;&gt;""),(T160/#REF!)/(S160/Q160),IF(AND(Q160&lt;&gt;"",#REF!&lt;&gt;""),#REF!/Q160,IF(AND(S160&lt;&gt;"",T160&lt;&gt;""),T160/S160,IF(AND(Q160&lt;&gt;"",S160&lt;&gt;""),Q160/S160,IF(AND(#REF!&lt;&gt;"",T160&lt;&gt;""),T160/#REF!)))))), "N/A")</f>
        <v>N/A</v>
      </c>
      <c r="V160" s="41" t="str">
        <f t="shared" si="13"/>
        <v>N/A</v>
      </c>
      <c r="W160" s="14">
        <v>-92.61</v>
      </c>
      <c r="X160" s="14" t="s">
        <v>56</v>
      </c>
      <c r="Z160" s="14" t="s">
        <v>56</v>
      </c>
      <c r="AA160" s="14"/>
      <c r="AB160" s="14" t="s">
        <v>111</v>
      </c>
      <c r="AC160" s="14">
        <v>1983</v>
      </c>
      <c r="AD160" s="14">
        <v>30</v>
      </c>
      <c r="AE160" s="14"/>
      <c r="AF160" s="14">
        <v>13</v>
      </c>
      <c r="AG160" s="14">
        <v>1999</v>
      </c>
      <c r="AH160" s="14">
        <f t="shared" si="11"/>
        <v>-16</v>
      </c>
      <c r="AI160" s="17">
        <f t="shared" si="12"/>
        <v>14</v>
      </c>
      <c r="AJ160" s="14">
        <v>34</v>
      </c>
      <c r="AK160" s="14" t="s">
        <v>58</v>
      </c>
      <c r="AL160" s="13" t="s">
        <v>159</v>
      </c>
      <c r="AM160" s="12">
        <v>2015</v>
      </c>
      <c r="AN160" s="12" t="s">
        <v>160</v>
      </c>
      <c r="AO160" s="12" t="s">
        <v>161</v>
      </c>
      <c r="AP160" s="12" t="s">
        <v>162</v>
      </c>
      <c r="AQ160" s="12" t="s">
        <v>56</v>
      </c>
      <c r="AR160" s="12" t="s">
        <v>58</v>
      </c>
      <c r="AS160" s="12" t="s">
        <v>163</v>
      </c>
      <c r="AT160" s="12" t="s">
        <v>151</v>
      </c>
      <c r="AU160" s="45" t="s">
        <v>2650</v>
      </c>
      <c r="AV160" s="15"/>
      <c r="AW160" s="12" t="str">
        <f>B160&amp;C160&amp;L160&amp;M160&amp;O160&amp;U160&amp;AL160&amp;AM160</f>
        <v>PhilippinesSumilon Island ReserveParupeneus barberinusbicolor goatfishdensityN/ARuss2015</v>
      </c>
    </row>
    <row r="161" spans="1:49" ht="14.25" customHeight="1" x14ac:dyDescent="0.35">
      <c r="A161" s="12">
        <v>160</v>
      </c>
      <c r="B161" s="12" t="s">
        <v>153</v>
      </c>
      <c r="C161" s="44" t="s">
        <v>1893</v>
      </c>
      <c r="D161" s="43" t="s">
        <v>1893</v>
      </c>
      <c r="E161" s="12" t="s">
        <v>155</v>
      </c>
      <c r="F161" s="13" t="s">
        <v>50</v>
      </c>
      <c r="G161" s="13" t="s">
        <v>51</v>
      </c>
      <c r="H161" s="13" t="s">
        <v>52</v>
      </c>
      <c r="I161" s="13" t="s">
        <v>156</v>
      </c>
      <c r="J161" s="14">
        <v>0.375</v>
      </c>
      <c r="K161" s="17"/>
      <c r="L161" s="14" t="s">
        <v>164</v>
      </c>
      <c r="M161" s="14" t="s">
        <v>165</v>
      </c>
      <c r="N161" s="14" t="s">
        <v>85</v>
      </c>
      <c r="O161" s="14" t="s">
        <v>86</v>
      </c>
      <c r="P161" s="14"/>
      <c r="Q161" s="12">
        <f>5.3*1000</f>
        <v>5300</v>
      </c>
      <c r="R161" s="14">
        <f>1.01*1000</f>
        <v>1010</v>
      </c>
      <c r="S161" s="14">
        <f>2.33*1000</f>
        <v>2330</v>
      </c>
      <c r="T161" s="14">
        <f>0.54*1000</f>
        <v>540</v>
      </c>
      <c r="U161" s="19">
        <f>IFERROR(IF(AND(R160="",R161="",S161="",T161=""),"",IF(AND(R160&lt;&gt;"",R161&lt;&gt;"",S161&lt;&gt;"",T161&lt;&gt;""),(T161/R161)/(S161/R160),IF(AND(R160&lt;&gt;"",R161&lt;&gt;""),R161/R160,IF(AND(S161&lt;&gt;"",T161&lt;&gt;""),T161/S161,IF(AND(R160&lt;&gt;"",S161&lt;&gt;""),R160/S161,IF(AND(R161&lt;&gt;"",T161&lt;&gt;""),T161/R161)))))), "N/A")</f>
        <v>0.37861726086771769</v>
      </c>
      <c r="V161" s="41">
        <f t="shared" si="13"/>
        <v>-62.13827391322824</v>
      </c>
      <c r="W161" s="14">
        <v>-82.98</v>
      </c>
      <c r="X161" s="14" t="s">
        <v>56</v>
      </c>
      <c r="Z161" s="14" t="s">
        <v>56</v>
      </c>
      <c r="AA161" s="14"/>
      <c r="AB161" s="14" t="s">
        <v>111</v>
      </c>
      <c r="AC161" s="14">
        <v>1983</v>
      </c>
      <c r="AD161" s="14">
        <v>30</v>
      </c>
      <c r="AE161" s="14"/>
      <c r="AF161" s="14">
        <v>13</v>
      </c>
      <c r="AG161" s="14">
        <v>1999</v>
      </c>
      <c r="AH161" s="14">
        <f t="shared" si="11"/>
        <v>-16</v>
      </c>
      <c r="AI161" s="17">
        <f t="shared" si="12"/>
        <v>14</v>
      </c>
      <c r="AJ161" s="14">
        <v>34</v>
      </c>
      <c r="AK161" s="14" t="s">
        <v>58</v>
      </c>
      <c r="AL161" s="13" t="s">
        <v>159</v>
      </c>
      <c r="AM161" s="12">
        <v>2015</v>
      </c>
      <c r="AN161" s="12" t="s">
        <v>160</v>
      </c>
      <c r="AO161" s="12" t="s">
        <v>161</v>
      </c>
      <c r="AP161" s="12" t="s">
        <v>162</v>
      </c>
      <c r="AQ161" s="12" t="s">
        <v>56</v>
      </c>
      <c r="AR161" s="12" t="s">
        <v>58</v>
      </c>
      <c r="AS161" s="12" t="s">
        <v>163</v>
      </c>
      <c r="AT161" s="12" t="s">
        <v>151</v>
      </c>
      <c r="AU161" s="45" t="s">
        <v>2650</v>
      </c>
      <c r="AV161" s="15"/>
      <c r="AW161" s="12" t="str">
        <f>B161&amp;C161&amp;L161&amp;M161&amp;O161&amp;U161&amp;AL161&amp;AM161</f>
        <v>PhilippinesSumilon Island ReserveParupeneus crassilabrisdoublebar goatfishdensity0.378617260867718Russ2015</v>
      </c>
    </row>
    <row r="162" spans="1:49" ht="14.25" customHeight="1" x14ac:dyDescent="0.35">
      <c r="A162" s="12">
        <v>161</v>
      </c>
      <c r="B162" s="12" t="s">
        <v>153</v>
      </c>
      <c r="C162" s="44" t="s">
        <v>1893</v>
      </c>
      <c r="D162" s="44" t="s">
        <v>1893</v>
      </c>
      <c r="E162" s="12" t="s">
        <v>155</v>
      </c>
      <c r="F162" s="13" t="s">
        <v>50</v>
      </c>
      <c r="G162" s="13" t="s">
        <v>51</v>
      </c>
      <c r="H162" s="13" t="s">
        <v>52</v>
      </c>
      <c r="I162" s="13" t="s">
        <v>156</v>
      </c>
      <c r="J162" s="14">
        <v>0.375</v>
      </c>
      <c r="K162" s="17"/>
      <c r="L162" s="14" t="s">
        <v>166</v>
      </c>
      <c r="M162" s="14" t="s">
        <v>167</v>
      </c>
      <c r="N162" s="14" t="s">
        <v>85</v>
      </c>
      <c r="O162" s="17" t="s">
        <v>86</v>
      </c>
      <c r="P162" s="14"/>
      <c r="Q162" s="14">
        <f>1.5*1000</f>
        <v>1500</v>
      </c>
      <c r="R162" s="14">
        <f>0.5*1000</f>
        <v>500</v>
      </c>
      <c r="S162" s="14">
        <f>4.01*1000</f>
        <v>4010</v>
      </c>
      <c r="T162" s="14">
        <f>0.35*1000</f>
        <v>350</v>
      </c>
      <c r="U162" s="19">
        <f t="shared" si="14"/>
        <v>0.26184538653366579</v>
      </c>
      <c r="V162" s="41">
        <f t="shared" si="13"/>
        <v>-73.815461346633413</v>
      </c>
      <c r="W162" s="14">
        <v>-91.75</v>
      </c>
      <c r="X162" s="14" t="s">
        <v>56</v>
      </c>
      <c r="Z162" s="14" t="s">
        <v>56</v>
      </c>
      <c r="AA162" s="14"/>
      <c r="AB162" s="14" t="s">
        <v>111</v>
      </c>
      <c r="AC162" s="14">
        <v>1983</v>
      </c>
      <c r="AD162" s="14">
        <v>30</v>
      </c>
      <c r="AE162" s="14"/>
      <c r="AF162" s="14">
        <v>13</v>
      </c>
      <c r="AG162" s="14">
        <v>1999</v>
      </c>
      <c r="AH162" s="14">
        <f t="shared" si="11"/>
        <v>-16</v>
      </c>
      <c r="AI162" s="17">
        <f t="shared" si="12"/>
        <v>14</v>
      </c>
      <c r="AJ162" s="14">
        <v>34</v>
      </c>
      <c r="AK162" s="14" t="s">
        <v>58</v>
      </c>
      <c r="AL162" s="13" t="s">
        <v>159</v>
      </c>
      <c r="AM162" s="12">
        <v>2015</v>
      </c>
      <c r="AN162" s="12" t="s">
        <v>160</v>
      </c>
      <c r="AO162" s="12" t="s">
        <v>161</v>
      </c>
      <c r="AP162" s="12" t="s">
        <v>162</v>
      </c>
      <c r="AQ162" s="12" t="s">
        <v>56</v>
      </c>
      <c r="AR162" s="12" t="s">
        <v>58</v>
      </c>
      <c r="AS162" s="12" t="s">
        <v>163</v>
      </c>
      <c r="AT162" s="12" t="s">
        <v>151</v>
      </c>
      <c r="AU162" s="45" t="s">
        <v>2650</v>
      </c>
      <c r="AV162" s="15"/>
      <c r="AW162" s="12" t="str">
        <f>B162&amp;C162&amp;L162&amp;M162&amp;O162&amp;U162&amp;AL162&amp;AM162</f>
        <v>PhilippinesSumilon Island ReserveParupeneus multifasciatusmanybar goatfishdensity0.261845386533666Russ2015</v>
      </c>
    </row>
    <row r="163" spans="1:49" ht="14.25" customHeight="1" x14ac:dyDescent="0.35">
      <c r="A163" s="12">
        <v>162</v>
      </c>
      <c r="B163" s="12" t="s">
        <v>153</v>
      </c>
      <c r="C163" s="12" t="s">
        <v>154</v>
      </c>
      <c r="D163" s="12" t="s">
        <v>154</v>
      </c>
      <c r="E163" s="12" t="s">
        <v>155</v>
      </c>
      <c r="F163" s="13" t="s">
        <v>50</v>
      </c>
      <c r="G163" s="13" t="s">
        <v>51</v>
      </c>
      <c r="H163" s="13" t="s">
        <v>52</v>
      </c>
      <c r="I163" s="13" t="s">
        <v>156</v>
      </c>
      <c r="J163" s="14">
        <v>0.22500000000000001</v>
      </c>
      <c r="K163" s="17"/>
      <c r="L163" s="14" t="s">
        <v>168</v>
      </c>
      <c r="M163" s="14" t="s">
        <v>169</v>
      </c>
      <c r="N163" s="14" t="s">
        <v>170</v>
      </c>
      <c r="O163" s="17" t="s">
        <v>55</v>
      </c>
      <c r="P163" s="14"/>
      <c r="Q163" s="14"/>
      <c r="R163" s="14"/>
      <c r="S163" s="14">
        <f>1.5</f>
        <v>1.5</v>
      </c>
      <c r="T163" s="14">
        <v>2.66</v>
      </c>
      <c r="U163" s="19">
        <f t="shared" si="14"/>
        <v>1.7733333333333334</v>
      </c>
      <c r="V163" s="41">
        <f t="shared" si="13"/>
        <v>77.333333333333343</v>
      </c>
      <c r="W163" s="14">
        <v>174.5</v>
      </c>
      <c r="X163" s="14" t="s">
        <v>56</v>
      </c>
      <c r="Z163" s="14" t="s">
        <v>56</v>
      </c>
      <c r="AA163" s="14"/>
      <c r="AB163" s="14" t="s">
        <v>57</v>
      </c>
      <c r="AC163" s="14">
        <v>1983</v>
      </c>
      <c r="AD163" s="14">
        <v>30</v>
      </c>
      <c r="AE163" s="14"/>
      <c r="AF163" s="14">
        <v>28</v>
      </c>
      <c r="AG163" s="14">
        <v>1982</v>
      </c>
      <c r="AH163" s="14">
        <f t="shared" si="11"/>
        <v>1</v>
      </c>
      <c r="AI163" s="17">
        <f t="shared" si="12"/>
        <v>31</v>
      </c>
      <c r="AJ163" s="14">
        <v>31</v>
      </c>
      <c r="AK163" s="14" t="s">
        <v>58</v>
      </c>
      <c r="AL163" s="13" t="s">
        <v>159</v>
      </c>
      <c r="AM163" s="12">
        <v>2015</v>
      </c>
      <c r="AN163" s="12" t="s">
        <v>160</v>
      </c>
      <c r="AO163" s="12" t="s">
        <v>161</v>
      </c>
      <c r="AP163" s="12" t="s">
        <v>162</v>
      </c>
      <c r="AQ163" s="12" t="s">
        <v>56</v>
      </c>
      <c r="AR163" s="12" t="s">
        <v>58</v>
      </c>
      <c r="AS163" s="12" t="s">
        <v>163</v>
      </c>
      <c r="AT163" s="12" t="s">
        <v>151</v>
      </c>
      <c r="AU163" s="45"/>
      <c r="AV163" s="15"/>
      <c r="AW163" s="12" t="str">
        <f>B163&amp;C163&amp;L163&amp;M163&amp;O163&amp;U163&amp;AL163&amp;AM163</f>
        <v>PhilippinesApo Island ReserveMullidaegoatfishrichness1.77333333333333Russ2015</v>
      </c>
    </row>
    <row r="164" spans="1:49" ht="14.25" customHeight="1" x14ac:dyDescent="0.35">
      <c r="A164" s="12">
        <v>163</v>
      </c>
      <c r="B164" s="12" t="s">
        <v>153</v>
      </c>
      <c r="C164" s="44" t="s">
        <v>1893</v>
      </c>
      <c r="D164" s="44" t="s">
        <v>1893</v>
      </c>
      <c r="E164" s="12" t="s">
        <v>155</v>
      </c>
      <c r="F164" s="13" t="s">
        <v>50</v>
      </c>
      <c r="G164" s="13" t="s">
        <v>51</v>
      </c>
      <c r="H164" s="13" t="s">
        <v>52</v>
      </c>
      <c r="I164" s="13" t="s">
        <v>156</v>
      </c>
      <c r="J164" s="14">
        <v>0.375</v>
      </c>
      <c r="K164" s="14"/>
      <c r="L164" s="14" t="s">
        <v>168</v>
      </c>
      <c r="M164" s="14" t="s">
        <v>169</v>
      </c>
      <c r="N164" s="14" t="s">
        <v>170</v>
      </c>
      <c r="O164" s="17" t="s">
        <v>55</v>
      </c>
      <c r="P164" s="14"/>
      <c r="Q164" s="14">
        <v>1.7</v>
      </c>
      <c r="R164" s="14">
        <v>1.1000000000000001</v>
      </c>
      <c r="S164" s="14">
        <v>2.71</v>
      </c>
      <c r="T164" s="14">
        <v>0.66</v>
      </c>
      <c r="U164" s="19">
        <f t="shared" si="14"/>
        <v>0.37638376383763833</v>
      </c>
      <c r="V164" s="41">
        <f t="shared" si="13"/>
        <v>-62.361623616236159</v>
      </c>
      <c r="W164" s="14">
        <v>-74.44</v>
      </c>
      <c r="X164" s="14" t="s">
        <v>56</v>
      </c>
      <c r="Z164" s="14" t="s">
        <v>56</v>
      </c>
      <c r="AA164" s="14"/>
      <c r="AB164" s="14" t="s">
        <v>57</v>
      </c>
      <c r="AC164" s="14">
        <v>1983</v>
      </c>
      <c r="AD164" s="14">
        <v>30</v>
      </c>
      <c r="AE164" s="14"/>
      <c r="AF164" s="14">
        <v>13</v>
      </c>
      <c r="AG164" s="14">
        <v>1999</v>
      </c>
      <c r="AH164" s="14">
        <f t="shared" si="11"/>
        <v>-16</v>
      </c>
      <c r="AI164" s="17">
        <f t="shared" si="12"/>
        <v>14</v>
      </c>
      <c r="AJ164" s="14">
        <v>34</v>
      </c>
      <c r="AK164" s="14" t="s">
        <v>58</v>
      </c>
      <c r="AL164" s="13" t="s">
        <v>159</v>
      </c>
      <c r="AM164" s="12">
        <v>2015</v>
      </c>
      <c r="AN164" s="12" t="s">
        <v>160</v>
      </c>
      <c r="AO164" s="12" t="s">
        <v>161</v>
      </c>
      <c r="AP164" s="12" t="s">
        <v>162</v>
      </c>
      <c r="AQ164" s="12" t="s">
        <v>56</v>
      </c>
      <c r="AR164" s="12" t="s">
        <v>58</v>
      </c>
      <c r="AS164" s="12" t="s">
        <v>163</v>
      </c>
      <c r="AT164" s="12" t="s">
        <v>151</v>
      </c>
      <c r="AU164" s="45" t="s">
        <v>2650</v>
      </c>
      <c r="AV164" s="15"/>
      <c r="AW164" s="12" t="str">
        <f>B164&amp;C164&amp;L164&amp;M164&amp;O164&amp;U164&amp;AL164&amp;AM164</f>
        <v>PhilippinesSumilon Island ReserveMullidaegoatfishrichness0.376383763837638Russ2015</v>
      </c>
    </row>
    <row r="165" spans="1:49" ht="14.25" customHeight="1" x14ac:dyDescent="0.35">
      <c r="A165" s="12">
        <v>164</v>
      </c>
      <c r="B165" s="12" t="s">
        <v>336</v>
      </c>
      <c r="C165" s="12" t="s">
        <v>337</v>
      </c>
      <c r="D165" s="12" t="s">
        <v>337</v>
      </c>
      <c r="E165" s="13" t="s">
        <v>338</v>
      </c>
      <c r="F165" s="13" t="s">
        <v>339</v>
      </c>
      <c r="G165" s="13" t="s">
        <v>51</v>
      </c>
      <c r="H165" s="13" t="s">
        <v>108</v>
      </c>
      <c r="I165" s="13" t="s">
        <v>156</v>
      </c>
      <c r="J165" s="14">
        <f t="shared" ref="J165:J195" si="15">68*0.8</f>
        <v>54.400000000000006</v>
      </c>
      <c r="K165" s="14"/>
      <c r="L165" s="14" t="s">
        <v>340</v>
      </c>
      <c r="M165" s="14" t="s">
        <v>341</v>
      </c>
      <c r="N165" s="14" t="s">
        <v>85</v>
      </c>
      <c r="O165" s="17" t="s">
        <v>70</v>
      </c>
      <c r="P165" s="14"/>
      <c r="Q165" s="14"/>
      <c r="R165" s="14"/>
      <c r="S165" s="14">
        <f>0.0048 *60</f>
        <v>0.28799999999999998</v>
      </c>
      <c r="T165" s="14">
        <f>0.2372*72</f>
        <v>17.078399999999998</v>
      </c>
      <c r="U165" s="19">
        <f t="shared" si="14"/>
        <v>59.3</v>
      </c>
      <c r="V165" s="41">
        <f t="shared" si="13"/>
        <v>5830</v>
      </c>
      <c r="W165" s="14"/>
      <c r="X165" s="14" t="s">
        <v>56</v>
      </c>
      <c r="Z165" s="14" t="s">
        <v>58</v>
      </c>
      <c r="AA165" s="14" t="s">
        <v>58</v>
      </c>
      <c r="AB165" s="14" t="s">
        <v>57</v>
      </c>
      <c r="AC165" s="14">
        <v>2008</v>
      </c>
      <c r="AD165" s="14">
        <v>4</v>
      </c>
      <c r="AE165" s="14"/>
      <c r="AF165" s="14">
        <v>3</v>
      </c>
      <c r="AG165" s="14">
        <v>2003</v>
      </c>
      <c r="AH165" s="14">
        <f t="shared" si="11"/>
        <v>5</v>
      </c>
      <c r="AI165" s="17">
        <f t="shared" si="12"/>
        <v>9</v>
      </c>
      <c r="AJ165" s="14">
        <v>8</v>
      </c>
      <c r="AK165" s="14" t="s">
        <v>56</v>
      </c>
      <c r="AL165" s="13" t="s">
        <v>342</v>
      </c>
      <c r="AM165" s="12">
        <v>2015</v>
      </c>
      <c r="AN165" s="12" t="s">
        <v>343</v>
      </c>
      <c r="AO165" s="12" t="s">
        <v>56</v>
      </c>
      <c r="AP165" s="12" t="s">
        <v>344</v>
      </c>
      <c r="AQ165" s="12" t="s">
        <v>56</v>
      </c>
      <c r="AR165" s="12" t="s">
        <v>58</v>
      </c>
      <c r="AS165" s="12" t="s">
        <v>258</v>
      </c>
      <c r="AT165" s="12" t="s">
        <v>151</v>
      </c>
      <c r="AU165" s="45" t="s">
        <v>345</v>
      </c>
      <c r="AV165" s="15"/>
      <c r="AW165" s="12" t="str">
        <f>B165&amp;C165&amp;L165&amp;M165&amp;O165&amp;U165&amp;AL165&amp;AM165</f>
        <v>SenegalBamboung MPAArius latiscutatusRough-head sea catfish biomassden59.3Sadio2015</v>
      </c>
    </row>
    <row r="166" spans="1:49" ht="14.25" customHeight="1" x14ac:dyDescent="0.35">
      <c r="A166" s="12">
        <v>165</v>
      </c>
      <c r="B166" s="12" t="s">
        <v>336</v>
      </c>
      <c r="C166" s="12" t="s">
        <v>337</v>
      </c>
      <c r="D166" s="12" t="s">
        <v>337</v>
      </c>
      <c r="E166" s="13" t="s">
        <v>338</v>
      </c>
      <c r="F166" s="13" t="s">
        <v>339</v>
      </c>
      <c r="G166" s="13" t="s">
        <v>51</v>
      </c>
      <c r="H166" s="13" t="s">
        <v>108</v>
      </c>
      <c r="I166" s="13" t="s">
        <v>156</v>
      </c>
      <c r="J166" s="14">
        <f t="shared" si="15"/>
        <v>54.400000000000006</v>
      </c>
      <c r="K166" s="14"/>
      <c r="L166" s="14" t="s">
        <v>346</v>
      </c>
      <c r="M166" s="14" t="s">
        <v>347</v>
      </c>
      <c r="N166" s="14" t="s">
        <v>85</v>
      </c>
      <c r="O166" s="17" t="s">
        <v>70</v>
      </c>
      <c r="P166" s="14"/>
      <c r="Q166" s="14"/>
      <c r="R166" s="14"/>
      <c r="S166" s="14">
        <f>0.0067 *60</f>
        <v>0.40200000000000002</v>
      </c>
      <c r="T166" s="14">
        <f>0.0004*72</f>
        <v>2.8800000000000003E-2</v>
      </c>
      <c r="U166" s="19">
        <f t="shared" si="14"/>
        <v>7.1641791044776124E-2</v>
      </c>
      <c r="V166" s="41">
        <f t="shared" si="13"/>
        <v>-92.835820895522389</v>
      </c>
      <c r="W166" s="14"/>
      <c r="X166" s="14" t="s">
        <v>56</v>
      </c>
      <c r="Z166" s="14" t="s">
        <v>58</v>
      </c>
      <c r="AA166" s="14" t="s">
        <v>58</v>
      </c>
      <c r="AB166" s="14" t="s">
        <v>57</v>
      </c>
      <c r="AC166" s="14">
        <v>2008</v>
      </c>
      <c r="AD166" s="14">
        <v>4</v>
      </c>
      <c r="AE166" s="14"/>
      <c r="AF166" s="14">
        <v>3</v>
      </c>
      <c r="AG166" s="14">
        <v>2003</v>
      </c>
      <c r="AH166" s="14">
        <f t="shared" si="11"/>
        <v>5</v>
      </c>
      <c r="AI166" s="17">
        <f t="shared" si="12"/>
        <v>9</v>
      </c>
      <c r="AJ166" s="14">
        <v>8</v>
      </c>
      <c r="AK166" s="14" t="s">
        <v>56</v>
      </c>
      <c r="AL166" s="13" t="s">
        <v>342</v>
      </c>
      <c r="AM166" s="12">
        <v>2015</v>
      </c>
      <c r="AN166" s="12" t="s">
        <v>343</v>
      </c>
      <c r="AO166" s="12" t="s">
        <v>56</v>
      </c>
      <c r="AP166" s="12" t="s">
        <v>348</v>
      </c>
      <c r="AQ166" s="12" t="s">
        <v>56</v>
      </c>
      <c r="AR166" s="12" t="s">
        <v>58</v>
      </c>
      <c r="AS166" s="12" t="s">
        <v>258</v>
      </c>
      <c r="AT166" s="12" t="s">
        <v>151</v>
      </c>
      <c r="AU166" s="45" t="s">
        <v>345</v>
      </c>
      <c r="AV166" s="15"/>
      <c r="AW166" s="12" t="str">
        <f>B166&amp;C166&amp;L166&amp;M166&amp;O166&amp;U166&amp;AL166&amp;AM166</f>
        <v>SenegalBamboung MPABatrachoides liberiensistoadfishbiomassden0.0716417910447761Sadio2015</v>
      </c>
    </row>
    <row r="167" spans="1:49" ht="14.25" customHeight="1" x14ac:dyDescent="0.35">
      <c r="A167" s="12">
        <v>166</v>
      </c>
      <c r="B167" s="12" t="s">
        <v>336</v>
      </c>
      <c r="C167" s="12" t="s">
        <v>337</v>
      </c>
      <c r="D167" s="12" t="s">
        <v>337</v>
      </c>
      <c r="E167" s="13" t="s">
        <v>338</v>
      </c>
      <c r="F167" s="13" t="s">
        <v>339</v>
      </c>
      <c r="G167" s="13" t="s">
        <v>51</v>
      </c>
      <c r="H167" s="13" t="s">
        <v>108</v>
      </c>
      <c r="I167" s="13" t="s">
        <v>156</v>
      </c>
      <c r="J167" s="14">
        <f t="shared" si="15"/>
        <v>54.400000000000006</v>
      </c>
      <c r="K167" s="14"/>
      <c r="L167" s="14" t="s">
        <v>349</v>
      </c>
      <c r="M167" s="14" t="s">
        <v>350</v>
      </c>
      <c r="N167" s="14" t="s">
        <v>85</v>
      </c>
      <c r="O167" s="17" t="s">
        <v>70</v>
      </c>
      <c r="P167" s="14"/>
      <c r="Q167" s="14"/>
      <c r="R167" s="14"/>
      <c r="S167" s="14">
        <f>0.001*60</f>
        <v>0.06</v>
      </c>
      <c r="T167" s="14">
        <f>0.0028 *72</f>
        <v>0.2016</v>
      </c>
      <c r="U167" s="19">
        <f t="shared" si="14"/>
        <v>3.3600000000000003</v>
      </c>
      <c r="V167" s="41">
        <f t="shared" si="13"/>
        <v>236.00000000000003</v>
      </c>
      <c r="W167" s="14"/>
      <c r="X167" s="14" t="s">
        <v>56</v>
      </c>
      <c r="Z167" s="14" t="s">
        <v>58</v>
      </c>
      <c r="AA167" s="14" t="s">
        <v>58</v>
      </c>
      <c r="AB167" s="14" t="s">
        <v>57</v>
      </c>
      <c r="AC167" s="14">
        <v>2008</v>
      </c>
      <c r="AD167" s="14">
        <v>4</v>
      </c>
      <c r="AE167" s="14"/>
      <c r="AF167" s="14">
        <v>3</v>
      </c>
      <c r="AG167" s="14">
        <v>2003</v>
      </c>
      <c r="AH167" s="14">
        <f t="shared" si="11"/>
        <v>5</v>
      </c>
      <c r="AI167" s="17">
        <f t="shared" si="12"/>
        <v>9</v>
      </c>
      <c r="AJ167" s="14">
        <v>8</v>
      </c>
      <c r="AK167" s="14" t="s">
        <v>56</v>
      </c>
      <c r="AL167" s="13" t="s">
        <v>342</v>
      </c>
      <c r="AM167" s="12">
        <v>2015</v>
      </c>
      <c r="AN167" s="12" t="s">
        <v>343</v>
      </c>
      <c r="AO167" s="12" t="s">
        <v>56</v>
      </c>
      <c r="AP167" s="12" t="s">
        <v>351</v>
      </c>
      <c r="AQ167" s="12" t="s">
        <v>56</v>
      </c>
      <c r="AR167" s="12" t="s">
        <v>58</v>
      </c>
      <c r="AS167" s="12" t="s">
        <v>258</v>
      </c>
      <c r="AT167" s="12" t="s">
        <v>151</v>
      </c>
      <c r="AU167" s="45" t="s">
        <v>345</v>
      </c>
      <c r="AV167" s="15"/>
      <c r="AW167" s="12" t="str">
        <f>B167&amp;C167&amp;L167&amp;M167&amp;O167&amp;U167&amp;AL167&amp;AM167</f>
        <v>SenegalBamboung MPACaranx hippos crevalle jack biomassden3.36Sadio2015</v>
      </c>
    </row>
    <row r="168" spans="1:49" ht="14.25" customHeight="1" x14ac:dyDescent="0.35">
      <c r="A168" s="12">
        <v>167</v>
      </c>
      <c r="B168" s="12" t="s">
        <v>336</v>
      </c>
      <c r="C168" s="12" t="s">
        <v>337</v>
      </c>
      <c r="D168" s="12" t="s">
        <v>337</v>
      </c>
      <c r="E168" s="13" t="s">
        <v>338</v>
      </c>
      <c r="F168" s="13" t="s">
        <v>339</v>
      </c>
      <c r="G168" s="13" t="s">
        <v>51</v>
      </c>
      <c r="H168" s="13" t="s">
        <v>108</v>
      </c>
      <c r="I168" s="13" t="s">
        <v>156</v>
      </c>
      <c r="J168" s="14">
        <f t="shared" si="15"/>
        <v>54.400000000000006</v>
      </c>
      <c r="K168" s="17"/>
      <c r="L168" s="14" t="s">
        <v>352</v>
      </c>
      <c r="M168" s="14" t="s">
        <v>353</v>
      </c>
      <c r="N168" s="14" t="s">
        <v>85</v>
      </c>
      <c r="O168" s="17" t="s">
        <v>70</v>
      </c>
      <c r="P168" s="14"/>
      <c r="Q168" s="14"/>
      <c r="R168" s="14"/>
      <c r="S168" s="14">
        <f>0.011*60</f>
        <v>0.65999999999999992</v>
      </c>
      <c r="T168" s="14">
        <f>0.002*72</f>
        <v>0.14400000000000002</v>
      </c>
      <c r="U168" s="19">
        <f t="shared" si="14"/>
        <v>0.21818181818181823</v>
      </c>
      <c r="V168" s="41">
        <f t="shared" si="13"/>
        <v>-78.181818181818173</v>
      </c>
      <c r="W168" s="14"/>
      <c r="X168" s="14" t="s">
        <v>56</v>
      </c>
      <c r="Z168" s="14" t="s">
        <v>58</v>
      </c>
      <c r="AA168" s="14" t="s">
        <v>58</v>
      </c>
      <c r="AB168" s="14" t="s">
        <v>57</v>
      </c>
      <c r="AC168" s="14">
        <v>2008</v>
      </c>
      <c r="AD168" s="14">
        <v>4</v>
      </c>
      <c r="AE168" s="14"/>
      <c r="AF168" s="14">
        <v>3</v>
      </c>
      <c r="AG168" s="14">
        <v>2003</v>
      </c>
      <c r="AH168" s="14">
        <f t="shared" si="11"/>
        <v>5</v>
      </c>
      <c r="AI168" s="17">
        <f t="shared" si="12"/>
        <v>9</v>
      </c>
      <c r="AJ168" s="14">
        <v>8</v>
      </c>
      <c r="AK168" s="14" t="s">
        <v>56</v>
      </c>
      <c r="AL168" s="13" t="s">
        <v>342</v>
      </c>
      <c r="AM168" s="12">
        <v>2015</v>
      </c>
      <c r="AN168" s="12" t="s">
        <v>343</v>
      </c>
      <c r="AO168" s="12" t="s">
        <v>56</v>
      </c>
      <c r="AP168" s="12" t="s">
        <v>344</v>
      </c>
      <c r="AQ168" s="12" t="s">
        <v>56</v>
      </c>
      <c r="AR168" s="12" t="s">
        <v>58</v>
      </c>
      <c r="AS168" s="12" t="s">
        <v>258</v>
      </c>
      <c r="AT168" s="12" t="s">
        <v>151</v>
      </c>
      <c r="AU168" s="45" t="s">
        <v>345</v>
      </c>
      <c r="AV168" s="15"/>
      <c r="AW168" s="12" t="str">
        <f>B168&amp;C168&amp;L168&amp;M168&amp;O168&amp;U168&amp;AL168&amp;AM168</f>
        <v>SenegalBamboung MPAChloroscombrus chrysurus Atlantic bumper biomassden0.218181818181818Sadio2015</v>
      </c>
    </row>
    <row r="169" spans="1:49" ht="14.25" customHeight="1" x14ac:dyDescent="0.35">
      <c r="A169" s="12">
        <v>168</v>
      </c>
      <c r="B169" s="12" t="s">
        <v>336</v>
      </c>
      <c r="C169" s="12" t="s">
        <v>337</v>
      </c>
      <c r="D169" s="12" t="s">
        <v>337</v>
      </c>
      <c r="E169" s="13" t="s">
        <v>338</v>
      </c>
      <c r="F169" s="13" t="s">
        <v>339</v>
      </c>
      <c r="G169" s="13" t="s">
        <v>51</v>
      </c>
      <c r="H169" s="13" t="s">
        <v>108</v>
      </c>
      <c r="I169" s="13" t="s">
        <v>156</v>
      </c>
      <c r="J169" s="14">
        <f t="shared" si="15"/>
        <v>54.400000000000006</v>
      </c>
      <c r="K169" s="14"/>
      <c r="L169" s="14" t="s">
        <v>354</v>
      </c>
      <c r="M169" s="14" t="s">
        <v>355</v>
      </c>
      <c r="N169" s="14" t="s">
        <v>85</v>
      </c>
      <c r="O169" s="17" t="s">
        <v>70</v>
      </c>
      <c r="P169" s="14"/>
      <c r="Q169" s="14"/>
      <c r="R169" s="14"/>
      <c r="S169" s="14">
        <f>0.0397*60</f>
        <v>2.3820000000000001</v>
      </c>
      <c r="T169" s="14">
        <f>0.0358*72</f>
        <v>2.5775999999999999</v>
      </c>
      <c r="U169" s="19">
        <f t="shared" si="14"/>
        <v>1.0821158690176322</v>
      </c>
      <c r="V169" s="41">
        <f t="shared" si="13"/>
        <v>8.2115869017632228</v>
      </c>
      <c r="W169" s="14"/>
      <c r="X169" s="14" t="s">
        <v>56</v>
      </c>
      <c r="Z169" s="14" t="s">
        <v>58</v>
      </c>
      <c r="AA169" s="14" t="s">
        <v>58</v>
      </c>
      <c r="AB169" s="14" t="s">
        <v>57</v>
      </c>
      <c r="AC169" s="14">
        <v>2008</v>
      </c>
      <c r="AD169" s="14">
        <v>4</v>
      </c>
      <c r="AE169" s="14"/>
      <c r="AF169" s="14">
        <v>3</v>
      </c>
      <c r="AG169" s="14">
        <v>2003</v>
      </c>
      <c r="AH169" s="14">
        <f t="shared" si="11"/>
        <v>5</v>
      </c>
      <c r="AI169" s="17">
        <f t="shared" si="12"/>
        <v>9</v>
      </c>
      <c r="AJ169" s="14">
        <v>8</v>
      </c>
      <c r="AK169" s="14" t="s">
        <v>56</v>
      </c>
      <c r="AL169" s="13" t="s">
        <v>342</v>
      </c>
      <c r="AM169" s="12">
        <v>2015</v>
      </c>
      <c r="AN169" s="12" t="s">
        <v>343</v>
      </c>
      <c r="AO169" s="12" t="s">
        <v>56</v>
      </c>
      <c r="AP169" s="12" t="s">
        <v>348</v>
      </c>
      <c r="AQ169" s="12" t="s">
        <v>56</v>
      </c>
      <c r="AR169" s="12" t="s">
        <v>58</v>
      </c>
      <c r="AS169" s="12" t="s">
        <v>258</v>
      </c>
      <c r="AT169" s="12" t="s">
        <v>151</v>
      </c>
      <c r="AU169" s="45" t="s">
        <v>345</v>
      </c>
      <c r="AV169" s="15"/>
      <c r="AW169" s="12" t="str">
        <f>B169&amp;C169&amp;L169&amp;M169&amp;O169&amp;U169&amp;AL169&amp;AM169</f>
        <v>SenegalBamboung MPATrachinotus teraiashortfin pompanobiomassden1.08211586901763Sadio2015</v>
      </c>
    </row>
    <row r="170" spans="1:49" ht="14.25" customHeight="1" x14ac:dyDescent="0.35">
      <c r="A170" s="12">
        <v>169</v>
      </c>
      <c r="B170" s="12" t="s">
        <v>336</v>
      </c>
      <c r="C170" s="12" t="s">
        <v>337</v>
      </c>
      <c r="D170" s="12" t="s">
        <v>337</v>
      </c>
      <c r="E170" s="13" t="s">
        <v>338</v>
      </c>
      <c r="F170" s="13" t="s">
        <v>339</v>
      </c>
      <c r="G170" s="13" t="s">
        <v>51</v>
      </c>
      <c r="H170" s="13" t="s">
        <v>108</v>
      </c>
      <c r="I170" s="13" t="s">
        <v>156</v>
      </c>
      <c r="J170" s="14">
        <f t="shared" si="15"/>
        <v>54.400000000000006</v>
      </c>
      <c r="K170" s="14"/>
      <c r="L170" s="14" t="s">
        <v>356</v>
      </c>
      <c r="M170" s="14" t="s">
        <v>357</v>
      </c>
      <c r="N170" s="14" t="s">
        <v>85</v>
      </c>
      <c r="O170" s="17" t="s">
        <v>70</v>
      </c>
      <c r="P170" s="14"/>
      <c r="Q170" s="14"/>
      <c r="R170" s="14"/>
      <c r="S170" s="14">
        <f>0.0198*60</f>
        <v>1.1880000000000002</v>
      </c>
      <c r="T170" s="14">
        <f>0.0009*72</f>
        <v>6.4799999999999996E-2</v>
      </c>
      <c r="U170" s="19">
        <f t="shared" ref="U170:U201" si="16">IFERROR(IF(AND(Q170="",R170="",S170="",T170=""),"",IF(AND(Q170&lt;&gt;"",R170&lt;&gt;"",S170&lt;&gt;"",T170&lt;&gt;""),(T170/R170)/(S170/Q170),IF(AND(Q170&lt;&gt;"",R170&lt;&gt;""),R170/Q170,IF(AND(S170&lt;&gt;"",T170&lt;&gt;""),T170/S170,IF(AND(Q170&lt;&gt;"",S170&lt;&gt;""),Q170/S170,IF(AND(R170&lt;&gt;"",T170&lt;&gt;""),T170/R170)))))), "N/A")</f>
        <v>5.4545454545454536E-2</v>
      </c>
      <c r="V170" s="41">
        <f t="shared" si="13"/>
        <v>-94.545454545454547</v>
      </c>
      <c r="W170" s="14"/>
      <c r="X170" s="14" t="s">
        <v>56</v>
      </c>
      <c r="Z170" s="14" t="s">
        <v>58</v>
      </c>
      <c r="AA170" s="14" t="s">
        <v>58</v>
      </c>
      <c r="AB170" s="14" t="s">
        <v>57</v>
      </c>
      <c r="AC170" s="14">
        <v>2008</v>
      </c>
      <c r="AD170" s="14">
        <v>4</v>
      </c>
      <c r="AE170" s="14"/>
      <c r="AF170" s="14">
        <v>3</v>
      </c>
      <c r="AG170" s="14">
        <v>2003</v>
      </c>
      <c r="AH170" s="14">
        <f t="shared" si="11"/>
        <v>5</v>
      </c>
      <c r="AI170" s="17">
        <f t="shared" si="12"/>
        <v>9</v>
      </c>
      <c r="AJ170" s="14">
        <v>8</v>
      </c>
      <c r="AK170" s="14" t="s">
        <v>56</v>
      </c>
      <c r="AL170" s="13" t="s">
        <v>342</v>
      </c>
      <c r="AM170" s="12">
        <v>2015</v>
      </c>
      <c r="AN170" s="12" t="s">
        <v>343</v>
      </c>
      <c r="AO170" s="12" t="s">
        <v>56</v>
      </c>
      <c r="AP170" s="12" t="s">
        <v>351</v>
      </c>
      <c r="AQ170" s="12" t="s">
        <v>56</v>
      </c>
      <c r="AR170" s="12" t="s">
        <v>58</v>
      </c>
      <c r="AS170" s="12" t="s">
        <v>258</v>
      </c>
      <c r="AT170" s="12" t="s">
        <v>151</v>
      </c>
      <c r="AU170" s="45" t="s">
        <v>345</v>
      </c>
      <c r="AV170" s="15"/>
      <c r="AW170" s="12" t="str">
        <f>B170&amp;C170&amp;L170&amp;M170&amp;O170&amp;U170&amp;AL170&amp;AM170</f>
        <v>SenegalBamboung MPATilapia guineensistilapiabiomassden0.0545454545454545Sadio2015</v>
      </c>
    </row>
    <row r="171" spans="1:49" ht="14.25" customHeight="1" x14ac:dyDescent="0.35">
      <c r="A171" s="12">
        <v>170</v>
      </c>
      <c r="B171" s="12" t="s">
        <v>336</v>
      </c>
      <c r="C171" s="12" t="s">
        <v>337</v>
      </c>
      <c r="D171" s="12" t="s">
        <v>337</v>
      </c>
      <c r="E171" s="13" t="s">
        <v>338</v>
      </c>
      <c r="F171" s="13" t="s">
        <v>339</v>
      </c>
      <c r="G171" s="13" t="s">
        <v>51</v>
      </c>
      <c r="H171" s="13" t="s">
        <v>108</v>
      </c>
      <c r="I171" s="13" t="s">
        <v>156</v>
      </c>
      <c r="J171" s="14">
        <f t="shared" si="15"/>
        <v>54.400000000000006</v>
      </c>
      <c r="K171" s="14"/>
      <c r="L171" s="14" t="s">
        <v>358</v>
      </c>
      <c r="M171" s="14" t="s">
        <v>359</v>
      </c>
      <c r="N171" s="14" t="s">
        <v>85</v>
      </c>
      <c r="O171" s="17" t="s">
        <v>70</v>
      </c>
      <c r="P171" s="14"/>
      <c r="Q171" s="14"/>
      <c r="R171" s="14"/>
      <c r="S171" s="14">
        <f>0.3744*60</f>
        <v>22.464000000000002</v>
      </c>
      <c r="T171" s="14">
        <f>0.2244*72</f>
        <v>16.1568</v>
      </c>
      <c r="U171" s="19">
        <f t="shared" si="16"/>
        <v>0.71923076923076923</v>
      </c>
      <c r="V171" s="41">
        <f t="shared" si="13"/>
        <v>-28.076923076923077</v>
      </c>
      <c r="W171" s="14"/>
      <c r="X171" s="14" t="s">
        <v>56</v>
      </c>
      <c r="Z171" s="14" t="s">
        <v>58</v>
      </c>
      <c r="AA171" s="14" t="s">
        <v>58</v>
      </c>
      <c r="AB171" s="14" t="s">
        <v>57</v>
      </c>
      <c r="AC171" s="14">
        <v>2008</v>
      </c>
      <c r="AD171" s="14">
        <v>4</v>
      </c>
      <c r="AE171" s="14"/>
      <c r="AF171" s="14">
        <v>3</v>
      </c>
      <c r="AG171" s="14">
        <v>2003</v>
      </c>
      <c r="AH171" s="14">
        <f t="shared" si="11"/>
        <v>5</v>
      </c>
      <c r="AI171" s="17">
        <f t="shared" si="12"/>
        <v>9</v>
      </c>
      <c r="AJ171" s="14">
        <v>8</v>
      </c>
      <c r="AK171" s="14" t="s">
        <v>56</v>
      </c>
      <c r="AL171" s="13" t="s">
        <v>342</v>
      </c>
      <c r="AM171" s="12">
        <v>2015</v>
      </c>
      <c r="AN171" s="12" t="s">
        <v>343</v>
      </c>
      <c r="AO171" s="12" t="s">
        <v>56</v>
      </c>
      <c r="AP171" s="12" t="s">
        <v>344</v>
      </c>
      <c r="AQ171" s="12" t="s">
        <v>56</v>
      </c>
      <c r="AR171" s="12" t="s">
        <v>58</v>
      </c>
      <c r="AS171" s="12" t="s">
        <v>258</v>
      </c>
      <c r="AT171" s="12" t="s">
        <v>151</v>
      </c>
      <c r="AU171" s="45" t="s">
        <v>345</v>
      </c>
      <c r="AV171" s="15"/>
      <c r="AW171" s="12" t="str">
        <f>B171&amp;C171&amp;L171&amp;M171&amp;O171&amp;U171&amp;AL171&amp;AM171</f>
        <v>SenegalBamboung MPAEthmalosa fimbriatabonga shadbiomassden0.719230769230769Sadio2015</v>
      </c>
    </row>
    <row r="172" spans="1:49" ht="14.25" customHeight="1" x14ac:dyDescent="0.35">
      <c r="A172" s="12">
        <v>171</v>
      </c>
      <c r="B172" s="12" t="s">
        <v>336</v>
      </c>
      <c r="C172" s="12" t="s">
        <v>337</v>
      </c>
      <c r="D172" s="12" t="s">
        <v>337</v>
      </c>
      <c r="E172" s="13" t="s">
        <v>338</v>
      </c>
      <c r="F172" s="13" t="s">
        <v>339</v>
      </c>
      <c r="G172" s="13" t="s">
        <v>51</v>
      </c>
      <c r="H172" s="13" t="s">
        <v>108</v>
      </c>
      <c r="I172" s="13" t="s">
        <v>156</v>
      </c>
      <c r="J172" s="14">
        <f t="shared" si="15"/>
        <v>54.400000000000006</v>
      </c>
      <c r="K172" s="14"/>
      <c r="L172" s="14" t="s">
        <v>360</v>
      </c>
      <c r="M172" s="14" t="s">
        <v>361</v>
      </c>
      <c r="N172" s="14" t="s">
        <v>85</v>
      </c>
      <c r="O172" s="17" t="s">
        <v>70</v>
      </c>
      <c r="P172" s="14"/>
      <c r="Q172" s="14"/>
      <c r="R172" s="14"/>
      <c r="S172" s="14">
        <f>0.1488*60</f>
        <v>8.927999999999999</v>
      </c>
      <c r="T172" s="14">
        <f>0.05*72</f>
        <v>3.6</v>
      </c>
      <c r="U172" s="19">
        <f t="shared" si="16"/>
        <v>0.40322580645161293</v>
      </c>
      <c r="V172" s="41">
        <f t="shared" si="13"/>
        <v>-59.677419354838705</v>
      </c>
      <c r="W172" s="14"/>
      <c r="X172" s="14" t="s">
        <v>56</v>
      </c>
      <c r="Z172" s="14" t="s">
        <v>58</v>
      </c>
      <c r="AA172" s="14" t="s">
        <v>58</v>
      </c>
      <c r="AB172" s="14" t="s">
        <v>57</v>
      </c>
      <c r="AC172" s="14">
        <v>2008</v>
      </c>
      <c r="AD172" s="14">
        <v>4</v>
      </c>
      <c r="AE172" s="14"/>
      <c r="AF172" s="14">
        <v>3</v>
      </c>
      <c r="AG172" s="14">
        <v>2003</v>
      </c>
      <c r="AH172" s="14">
        <f t="shared" si="11"/>
        <v>5</v>
      </c>
      <c r="AI172" s="17">
        <f t="shared" si="12"/>
        <v>9</v>
      </c>
      <c r="AJ172" s="14">
        <v>8</v>
      </c>
      <c r="AK172" s="14" t="s">
        <v>56</v>
      </c>
      <c r="AL172" s="13" t="s">
        <v>342</v>
      </c>
      <c r="AM172" s="12">
        <v>2015</v>
      </c>
      <c r="AN172" s="12" t="s">
        <v>343</v>
      </c>
      <c r="AO172" s="12" t="s">
        <v>56</v>
      </c>
      <c r="AP172" s="12" t="s">
        <v>348</v>
      </c>
      <c r="AQ172" s="12" t="s">
        <v>56</v>
      </c>
      <c r="AR172" s="12" t="s">
        <v>58</v>
      </c>
      <c r="AS172" s="12" t="s">
        <v>258</v>
      </c>
      <c r="AT172" s="12" t="s">
        <v>151</v>
      </c>
      <c r="AU172" s="45" t="s">
        <v>345</v>
      </c>
      <c r="AV172" s="15"/>
      <c r="AW172" s="12" t="str">
        <f>B172&amp;C172&amp;L172&amp;M172&amp;O172&amp;U172&amp;AL172&amp;AM172</f>
        <v>SenegalBamboung MPASardinella maderensisMadeiran sardinellabiomassden0.403225806451613Sadio2015</v>
      </c>
    </row>
    <row r="173" spans="1:49" ht="14.25" customHeight="1" x14ac:dyDescent="0.35">
      <c r="A173" s="12">
        <v>172</v>
      </c>
      <c r="B173" s="12" t="s">
        <v>336</v>
      </c>
      <c r="C173" s="12" t="s">
        <v>337</v>
      </c>
      <c r="D173" s="12" t="s">
        <v>337</v>
      </c>
      <c r="E173" s="13" t="s">
        <v>338</v>
      </c>
      <c r="F173" s="13" t="s">
        <v>339</v>
      </c>
      <c r="G173" s="13" t="s">
        <v>51</v>
      </c>
      <c r="H173" s="13" t="s">
        <v>108</v>
      </c>
      <c r="I173" s="13" t="s">
        <v>156</v>
      </c>
      <c r="J173" s="14">
        <f t="shared" si="15"/>
        <v>54.400000000000006</v>
      </c>
      <c r="K173" s="14"/>
      <c r="L173" s="14" t="s">
        <v>362</v>
      </c>
      <c r="M173" s="14" t="s">
        <v>363</v>
      </c>
      <c r="N173" s="14" t="s">
        <v>85</v>
      </c>
      <c r="O173" s="17" t="s">
        <v>70</v>
      </c>
      <c r="P173" s="14"/>
      <c r="Q173" s="14"/>
      <c r="R173" s="14"/>
      <c r="S173" s="14">
        <f>0.0039*60</f>
        <v>0.23399999999999999</v>
      </c>
      <c r="T173" s="14">
        <f>0.0007*72</f>
        <v>5.04E-2</v>
      </c>
      <c r="U173" s="19">
        <f t="shared" si="16"/>
        <v>0.2153846153846154</v>
      </c>
      <c r="V173" s="41">
        <f t="shared" si="13"/>
        <v>-78.461538461538467</v>
      </c>
      <c r="W173" s="14"/>
      <c r="X173" s="14" t="s">
        <v>56</v>
      </c>
      <c r="Z173" s="14" t="s">
        <v>58</v>
      </c>
      <c r="AA173" s="14" t="s">
        <v>58</v>
      </c>
      <c r="AB173" s="14" t="s">
        <v>57</v>
      </c>
      <c r="AC173" s="14">
        <v>2008</v>
      </c>
      <c r="AD173" s="14">
        <v>4</v>
      </c>
      <c r="AE173" s="14"/>
      <c r="AF173" s="14">
        <v>3</v>
      </c>
      <c r="AG173" s="14">
        <v>2003</v>
      </c>
      <c r="AH173" s="14">
        <f t="shared" si="11"/>
        <v>5</v>
      </c>
      <c r="AI173" s="17">
        <f t="shared" si="12"/>
        <v>9</v>
      </c>
      <c r="AJ173" s="14">
        <v>8</v>
      </c>
      <c r="AK173" s="14" t="s">
        <v>56</v>
      </c>
      <c r="AL173" s="13" t="s">
        <v>342</v>
      </c>
      <c r="AM173" s="12">
        <v>2015</v>
      </c>
      <c r="AN173" s="12" t="s">
        <v>343</v>
      </c>
      <c r="AO173" s="12" t="s">
        <v>56</v>
      </c>
      <c r="AP173" s="12" t="s">
        <v>351</v>
      </c>
      <c r="AQ173" s="12" t="s">
        <v>56</v>
      </c>
      <c r="AR173" s="12" t="s">
        <v>58</v>
      </c>
      <c r="AS173" s="12" t="s">
        <v>258</v>
      </c>
      <c r="AT173" s="12" t="s">
        <v>151</v>
      </c>
      <c r="AU173" s="45" t="s">
        <v>345</v>
      </c>
      <c r="AV173" s="15"/>
      <c r="AW173" s="12" t="str">
        <f>B173&amp;C173&amp;L173&amp;M173&amp;O173&amp;U173&amp;AL173&amp;AM173</f>
        <v>SenegalBamboung MPACynoglossus senegalensissengalese tonguefishbiomassden0.215384615384615Sadio2015</v>
      </c>
    </row>
    <row r="174" spans="1:49" ht="14.25" customHeight="1" x14ac:dyDescent="0.35">
      <c r="A174" s="12">
        <v>173</v>
      </c>
      <c r="B174" s="12" t="s">
        <v>336</v>
      </c>
      <c r="C174" s="12" t="s">
        <v>337</v>
      </c>
      <c r="D174" s="12" t="s">
        <v>337</v>
      </c>
      <c r="E174" s="13" t="s">
        <v>338</v>
      </c>
      <c r="F174" s="13" t="s">
        <v>339</v>
      </c>
      <c r="G174" s="13" t="s">
        <v>51</v>
      </c>
      <c r="H174" s="13" t="s">
        <v>108</v>
      </c>
      <c r="I174" s="13" t="s">
        <v>156</v>
      </c>
      <c r="J174" s="14">
        <f t="shared" si="15"/>
        <v>54.400000000000006</v>
      </c>
      <c r="K174" s="14"/>
      <c r="L174" s="14" t="s">
        <v>364</v>
      </c>
      <c r="M174" s="14" t="s">
        <v>365</v>
      </c>
      <c r="N174" s="14" t="s">
        <v>85</v>
      </c>
      <c r="O174" s="17" t="s">
        <v>70</v>
      </c>
      <c r="P174" s="14"/>
      <c r="Q174" s="14"/>
      <c r="R174" s="14"/>
      <c r="S174" s="14">
        <f>0.001*60</f>
        <v>0.06</v>
      </c>
      <c r="T174" s="14">
        <f>0.0007*72</f>
        <v>5.04E-2</v>
      </c>
      <c r="U174" s="19">
        <f t="shared" si="16"/>
        <v>0.84000000000000008</v>
      </c>
      <c r="V174" s="41">
        <f t="shared" si="13"/>
        <v>-15.999999999999993</v>
      </c>
      <c r="W174" s="14"/>
      <c r="X174" s="14" t="s">
        <v>56</v>
      </c>
      <c r="Z174" s="14" t="s">
        <v>58</v>
      </c>
      <c r="AA174" s="14" t="s">
        <v>58</v>
      </c>
      <c r="AB174" s="14" t="s">
        <v>57</v>
      </c>
      <c r="AC174" s="14">
        <v>2008</v>
      </c>
      <c r="AD174" s="14">
        <v>4</v>
      </c>
      <c r="AE174" s="14"/>
      <c r="AF174" s="14">
        <v>3</v>
      </c>
      <c r="AG174" s="14">
        <v>2003</v>
      </c>
      <c r="AH174" s="14">
        <f t="shared" si="11"/>
        <v>5</v>
      </c>
      <c r="AI174" s="17">
        <f t="shared" si="12"/>
        <v>9</v>
      </c>
      <c r="AJ174" s="14">
        <v>8</v>
      </c>
      <c r="AK174" s="14" t="s">
        <v>56</v>
      </c>
      <c r="AL174" s="13" t="s">
        <v>342</v>
      </c>
      <c r="AM174" s="12">
        <v>2015</v>
      </c>
      <c r="AN174" s="12" t="s">
        <v>343</v>
      </c>
      <c r="AO174" s="12" t="s">
        <v>56</v>
      </c>
      <c r="AP174" s="12" t="s">
        <v>344</v>
      </c>
      <c r="AQ174" s="12" t="s">
        <v>56</v>
      </c>
      <c r="AR174" s="12" t="s">
        <v>58</v>
      </c>
      <c r="AS174" s="12" t="s">
        <v>258</v>
      </c>
      <c r="AT174" s="12" t="s">
        <v>151</v>
      </c>
      <c r="AU174" s="45" t="s">
        <v>345</v>
      </c>
      <c r="AV174" s="15"/>
      <c r="AW174" s="12" t="str">
        <f>B174&amp;C174&amp;L174&amp;M174&amp;O174&amp;U174&amp;AL174&amp;AM174</f>
        <v>SenegalBamboung MPADasyatis margaritadaisy stingraybiomassden0.84Sadio2015</v>
      </c>
    </row>
    <row r="175" spans="1:49" ht="14.25" customHeight="1" x14ac:dyDescent="0.35">
      <c r="A175" s="12">
        <v>174</v>
      </c>
      <c r="B175" s="15" t="s">
        <v>336</v>
      </c>
      <c r="C175" s="12" t="s">
        <v>337</v>
      </c>
      <c r="D175" s="12" t="s">
        <v>337</v>
      </c>
      <c r="E175" s="16" t="s">
        <v>338</v>
      </c>
      <c r="F175" s="13" t="s">
        <v>339</v>
      </c>
      <c r="G175" s="13" t="s">
        <v>51</v>
      </c>
      <c r="H175" s="16" t="s">
        <v>108</v>
      </c>
      <c r="I175" s="16" t="s">
        <v>156</v>
      </c>
      <c r="J175" s="14">
        <f t="shared" si="15"/>
        <v>54.400000000000006</v>
      </c>
      <c r="K175" s="17"/>
      <c r="L175" s="17" t="s">
        <v>366</v>
      </c>
      <c r="M175" s="17" t="s">
        <v>365</v>
      </c>
      <c r="N175" s="17" t="s">
        <v>85</v>
      </c>
      <c r="O175" s="17" t="s">
        <v>70</v>
      </c>
      <c r="P175" s="17"/>
      <c r="Q175" s="17"/>
      <c r="R175" s="17"/>
      <c r="S175" s="17">
        <f>0.0198*60</f>
        <v>1.1880000000000002</v>
      </c>
      <c r="T175" s="17">
        <f>0.0075*72</f>
        <v>0.54</v>
      </c>
      <c r="U175" s="20">
        <f t="shared" si="16"/>
        <v>0.45454545454545453</v>
      </c>
      <c r="V175" s="22">
        <f t="shared" si="13"/>
        <v>-54.54545454545454</v>
      </c>
      <c r="W175" s="17"/>
      <c r="X175" s="17" t="s">
        <v>56</v>
      </c>
      <c r="Z175" s="17" t="s">
        <v>58</v>
      </c>
      <c r="AA175" s="17" t="s">
        <v>58</v>
      </c>
      <c r="AB175" s="17" t="s">
        <v>57</v>
      </c>
      <c r="AC175" s="17">
        <v>2008</v>
      </c>
      <c r="AD175" s="17">
        <v>4</v>
      </c>
      <c r="AE175" s="17"/>
      <c r="AF175" s="17">
        <v>3</v>
      </c>
      <c r="AG175" s="14">
        <v>2003</v>
      </c>
      <c r="AH175" s="14">
        <f t="shared" si="11"/>
        <v>5</v>
      </c>
      <c r="AI175" s="17">
        <f t="shared" si="12"/>
        <v>9</v>
      </c>
      <c r="AJ175" s="17">
        <v>8</v>
      </c>
      <c r="AK175" s="17" t="s">
        <v>56</v>
      </c>
      <c r="AL175" s="16" t="s">
        <v>342</v>
      </c>
      <c r="AM175" s="15">
        <v>2015</v>
      </c>
      <c r="AN175" s="12" t="s">
        <v>343</v>
      </c>
      <c r="AO175" s="15" t="s">
        <v>56</v>
      </c>
      <c r="AP175" s="15" t="s">
        <v>348</v>
      </c>
      <c r="AQ175" s="15" t="s">
        <v>56</v>
      </c>
      <c r="AR175" s="15" t="s">
        <v>58</v>
      </c>
      <c r="AS175" s="15" t="s">
        <v>258</v>
      </c>
      <c r="AT175" s="15" t="s">
        <v>151</v>
      </c>
      <c r="AU175" s="45" t="s">
        <v>345</v>
      </c>
      <c r="AV175" s="15"/>
      <c r="AW175" s="12" t="str">
        <f>B175&amp;C175&amp;L175&amp;M175&amp;O175&amp;U175&amp;AL175&amp;AM175</f>
        <v>SenegalBamboung MPADasyatis margaritelladaisy stingraybiomassden0.454545454545455Sadio2015</v>
      </c>
    </row>
    <row r="176" spans="1:49" ht="14.25" customHeight="1" x14ac:dyDescent="0.35">
      <c r="A176" s="12">
        <v>175</v>
      </c>
      <c r="B176" s="12" t="s">
        <v>336</v>
      </c>
      <c r="C176" s="12" t="s">
        <v>337</v>
      </c>
      <c r="D176" s="12" t="s">
        <v>337</v>
      </c>
      <c r="E176" s="13" t="s">
        <v>338</v>
      </c>
      <c r="F176" s="13" t="s">
        <v>339</v>
      </c>
      <c r="G176" s="13" t="s">
        <v>51</v>
      </c>
      <c r="H176" s="13" t="s">
        <v>108</v>
      </c>
      <c r="I176" s="13" t="s">
        <v>156</v>
      </c>
      <c r="J176" s="14">
        <f t="shared" si="15"/>
        <v>54.400000000000006</v>
      </c>
      <c r="K176" s="14"/>
      <c r="L176" s="14" t="s">
        <v>367</v>
      </c>
      <c r="M176" s="14" t="s">
        <v>368</v>
      </c>
      <c r="N176" s="14" t="s">
        <v>85</v>
      </c>
      <c r="O176" s="17" t="s">
        <v>70</v>
      </c>
      <c r="P176" s="14"/>
      <c r="Q176" s="14"/>
      <c r="R176" s="14"/>
      <c r="S176" s="14">
        <f>0.0132*60</f>
        <v>0.79200000000000004</v>
      </c>
      <c r="T176" s="14">
        <f>0.0229*72</f>
        <v>1.6488</v>
      </c>
      <c r="U176" s="19">
        <f t="shared" si="16"/>
        <v>2.0818181818181816</v>
      </c>
      <c r="V176" s="41">
        <f t="shared" si="13"/>
        <v>108.18181818181816</v>
      </c>
      <c r="W176" s="14"/>
      <c r="X176" s="14" t="s">
        <v>56</v>
      </c>
      <c r="Z176" s="14" t="s">
        <v>58</v>
      </c>
      <c r="AA176" s="14" t="s">
        <v>58</v>
      </c>
      <c r="AB176" s="14" t="s">
        <v>57</v>
      </c>
      <c r="AC176" s="14">
        <v>2008</v>
      </c>
      <c r="AD176" s="14">
        <v>4</v>
      </c>
      <c r="AE176" s="14"/>
      <c r="AF176" s="14">
        <v>3</v>
      </c>
      <c r="AG176" s="14">
        <v>2003</v>
      </c>
      <c r="AH176" s="14">
        <f t="shared" si="11"/>
        <v>5</v>
      </c>
      <c r="AI176" s="17">
        <f t="shared" si="12"/>
        <v>9</v>
      </c>
      <c r="AJ176" s="14">
        <v>8</v>
      </c>
      <c r="AK176" s="14" t="s">
        <v>56</v>
      </c>
      <c r="AL176" s="13" t="s">
        <v>342</v>
      </c>
      <c r="AM176" s="12">
        <v>2015</v>
      </c>
      <c r="AN176" s="12" t="s">
        <v>343</v>
      </c>
      <c r="AO176" s="12" t="s">
        <v>56</v>
      </c>
      <c r="AP176" s="12" t="s">
        <v>351</v>
      </c>
      <c r="AQ176" s="12" t="s">
        <v>56</v>
      </c>
      <c r="AR176" s="12" t="s">
        <v>58</v>
      </c>
      <c r="AS176" s="12" t="s">
        <v>258</v>
      </c>
      <c r="AT176" s="12" t="s">
        <v>151</v>
      </c>
      <c r="AU176" s="45" t="s">
        <v>345</v>
      </c>
      <c r="AV176" s="15"/>
      <c r="AW176" s="12" t="str">
        <f>B176&amp;C176&amp;L176&amp;M176&amp;O176&amp;U176&amp;AL176&amp;AM176</f>
        <v>SenegalBamboung MPAElops lacertaWest African Ladyfishbiomassden2.08181818181818Sadio2015</v>
      </c>
    </row>
    <row r="177" spans="1:49" ht="14.25" customHeight="1" x14ac:dyDescent="0.35">
      <c r="A177" s="12">
        <v>176</v>
      </c>
      <c r="B177" s="12" t="s">
        <v>336</v>
      </c>
      <c r="C177" s="12" t="s">
        <v>337</v>
      </c>
      <c r="D177" s="15" t="s">
        <v>337</v>
      </c>
      <c r="E177" s="13" t="s">
        <v>338</v>
      </c>
      <c r="F177" s="13" t="s">
        <v>339</v>
      </c>
      <c r="G177" s="13" t="s">
        <v>51</v>
      </c>
      <c r="H177" s="13" t="s">
        <v>108</v>
      </c>
      <c r="I177" s="13" t="s">
        <v>156</v>
      </c>
      <c r="J177" s="14">
        <f t="shared" si="15"/>
        <v>54.400000000000006</v>
      </c>
      <c r="K177" s="14"/>
      <c r="L177" s="14" t="s">
        <v>369</v>
      </c>
      <c r="M177" s="14" t="s">
        <v>370</v>
      </c>
      <c r="N177" s="14" t="s">
        <v>85</v>
      </c>
      <c r="O177" s="17" t="s">
        <v>70</v>
      </c>
      <c r="P177" s="14"/>
      <c r="Q177" s="14"/>
      <c r="R177" s="14"/>
      <c r="S177" s="14">
        <f>0.0007*60</f>
        <v>4.2000000000000003E-2</v>
      </c>
      <c r="T177" s="14">
        <f>0.0013*72</f>
        <v>9.3599999999999989E-2</v>
      </c>
      <c r="U177" s="19">
        <f t="shared" si="16"/>
        <v>2.2285714285714282</v>
      </c>
      <c r="V177" s="41">
        <f t="shared" si="13"/>
        <v>122.85714285714282</v>
      </c>
      <c r="W177" s="14"/>
      <c r="X177" s="14" t="s">
        <v>56</v>
      </c>
      <c r="Z177" s="14" t="s">
        <v>58</v>
      </c>
      <c r="AA177" s="14" t="s">
        <v>58</v>
      </c>
      <c r="AB177" s="14" t="s">
        <v>57</v>
      </c>
      <c r="AC177" s="14">
        <v>2008</v>
      </c>
      <c r="AD177" s="14">
        <v>4</v>
      </c>
      <c r="AE177" s="14"/>
      <c r="AF177" s="14">
        <v>3</v>
      </c>
      <c r="AG177" s="14">
        <v>2003</v>
      </c>
      <c r="AH177" s="14">
        <f t="shared" si="11"/>
        <v>5</v>
      </c>
      <c r="AI177" s="17">
        <f t="shared" si="12"/>
        <v>9</v>
      </c>
      <c r="AJ177" s="14">
        <v>8</v>
      </c>
      <c r="AK177" s="14" t="s">
        <v>56</v>
      </c>
      <c r="AL177" s="13" t="s">
        <v>342</v>
      </c>
      <c r="AM177" s="12">
        <v>2015</v>
      </c>
      <c r="AN177" s="12" t="s">
        <v>343</v>
      </c>
      <c r="AO177" s="12" t="s">
        <v>56</v>
      </c>
      <c r="AP177" s="12" t="s">
        <v>344</v>
      </c>
      <c r="AQ177" s="12" t="s">
        <v>56</v>
      </c>
      <c r="AR177" s="12" t="s">
        <v>58</v>
      </c>
      <c r="AS177" s="12" t="s">
        <v>258</v>
      </c>
      <c r="AT177" s="12" t="s">
        <v>151</v>
      </c>
      <c r="AU177" s="45" t="s">
        <v>345</v>
      </c>
      <c r="AV177" s="15"/>
      <c r="AW177" s="12" t="str">
        <f>B177&amp;C177&amp;L177&amp;M177&amp;O177&amp;U177&amp;AL177&amp;AM177</f>
        <v>SenegalBamboung MPAElops senegalensisladyfishbiomassden2.22857142857143Sadio2015</v>
      </c>
    </row>
    <row r="178" spans="1:49" ht="14.25" customHeight="1" x14ac:dyDescent="0.35">
      <c r="A178" s="12">
        <v>177</v>
      </c>
      <c r="B178" s="12" t="s">
        <v>336</v>
      </c>
      <c r="C178" s="12" t="s">
        <v>337</v>
      </c>
      <c r="D178" s="15" t="s">
        <v>337</v>
      </c>
      <c r="E178" s="13" t="s">
        <v>338</v>
      </c>
      <c r="F178" s="13" t="s">
        <v>339</v>
      </c>
      <c r="G178" s="13" t="s">
        <v>51</v>
      </c>
      <c r="H178" s="13" t="s">
        <v>108</v>
      </c>
      <c r="I178" s="13" t="s">
        <v>156</v>
      </c>
      <c r="J178" s="14">
        <f t="shared" si="15"/>
        <v>54.400000000000006</v>
      </c>
      <c r="K178" s="14"/>
      <c r="L178" s="14" t="s">
        <v>371</v>
      </c>
      <c r="M178" s="14" t="s">
        <v>372</v>
      </c>
      <c r="N178" s="14" t="s">
        <v>85</v>
      </c>
      <c r="O178" s="17" t="s">
        <v>70</v>
      </c>
      <c r="P178" s="14"/>
      <c r="Q178" s="14"/>
      <c r="R178" s="14"/>
      <c r="S178" s="14">
        <f>0.0008*60</f>
        <v>4.8000000000000001E-2</v>
      </c>
      <c r="T178" s="14">
        <f>0.0013*72</f>
        <v>9.3599999999999989E-2</v>
      </c>
      <c r="U178" s="19">
        <f t="shared" si="16"/>
        <v>1.9499999999999997</v>
      </c>
      <c r="V178" s="41">
        <f t="shared" si="13"/>
        <v>94.999999999999972</v>
      </c>
      <c r="W178" s="14"/>
      <c r="X178" s="14" t="s">
        <v>56</v>
      </c>
      <c r="Z178" s="14" t="s">
        <v>58</v>
      </c>
      <c r="AA178" s="14" t="s">
        <v>58</v>
      </c>
      <c r="AB178" s="14" t="s">
        <v>57</v>
      </c>
      <c r="AC178" s="14">
        <v>2008</v>
      </c>
      <c r="AD178" s="14">
        <v>4</v>
      </c>
      <c r="AE178" s="14"/>
      <c r="AF178" s="14">
        <v>3</v>
      </c>
      <c r="AG178" s="14">
        <v>2003</v>
      </c>
      <c r="AH178" s="14">
        <f t="shared" si="11"/>
        <v>5</v>
      </c>
      <c r="AI178" s="17">
        <f t="shared" si="12"/>
        <v>9</v>
      </c>
      <c r="AJ178" s="14">
        <v>8</v>
      </c>
      <c r="AK178" s="14" t="s">
        <v>56</v>
      </c>
      <c r="AL178" s="13" t="s">
        <v>342</v>
      </c>
      <c r="AM178" s="12">
        <v>2015</v>
      </c>
      <c r="AN178" s="12" t="s">
        <v>343</v>
      </c>
      <c r="AO178" s="12" t="s">
        <v>56</v>
      </c>
      <c r="AP178" s="12" t="s">
        <v>348</v>
      </c>
      <c r="AQ178" s="12" t="s">
        <v>56</v>
      </c>
      <c r="AR178" s="12" t="s">
        <v>58</v>
      </c>
      <c r="AS178" s="12" t="s">
        <v>258</v>
      </c>
      <c r="AT178" s="12" t="s">
        <v>151</v>
      </c>
      <c r="AU178" s="45" t="s">
        <v>345</v>
      </c>
      <c r="AV178" s="15"/>
      <c r="AW178" s="12" t="str">
        <f>B178&amp;C178&amp;L178&amp;M178&amp;O178&amp;U178&amp;AL178&amp;AM178</f>
        <v>SenegalBamboung MPAEphippus goreensisEast Atlantic African spadefishbiomassden1.95Sadio2015</v>
      </c>
    </row>
    <row r="179" spans="1:49" ht="14.25" customHeight="1" x14ac:dyDescent="0.35">
      <c r="A179" s="12">
        <v>178</v>
      </c>
      <c r="B179" s="15" t="s">
        <v>336</v>
      </c>
      <c r="C179" s="12" t="s">
        <v>337</v>
      </c>
      <c r="D179" s="12" t="s">
        <v>337</v>
      </c>
      <c r="E179" s="16" t="s">
        <v>338</v>
      </c>
      <c r="F179" s="13" t="s">
        <v>339</v>
      </c>
      <c r="G179" s="13" t="s">
        <v>51</v>
      </c>
      <c r="H179" s="16" t="s">
        <v>108</v>
      </c>
      <c r="I179" s="16" t="s">
        <v>156</v>
      </c>
      <c r="J179" s="14">
        <f t="shared" si="15"/>
        <v>54.400000000000006</v>
      </c>
      <c r="K179" s="17"/>
      <c r="L179" s="17" t="s">
        <v>373</v>
      </c>
      <c r="M179" s="17" t="s">
        <v>374</v>
      </c>
      <c r="N179" s="17" t="s">
        <v>85</v>
      </c>
      <c r="O179" s="17" t="s">
        <v>70</v>
      </c>
      <c r="P179" s="17"/>
      <c r="Q179" s="17"/>
      <c r="R179" s="17"/>
      <c r="S179" s="17">
        <f>0.0281*60</f>
        <v>1.6859999999999999</v>
      </c>
      <c r="T179" s="17">
        <f>0.0037*72</f>
        <v>0.26640000000000003</v>
      </c>
      <c r="U179" s="20">
        <f t="shared" si="16"/>
        <v>0.15800711743772244</v>
      </c>
      <c r="V179" s="22">
        <f t="shared" si="13"/>
        <v>-84.19928825622776</v>
      </c>
      <c r="W179" s="17"/>
      <c r="X179" s="17" t="s">
        <v>56</v>
      </c>
      <c r="Z179" s="17" t="s">
        <v>58</v>
      </c>
      <c r="AA179" s="17" t="s">
        <v>58</v>
      </c>
      <c r="AB179" s="17" t="s">
        <v>57</v>
      </c>
      <c r="AC179" s="17">
        <v>2008</v>
      </c>
      <c r="AD179" s="17">
        <v>4</v>
      </c>
      <c r="AE179" s="17"/>
      <c r="AF179" s="17">
        <v>3</v>
      </c>
      <c r="AG179" s="14">
        <v>2003</v>
      </c>
      <c r="AH179" s="14">
        <f t="shared" si="11"/>
        <v>5</v>
      </c>
      <c r="AI179" s="17">
        <f t="shared" si="12"/>
        <v>9</v>
      </c>
      <c r="AJ179" s="17">
        <v>8</v>
      </c>
      <c r="AK179" s="17" t="s">
        <v>56</v>
      </c>
      <c r="AL179" s="16" t="s">
        <v>342</v>
      </c>
      <c r="AM179" s="15">
        <v>2015</v>
      </c>
      <c r="AN179" s="12" t="s">
        <v>343</v>
      </c>
      <c r="AO179" s="15" t="s">
        <v>56</v>
      </c>
      <c r="AP179" s="15" t="s">
        <v>351</v>
      </c>
      <c r="AQ179" s="15" t="s">
        <v>56</v>
      </c>
      <c r="AR179" s="15" t="s">
        <v>58</v>
      </c>
      <c r="AS179" s="15" t="s">
        <v>258</v>
      </c>
      <c r="AT179" s="15" t="s">
        <v>151</v>
      </c>
      <c r="AU179" s="45" t="s">
        <v>345</v>
      </c>
      <c r="AV179" s="15"/>
      <c r="AW179" s="12" t="str">
        <f>B179&amp;C179&amp;L179&amp;M179&amp;O179&amp;U179&amp;AL179&amp;AM179</f>
        <v>SenegalBamboung MPAEucinostomus melanopterusFlagfin mojarrabiomassden0.158007117437722Sadio2015</v>
      </c>
    </row>
    <row r="180" spans="1:49" ht="14.25" customHeight="1" x14ac:dyDescent="0.35">
      <c r="A180" s="12">
        <v>179</v>
      </c>
      <c r="B180" s="12" t="s">
        <v>336</v>
      </c>
      <c r="C180" s="12" t="s">
        <v>337</v>
      </c>
      <c r="D180" s="12" t="s">
        <v>337</v>
      </c>
      <c r="E180" s="13" t="s">
        <v>338</v>
      </c>
      <c r="F180" s="13" t="s">
        <v>339</v>
      </c>
      <c r="G180" s="13" t="s">
        <v>51</v>
      </c>
      <c r="H180" s="13" t="s">
        <v>108</v>
      </c>
      <c r="I180" s="13" t="s">
        <v>156</v>
      </c>
      <c r="J180" s="14">
        <f t="shared" si="15"/>
        <v>54.400000000000006</v>
      </c>
      <c r="K180" s="14"/>
      <c r="L180" s="14" t="s">
        <v>375</v>
      </c>
      <c r="M180" s="14" t="s">
        <v>376</v>
      </c>
      <c r="N180" s="14" t="s">
        <v>85</v>
      </c>
      <c r="O180" s="17" t="s">
        <v>70</v>
      </c>
      <c r="P180" s="14"/>
      <c r="Q180" s="14"/>
      <c r="R180" s="14"/>
      <c r="S180" s="14">
        <f>0.0367*60</f>
        <v>2.2020000000000004</v>
      </c>
      <c r="T180" s="14">
        <f>0.0094*72</f>
        <v>0.67680000000000007</v>
      </c>
      <c r="U180" s="19">
        <f t="shared" si="16"/>
        <v>0.30735694822888282</v>
      </c>
      <c r="V180" s="41">
        <f t="shared" si="13"/>
        <v>-69.264305177111723</v>
      </c>
      <c r="W180" s="14"/>
      <c r="X180" s="14" t="s">
        <v>56</v>
      </c>
      <c r="Z180" s="14" t="s">
        <v>58</v>
      </c>
      <c r="AA180" s="14" t="s">
        <v>58</v>
      </c>
      <c r="AB180" s="14" t="s">
        <v>57</v>
      </c>
      <c r="AC180" s="14">
        <v>2008</v>
      </c>
      <c r="AD180" s="14">
        <v>4</v>
      </c>
      <c r="AE180" s="14"/>
      <c r="AF180" s="14">
        <v>3</v>
      </c>
      <c r="AG180" s="14">
        <v>2003</v>
      </c>
      <c r="AH180" s="14">
        <f t="shared" si="11"/>
        <v>5</v>
      </c>
      <c r="AI180" s="17">
        <f t="shared" si="12"/>
        <v>9</v>
      </c>
      <c r="AJ180" s="14">
        <v>8</v>
      </c>
      <c r="AK180" s="14" t="s">
        <v>56</v>
      </c>
      <c r="AL180" s="13" t="s">
        <v>342</v>
      </c>
      <c r="AM180" s="12">
        <v>2015</v>
      </c>
      <c r="AN180" s="12" t="s">
        <v>343</v>
      </c>
      <c r="AO180" s="12" t="s">
        <v>56</v>
      </c>
      <c r="AP180" s="12" t="s">
        <v>344</v>
      </c>
      <c r="AQ180" s="12" t="s">
        <v>56</v>
      </c>
      <c r="AR180" s="12" t="s">
        <v>58</v>
      </c>
      <c r="AS180" s="12" t="s">
        <v>258</v>
      </c>
      <c r="AT180" s="12" t="s">
        <v>151</v>
      </c>
      <c r="AU180" s="45" t="s">
        <v>345</v>
      </c>
      <c r="AV180" s="15"/>
      <c r="AW180" s="12" t="str">
        <f>B180&amp;C180&amp;L180&amp;M180&amp;O180&amp;U180&amp;AL180&amp;AM180</f>
        <v>SenegalBamboung MPAGerres nigriGuinean striped mojarrabiomassden0.307356948228883Sadio2015</v>
      </c>
    </row>
    <row r="181" spans="1:49" ht="14.25" customHeight="1" x14ac:dyDescent="0.35">
      <c r="A181" s="12">
        <v>180</v>
      </c>
      <c r="B181" s="12" t="s">
        <v>336</v>
      </c>
      <c r="C181" s="12" t="s">
        <v>337</v>
      </c>
      <c r="D181" s="12" t="s">
        <v>337</v>
      </c>
      <c r="E181" s="13" t="s">
        <v>338</v>
      </c>
      <c r="F181" s="13" t="s">
        <v>339</v>
      </c>
      <c r="G181" s="13" t="s">
        <v>51</v>
      </c>
      <c r="H181" s="13" t="s">
        <v>108</v>
      </c>
      <c r="I181" s="13" t="s">
        <v>156</v>
      </c>
      <c r="J181" s="14">
        <f t="shared" si="15"/>
        <v>54.400000000000006</v>
      </c>
      <c r="K181" s="14"/>
      <c r="L181" s="14" t="s">
        <v>377</v>
      </c>
      <c r="M181" s="14" t="s">
        <v>378</v>
      </c>
      <c r="N181" s="14" t="s">
        <v>85</v>
      </c>
      <c r="O181" s="14" t="s">
        <v>70</v>
      </c>
      <c r="P181" s="14"/>
      <c r="Q181" s="14"/>
      <c r="R181" s="14"/>
      <c r="S181" s="14">
        <f>0.0049*60</f>
        <v>0.29399999999999998</v>
      </c>
      <c r="T181" s="14">
        <f>0.0071*72</f>
        <v>0.51119999999999999</v>
      </c>
      <c r="U181" s="19">
        <f t="shared" si="16"/>
        <v>1.7387755102040816</v>
      </c>
      <c r="V181" s="41">
        <f t="shared" si="13"/>
        <v>73.877551020408163</v>
      </c>
      <c r="W181" s="14"/>
      <c r="X181" s="14" t="s">
        <v>56</v>
      </c>
      <c r="Z181" s="14" t="s">
        <v>58</v>
      </c>
      <c r="AA181" s="14" t="s">
        <v>58</v>
      </c>
      <c r="AB181" s="14" t="s">
        <v>57</v>
      </c>
      <c r="AC181" s="14">
        <v>2008</v>
      </c>
      <c r="AD181" s="14">
        <v>4</v>
      </c>
      <c r="AE181" s="14"/>
      <c r="AF181" s="14">
        <v>3</v>
      </c>
      <c r="AG181" s="14">
        <v>2003</v>
      </c>
      <c r="AH181" s="14">
        <f t="shared" si="11"/>
        <v>5</v>
      </c>
      <c r="AI181" s="17">
        <f t="shared" si="12"/>
        <v>9</v>
      </c>
      <c r="AJ181" s="14">
        <v>8</v>
      </c>
      <c r="AK181" s="14" t="s">
        <v>56</v>
      </c>
      <c r="AL181" s="13" t="s">
        <v>342</v>
      </c>
      <c r="AM181" s="12">
        <v>2015</v>
      </c>
      <c r="AN181" s="12" t="s">
        <v>343</v>
      </c>
      <c r="AO181" s="12" t="s">
        <v>56</v>
      </c>
      <c r="AP181" s="12" t="s">
        <v>348</v>
      </c>
      <c r="AQ181" s="12" t="s">
        <v>56</v>
      </c>
      <c r="AR181" s="12" t="s">
        <v>58</v>
      </c>
      <c r="AS181" s="12" t="s">
        <v>258</v>
      </c>
      <c r="AT181" s="12" t="s">
        <v>151</v>
      </c>
      <c r="AU181" s="45" t="s">
        <v>345</v>
      </c>
      <c r="AV181" s="15"/>
      <c r="AW181" s="12" t="str">
        <f>B181&amp;C181&amp;L181&amp;M181&amp;O181&amp;U181&amp;AL181&amp;AM181</f>
        <v>SenegalBamboung MPAPlectorhinchus macrolepisBiglip gruntbiomassden1.73877551020408Sadio2015</v>
      </c>
    </row>
    <row r="182" spans="1:49" ht="14.25" customHeight="1" x14ac:dyDescent="0.35">
      <c r="A182" s="12">
        <v>181</v>
      </c>
      <c r="B182" s="12" t="s">
        <v>336</v>
      </c>
      <c r="C182" s="15" t="s">
        <v>337</v>
      </c>
      <c r="D182" s="15" t="s">
        <v>337</v>
      </c>
      <c r="E182" s="16" t="s">
        <v>338</v>
      </c>
      <c r="F182" s="13" t="s">
        <v>339</v>
      </c>
      <c r="G182" s="13" t="s">
        <v>51</v>
      </c>
      <c r="H182" s="16" t="s">
        <v>108</v>
      </c>
      <c r="I182" s="16" t="s">
        <v>156</v>
      </c>
      <c r="J182" s="14">
        <f t="shared" si="15"/>
        <v>54.400000000000006</v>
      </c>
      <c r="K182" s="17"/>
      <c r="L182" s="17" t="s">
        <v>379</v>
      </c>
      <c r="M182" s="17" t="s">
        <v>380</v>
      </c>
      <c r="N182" s="17" t="s">
        <v>85</v>
      </c>
      <c r="O182" s="17" t="s">
        <v>70</v>
      </c>
      <c r="P182" s="17"/>
      <c r="Q182" s="17"/>
      <c r="R182" s="17"/>
      <c r="S182" s="17">
        <f>0.0047*60</f>
        <v>0.28200000000000003</v>
      </c>
      <c r="T182" s="17">
        <f>0.0422*72</f>
        <v>3.0384000000000002</v>
      </c>
      <c r="U182" s="20">
        <f t="shared" si="16"/>
        <v>10.774468085106383</v>
      </c>
      <c r="V182" s="22">
        <f t="shared" si="13"/>
        <v>977.44680851063833</v>
      </c>
      <c r="W182" s="17"/>
      <c r="X182" s="17" t="s">
        <v>56</v>
      </c>
      <c r="Y182" s="17"/>
      <c r="Z182" s="17" t="s">
        <v>58</v>
      </c>
      <c r="AA182" s="17" t="s">
        <v>58</v>
      </c>
      <c r="AB182" s="17" t="s">
        <v>57</v>
      </c>
      <c r="AC182" s="17">
        <v>2008</v>
      </c>
      <c r="AD182" s="17">
        <v>4</v>
      </c>
      <c r="AE182" s="17"/>
      <c r="AF182" s="17">
        <v>3</v>
      </c>
      <c r="AG182" s="17">
        <v>2003</v>
      </c>
      <c r="AH182" s="14">
        <f t="shared" si="11"/>
        <v>5</v>
      </c>
      <c r="AI182" s="17">
        <f t="shared" si="12"/>
        <v>9</v>
      </c>
      <c r="AJ182" s="17">
        <v>8</v>
      </c>
      <c r="AK182" s="17" t="s">
        <v>56</v>
      </c>
      <c r="AL182" s="16" t="s">
        <v>342</v>
      </c>
      <c r="AM182" s="15">
        <v>2015</v>
      </c>
      <c r="AN182" s="15" t="s">
        <v>343</v>
      </c>
      <c r="AO182" s="15" t="s">
        <v>56</v>
      </c>
      <c r="AP182" s="15" t="s">
        <v>351</v>
      </c>
      <c r="AQ182" s="15" t="s">
        <v>56</v>
      </c>
      <c r="AR182" s="15" t="s">
        <v>58</v>
      </c>
      <c r="AS182" s="15" t="s">
        <v>258</v>
      </c>
      <c r="AT182" s="15" t="s">
        <v>151</v>
      </c>
      <c r="AU182" s="45" t="s">
        <v>345</v>
      </c>
      <c r="AV182" s="15"/>
      <c r="AW182" s="12" t="str">
        <f>B182&amp;C182&amp;L182&amp;M182&amp;O182&amp;U182&amp;AL182&amp;AM182</f>
        <v>SenegalBamboung MPAPomadasys perotaeiParrot gruntbiomassden10.7744680851064Sadio2015</v>
      </c>
    </row>
    <row r="183" spans="1:49" ht="14.25" customHeight="1" x14ac:dyDescent="0.35">
      <c r="A183" s="12">
        <v>182</v>
      </c>
      <c r="B183" s="12" t="s">
        <v>336</v>
      </c>
      <c r="C183" s="15" t="s">
        <v>337</v>
      </c>
      <c r="D183" s="15" t="s">
        <v>337</v>
      </c>
      <c r="E183" s="16" t="s">
        <v>338</v>
      </c>
      <c r="F183" s="13" t="s">
        <v>339</v>
      </c>
      <c r="G183" s="13" t="s">
        <v>51</v>
      </c>
      <c r="H183" s="16" t="s">
        <v>108</v>
      </c>
      <c r="I183" s="16" t="s">
        <v>156</v>
      </c>
      <c r="J183" s="14">
        <f t="shared" si="15"/>
        <v>54.400000000000006</v>
      </c>
      <c r="K183" s="17"/>
      <c r="L183" s="17" t="s">
        <v>381</v>
      </c>
      <c r="M183" s="17" t="s">
        <v>382</v>
      </c>
      <c r="N183" s="17" t="s">
        <v>85</v>
      </c>
      <c r="O183" s="17" t="s">
        <v>70</v>
      </c>
      <c r="P183" s="17"/>
      <c r="Q183" s="17"/>
      <c r="R183" s="17"/>
      <c r="S183" s="17">
        <f>0.0001*60</f>
        <v>6.0000000000000001E-3</v>
      </c>
      <c r="T183" s="17">
        <f>0.0001*72</f>
        <v>7.2000000000000007E-3</v>
      </c>
      <c r="U183" s="20">
        <f t="shared" si="16"/>
        <v>1.2000000000000002</v>
      </c>
      <c r="V183" s="22">
        <f t="shared" si="13"/>
        <v>20.000000000000018</v>
      </c>
      <c r="W183" s="17"/>
      <c r="X183" s="17" t="s">
        <v>56</v>
      </c>
      <c r="Y183" s="17"/>
      <c r="Z183" s="17" t="s">
        <v>58</v>
      </c>
      <c r="AA183" s="17" t="s">
        <v>58</v>
      </c>
      <c r="AB183" s="17" t="s">
        <v>57</v>
      </c>
      <c r="AC183" s="17">
        <v>2008</v>
      </c>
      <c r="AD183" s="17">
        <v>4</v>
      </c>
      <c r="AE183" s="17"/>
      <c r="AF183" s="17">
        <v>3</v>
      </c>
      <c r="AG183" s="17">
        <v>2003</v>
      </c>
      <c r="AH183" s="14">
        <f t="shared" si="11"/>
        <v>5</v>
      </c>
      <c r="AI183" s="17">
        <f t="shared" si="12"/>
        <v>9</v>
      </c>
      <c r="AJ183" s="17">
        <v>8</v>
      </c>
      <c r="AK183" s="17" t="s">
        <v>56</v>
      </c>
      <c r="AL183" s="16" t="s">
        <v>342</v>
      </c>
      <c r="AM183" s="15">
        <v>2015</v>
      </c>
      <c r="AN183" s="15" t="s">
        <v>343</v>
      </c>
      <c r="AO183" s="15" t="s">
        <v>56</v>
      </c>
      <c r="AP183" s="15" t="s">
        <v>344</v>
      </c>
      <c r="AQ183" s="15" t="s">
        <v>56</v>
      </c>
      <c r="AR183" s="15" t="s">
        <v>58</v>
      </c>
      <c r="AS183" s="15" t="s">
        <v>258</v>
      </c>
      <c r="AT183" s="15" t="s">
        <v>151</v>
      </c>
      <c r="AU183" s="45" t="s">
        <v>345</v>
      </c>
      <c r="AV183" s="15"/>
      <c r="AW183" s="12" t="str">
        <f>B183&amp;C183&amp;L183&amp;M183&amp;O183&amp;U183&amp;AL183&amp;AM183</f>
        <v>SenegalBamboung MPAHemiramphus brasiliensisBallyhoo halfbeakbiomassden1.2Sadio2015</v>
      </c>
    </row>
    <row r="184" spans="1:49" ht="14.25" customHeight="1" x14ac:dyDescent="0.35">
      <c r="A184" s="12">
        <v>183</v>
      </c>
      <c r="B184" s="15" t="s">
        <v>336</v>
      </c>
      <c r="C184" s="15" t="s">
        <v>337</v>
      </c>
      <c r="D184" s="15" t="s">
        <v>337</v>
      </c>
      <c r="E184" s="16" t="s">
        <v>338</v>
      </c>
      <c r="F184" s="16" t="s">
        <v>339</v>
      </c>
      <c r="G184" s="16" t="s">
        <v>51</v>
      </c>
      <c r="H184" s="16" t="s">
        <v>108</v>
      </c>
      <c r="I184" s="16" t="s">
        <v>156</v>
      </c>
      <c r="J184" s="17">
        <f t="shared" si="15"/>
        <v>54.400000000000006</v>
      </c>
      <c r="K184" s="17"/>
      <c r="L184" s="17" t="s">
        <v>383</v>
      </c>
      <c r="M184" s="17" t="s">
        <v>384</v>
      </c>
      <c r="N184" s="17" t="s">
        <v>85</v>
      </c>
      <c r="O184" s="17" t="s">
        <v>70</v>
      </c>
      <c r="P184" s="17"/>
      <c r="Q184" s="17"/>
      <c r="R184" s="17"/>
      <c r="S184" s="17">
        <f>0.0154*60</f>
        <v>0.92400000000000004</v>
      </c>
      <c r="T184" s="17">
        <f>0.0024*72</f>
        <v>0.17279999999999998</v>
      </c>
      <c r="U184" s="20">
        <f t="shared" si="16"/>
        <v>0.18701298701298699</v>
      </c>
      <c r="V184" s="22">
        <f t="shared" si="13"/>
        <v>-81.298701298701303</v>
      </c>
      <c r="W184" s="17"/>
      <c r="X184" s="17" t="s">
        <v>56</v>
      </c>
      <c r="Y184" s="17"/>
      <c r="Z184" s="17" t="s">
        <v>58</v>
      </c>
      <c r="AA184" s="17" t="s">
        <v>58</v>
      </c>
      <c r="AB184" s="17" t="s">
        <v>57</v>
      </c>
      <c r="AC184" s="17">
        <v>2008</v>
      </c>
      <c r="AD184" s="17">
        <v>4</v>
      </c>
      <c r="AE184" s="17"/>
      <c r="AF184" s="17">
        <v>3</v>
      </c>
      <c r="AG184" s="17">
        <v>2003</v>
      </c>
      <c r="AH184" s="14">
        <f t="shared" si="11"/>
        <v>5</v>
      </c>
      <c r="AI184" s="17">
        <f t="shared" si="12"/>
        <v>9</v>
      </c>
      <c r="AJ184" s="17">
        <v>8</v>
      </c>
      <c r="AK184" s="17" t="s">
        <v>56</v>
      </c>
      <c r="AL184" s="16" t="s">
        <v>342</v>
      </c>
      <c r="AM184" s="15">
        <v>2015</v>
      </c>
      <c r="AN184" s="15" t="s">
        <v>343</v>
      </c>
      <c r="AO184" s="15" t="s">
        <v>56</v>
      </c>
      <c r="AP184" s="15" t="s">
        <v>348</v>
      </c>
      <c r="AQ184" s="15" t="s">
        <v>56</v>
      </c>
      <c r="AR184" s="15" t="s">
        <v>58</v>
      </c>
      <c r="AS184" s="15" t="s">
        <v>258</v>
      </c>
      <c r="AT184" s="15" t="s">
        <v>151</v>
      </c>
      <c r="AU184" s="45" t="s">
        <v>345</v>
      </c>
      <c r="AV184" s="15"/>
      <c r="AW184" s="12" t="str">
        <f>B184&amp;C184&amp;L184&amp;M184&amp;O184&amp;U184&amp;AL184&amp;AM184</f>
        <v>SenegalBamboung MPAMonodactylus sebaeAfrican moonybiomassden0.187012987012987Sadio2015</v>
      </c>
    </row>
    <row r="185" spans="1:49" ht="14.25" customHeight="1" x14ac:dyDescent="0.35">
      <c r="A185" s="12">
        <v>184</v>
      </c>
      <c r="B185" s="15" t="s">
        <v>336</v>
      </c>
      <c r="C185" s="15" t="s">
        <v>337</v>
      </c>
      <c r="D185" s="15" t="s">
        <v>337</v>
      </c>
      <c r="E185" s="16" t="s">
        <v>338</v>
      </c>
      <c r="F185" s="16" t="s">
        <v>339</v>
      </c>
      <c r="G185" s="16" t="s">
        <v>51</v>
      </c>
      <c r="H185" s="16" t="s">
        <v>108</v>
      </c>
      <c r="I185" s="16" t="s">
        <v>156</v>
      </c>
      <c r="J185" s="17">
        <f t="shared" si="15"/>
        <v>54.400000000000006</v>
      </c>
      <c r="K185" s="17"/>
      <c r="L185" s="17" t="s">
        <v>385</v>
      </c>
      <c r="M185" s="17" t="s">
        <v>386</v>
      </c>
      <c r="N185" s="17" t="s">
        <v>85</v>
      </c>
      <c r="O185" s="17" t="s">
        <v>70</v>
      </c>
      <c r="P185" s="17"/>
      <c r="Q185" s="17"/>
      <c r="R185" s="17"/>
      <c r="S185" s="17">
        <f>0.2623*60</f>
        <v>15.738</v>
      </c>
      <c r="T185" s="17">
        <f>0.0017*72</f>
        <v>0.12239999999999999</v>
      </c>
      <c r="U185" s="20">
        <f t="shared" si="16"/>
        <v>7.7773541746092257E-3</v>
      </c>
      <c r="V185" s="22">
        <f t="shared" si="13"/>
        <v>-99.222264582539083</v>
      </c>
      <c r="W185" s="17"/>
      <c r="X185" s="17" t="s">
        <v>56</v>
      </c>
      <c r="Y185" s="17"/>
      <c r="Z185" s="17" t="s">
        <v>58</v>
      </c>
      <c r="AA185" s="17" t="s">
        <v>58</v>
      </c>
      <c r="AB185" s="17" t="s">
        <v>57</v>
      </c>
      <c r="AC185" s="17">
        <v>2008</v>
      </c>
      <c r="AD185" s="17">
        <v>4</v>
      </c>
      <c r="AE185" s="17"/>
      <c r="AF185" s="17">
        <v>3</v>
      </c>
      <c r="AG185" s="17">
        <v>2003</v>
      </c>
      <c r="AH185" s="14">
        <f t="shared" si="11"/>
        <v>5</v>
      </c>
      <c r="AI185" s="17">
        <f t="shared" si="12"/>
        <v>9</v>
      </c>
      <c r="AJ185" s="17">
        <v>8</v>
      </c>
      <c r="AK185" s="17" t="s">
        <v>56</v>
      </c>
      <c r="AL185" s="16" t="s">
        <v>342</v>
      </c>
      <c r="AM185" s="15">
        <v>2015</v>
      </c>
      <c r="AN185" s="15" t="s">
        <v>343</v>
      </c>
      <c r="AO185" s="15" t="s">
        <v>56</v>
      </c>
      <c r="AP185" s="15" t="s">
        <v>351</v>
      </c>
      <c r="AQ185" s="15" t="s">
        <v>56</v>
      </c>
      <c r="AR185" s="15" t="s">
        <v>58</v>
      </c>
      <c r="AS185" s="15" t="s">
        <v>258</v>
      </c>
      <c r="AT185" s="15" t="s">
        <v>151</v>
      </c>
      <c r="AU185" s="45" t="s">
        <v>345</v>
      </c>
      <c r="AV185" s="15"/>
      <c r="AW185" s="12" t="str">
        <f>B185&amp;C185&amp;L185&amp;M185&amp;O185&amp;U185&amp;AL185&amp;AM185</f>
        <v>SenegalBamboung MPALiza dumeriliGrooved mulletbiomassden0.00777735417460923Sadio2015</v>
      </c>
    </row>
    <row r="186" spans="1:49" ht="14.25" customHeight="1" x14ac:dyDescent="0.35">
      <c r="A186" s="12">
        <v>185</v>
      </c>
      <c r="B186" s="15" t="s">
        <v>336</v>
      </c>
      <c r="C186" s="15" t="s">
        <v>337</v>
      </c>
      <c r="D186" s="15" t="s">
        <v>337</v>
      </c>
      <c r="E186" s="16" t="s">
        <v>338</v>
      </c>
      <c r="F186" s="16" t="s">
        <v>339</v>
      </c>
      <c r="G186" s="16" t="s">
        <v>51</v>
      </c>
      <c r="H186" s="16" t="s">
        <v>108</v>
      </c>
      <c r="I186" s="16" t="s">
        <v>156</v>
      </c>
      <c r="J186" s="17">
        <f t="shared" si="15"/>
        <v>54.400000000000006</v>
      </c>
      <c r="K186" s="17"/>
      <c r="L186" s="17" t="s">
        <v>387</v>
      </c>
      <c r="M186" s="17" t="s">
        <v>388</v>
      </c>
      <c r="N186" s="17" t="s">
        <v>85</v>
      </c>
      <c r="O186" s="17" t="s">
        <v>70</v>
      </c>
      <c r="P186" s="17"/>
      <c r="Q186" s="17"/>
      <c r="R186" s="17"/>
      <c r="S186" s="17">
        <f>0.0301*60</f>
        <v>1.8059999999999998</v>
      </c>
      <c r="T186" s="17">
        <f>0.0264*72</f>
        <v>1.9008</v>
      </c>
      <c r="U186" s="20">
        <f t="shared" si="16"/>
        <v>1.0524916943521596</v>
      </c>
      <c r="V186" s="22">
        <f t="shared" si="13"/>
        <v>5.2491694352159612</v>
      </c>
      <c r="W186" s="17"/>
      <c r="X186" s="17" t="s">
        <v>56</v>
      </c>
      <c r="Y186" s="17"/>
      <c r="Z186" s="17" t="s">
        <v>58</v>
      </c>
      <c r="AA186" s="17" t="s">
        <v>58</v>
      </c>
      <c r="AB186" s="17" t="s">
        <v>57</v>
      </c>
      <c r="AC186" s="17">
        <v>2008</v>
      </c>
      <c r="AD186" s="17">
        <v>4</v>
      </c>
      <c r="AE186" s="17"/>
      <c r="AF186" s="17">
        <v>3</v>
      </c>
      <c r="AG186" s="17">
        <v>2003</v>
      </c>
      <c r="AH186" s="14">
        <f t="shared" si="11"/>
        <v>5</v>
      </c>
      <c r="AI186" s="17">
        <f t="shared" si="12"/>
        <v>9</v>
      </c>
      <c r="AJ186" s="17">
        <v>8</v>
      </c>
      <c r="AK186" s="17" t="s">
        <v>56</v>
      </c>
      <c r="AL186" s="16" t="s">
        <v>342</v>
      </c>
      <c r="AM186" s="15">
        <v>2015</v>
      </c>
      <c r="AN186" s="15" t="s">
        <v>343</v>
      </c>
      <c r="AO186" s="15" t="s">
        <v>56</v>
      </c>
      <c r="AP186" s="15" t="s">
        <v>344</v>
      </c>
      <c r="AQ186" s="15" t="s">
        <v>56</v>
      </c>
      <c r="AR186" s="15" t="s">
        <v>58</v>
      </c>
      <c r="AS186" s="15" t="s">
        <v>258</v>
      </c>
      <c r="AT186" s="15" t="s">
        <v>151</v>
      </c>
      <c r="AU186" s="45" t="s">
        <v>345</v>
      </c>
      <c r="AV186" s="15"/>
      <c r="AW186" s="12" t="str">
        <f>B186&amp;C186&amp;L186&amp;M186&amp;O186&amp;U186&amp;AL186&amp;AM186</f>
        <v>SenegalBamboung MPALiza falcipinnisSicklefin mulletbiomassden1.05249169435216Sadio2015</v>
      </c>
    </row>
    <row r="187" spans="1:49" ht="14.25" customHeight="1" x14ac:dyDescent="0.35">
      <c r="A187" s="12">
        <v>186</v>
      </c>
      <c r="B187" s="12" t="s">
        <v>336</v>
      </c>
      <c r="C187" s="12" t="s">
        <v>337</v>
      </c>
      <c r="D187" s="12" t="s">
        <v>337</v>
      </c>
      <c r="E187" s="13" t="s">
        <v>338</v>
      </c>
      <c r="F187" s="13" t="s">
        <v>339</v>
      </c>
      <c r="G187" s="13" t="s">
        <v>51</v>
      </c>
      <c r="H187" s="13" t="s">
        <v>108</v>
      </c>
      <c r="I187" s="13" t="s">
        <v>156</v>
      </c>
      <c r="J187" s="14">
        <f t="shared" si="15"/>
        <v>54.400000000000006</v>
      </c>
      <c r="K187" s="14"/>
      <c r="L187" s="14" t="s">
        <v>389</v>
      </c>
      <c r="M187" s="14" t="s">
        <v>390</v>
      </c>
      <c r="N187" s="14" t="s">
        <v>85</v>
      </c>
      <c r="O187" s="14" t="s">
        <v>70</v>
      </c>
      <c r="P187" s="14"/>
      <c r="Q187" s="14"/>
      <c r="R187" s="14"/>
      <c r="S187" s="14">
        <f>0.0197*60</f>
        <v>1.1819999999999999</v>
      </c>
      <c r="T187" s="14">
        <f>0.0011*72</f>
        <v>7.9200000000000007E-2</v>
      </c>
      <c r="U187" s="19">
        <f t="shared" si="16"/>
        <v>6.7005076142131983E-2</v>
      </c>
      <c r="V187" s="41">
        <f t="shared" si="13"/>
        <v>-93.299492385786792</v>
      </c>
      <c r="W187" s="14"/>
      <c r="X187" s="14" t="s">
        <v>56</v>
      </c>
      <c r="Z187" s="14" t="s">
        <v>58</v>
      </c>
      <c r="AA187" s="14" t="s">
        <v>58</v>
      </c>
      <c r="AB187" s="14" t="s">
        <v>57</v>
      </c>
      <c r="AC187" s="14">
        <v>2008</v>
      </c>
      <c r="AD187" s="14">
        <v>4</v>
      </c>
      <c r="AE187" s="14"/>
      <c r="AF187" s="14">
        <v>3</v>
      </c>
      <c r="AG187" s="14">
        <v>2003</v>
      </c>
      <c r="AH187" s="14">
        <f t="shared" si="11"/>
        <v>5</v>
      </c>
      <c r="AI187" s="17">
        <f t="shared" si="12"/>
        <v>9</v>
      </c>
      <c r="AJ187" s="14">
        <v>8</v>
      </c>
      <c r="AK187" s="14" t="s">
        <v>56</v>
      </c>
      <c r="AL187" s="13" t="s">
        <v>342</v>
      </c>
      <c r="AM187" s="12">
        <v>2015</v>
      </c>
      <c r="AN187" s="12" t="s">
        <v>343</v>
      </c>
      <c r="AO187" s="12" t="s">
        <v>56</v>
      </c>
      <c r="AP187" s="12" t="s">
        <v>348</v>
      </c>
      <c r="AQ187" s="12" t="s">
        <v>56</v>
      </c>
      <c r="AR187" s="12" t="s">
        <v>58</v>
      </c>
      <c r="AS187" s="12" t="s">
        <v>258</v>
      </c>
      <c r="AT187" s="12" t="s">
        <v>151</v>
      </c>
      <c r="AU187" s="45" t="s">
        <v>345</v>
      </c>
      <c r="AV187" s="15"/>
      <c r="AW187" s="12" t="str">
        <f>B187&amp;C187&amp;L187&amp;M187&amp;O187&amp;U187&amp;AL187&amp;AM187</f>
        <v>SenegalBamboung MPALiza grandisquamisLargescaled mulletbiomassden0.067005076142132Sadio2015</v>
      </c>
    </row>
    <row r="188" spans="1:49" ht="14.25" customHeight="1" x14ac:dyDescent="0.35">
      <c r="A188" s="12">
        <v>187</v>
      </c>
      <c r="B188" s="12" t="s">
        <v>336</v>
      </c>
      <c r="C188" s="12" t="s">
        <v>337</v>
      </c>
      <c r="D188" s="12" t="s">
        <v>337</v>
      </c>
      <c r="E188" s="13" t="s">
        <v>338</v>
      </c>
      <c r="F188" s="13" t="s">
        <v>339</v>
      </c>
      <c r="G188" s="13" t="s">
        <v>51</v>
      </c>
      <c r="H188" s="13" t="s">
        <v>108</v>
      </c>
      <c r="I188" s="13" t="s">
        <v>156</v>
      </c>
      <c r="J188" s="14">
        <f t="shared" si="15"/>
        <v>54.400000000000006</v>
      </c>
      <c r="K188" s="14"/>
      <c r="L188" s="14" t="s">
        <v>391</v>
      </c>
      <c r="M188" s="14" t="s">
        <v>392</v>
      </c>
      <c r="N188" s="14" t="s">
        <v>85</v>
      </c>
      <c r="O188" s="17" t="s">
        <v>70</v>
      </c>
      <c r="P188" s="14"/>
      <c r="Q188" s="14"/>
      <c r="R188" s="14"/>
      <c r="S188" s="14">
        <f>0.0092*60</f>
        <v>0.55200000000000005</v>
      </c>
      <c r="T188" s="14">
        <f>0.0015*72</f>
        <v>0.108</v>
      </c>
      <c r="U188" s="19">
        <f t="shared" si="16"/>
        <v>0.19565217391304346</v>
      </c>
      <c r="V188" s="41">
        <f t="shared" si="13"/>
        <v>-80.434782608695656</v>
      </c>
      <c r="W188" s="14"/>
      <c r="X188" s="14" t="s">
        <v>56</v>
      </c>
      <c r="Z188" s="14" t="s">
        <v>58</v>
      </c>
      <c r="AA188" s="14" t="s">
        <v>58</v>
      </c>
      <c r="AB188" s="14" t="s">
        <v>57</v>
      </c>
      <c r="AC188" s="14">
        <v>2008</v>
      </c>
      <c r="AD188" s="14">
        <v>4</v>
      </c>
      <c r="AE188" s="14"/>
      <c r="AF188" s="14">
        <v>3</v>
      </c>
      <c r="AG188" s="14">
        <v>2003</v>
      </c>
      <c r="AH188" s="14">
        <f t="shared" si="11"/>
        <v>5</v>
      </c>
      <c r="AI188" s="17">
        <f t="shared" si="12"/>
        <v>9</v>
      </c>
      <c r="AJ188" s="14">
        <v>8</v>
      </c>
      <c r="AK188" s="14" t="s">
        <v>56</v>
      </c>
      <c r="AL188" s="13" t="s">
        <v>342</v>
      </c>
      <c r="AM188" s="12">
        <v>2015</v>
      </c>
      <c r="AN188" s="12" t="s">
        <v>343</v>
      </c>
      <c r="AO188" s="12" t="s">
        <v>56</v>
      </c>
      <c r="AP188" s="12" t="s">
        <v>351</v>
      </c>
      <c r="AQ188" s="12" t="s">
        <v>56</v>
      </c>
      <c r="AR188" s="12" t="s">
        <v>58</v>
      </c>
      <c r="AS188" s="12" t="s">
        <v>258</v>
      </c>
      <c r="AT188" s="12" t="s">
        <v>151</v>
      </c>
      <c r="AU188" s="45" t="s">
        <v>345</v>
      </c>
      <c r="AV188" s="15"/>
      <c r="AW188" s="12" t="str">
        <f>B188&amp;C188&amp;L188&amp;M188&amp;O188&amp;U188&amp;AL188&amp;AM188</f>
        <v>SenegalBamboung MPAMugil bananensisBanana mulletbiomassden0.195652173913043Sadio2015</v>
      </c>
    </row>
    <row r="189" spans="1:49" ht="14.25" customHeight="1" x14ac:dyDescent="0.35">
      <c r="A189" s="12">
        <v>188</v>
      </c>
      <c r="B189" s="15" t="s">
        <v>336</v>
      </c>
      <c r="C189" s="15" t="s">
        <v>337</v>
      </c>
      <c r="D189" s="15" t="s">
        <v>337</v>
      </c>
      <c r="E189" s="16" t="s">
        <v>338</v>
      </c>
      <c r="F189" s="13" t="s">
        <v>339</v>
      </c>
      <c r="G189" s="13" t="s">
        <v>51</v>
      </c>
      <c r="H189" s="16" t="s">
        <v>108</v>
      </c>
      <c r="I189" s="16" t="s">
        <v>156</v>
      </c>
      <c r="J189" s="17">
        <f t="shared" si="15"/>
        <v>54.400000000000006</v>
      </c>
      <c r="K189" s="17"/>
      <c r="L189" s="17" t="s">
        <v>393</v>
      </c>
      <c r="M189" s="17" t="s">
        <v>394</v>
      </c>
      <c r="N189" s="17" t="s">
        <v>85</v>
      </c>
      <c r="O189" s="17" t="s">
        <v>70</v>
      </c>
      <c r="P189" s="17"/>
      <c r="Q189" s="17"/>
      <c r="R189" s="17"/>
      <c r="S189" s="17">
        <f>0.022*60</f>
        <v>1.3199999999999998</v>
      </c>
      <c r="T189" s="17">
        <f>0.0063*72</f>
        <v>0.4536</v>
      </c>
      <c r="U189" s="20">
        <f t="shared" si="16"/>
        <v>0.34363636363636368</v>
      </c>
      <c r="V189" s="22">
        <f t="shared" si="13"/>
        <v>-65.636363636363626</v>
      </c>
      <c r="W189" s="17"/>
      <c r="X189" s="17" t="s">
        <v>56</v>
      </c>
      <c r="Y189" s="17"/>
      <c r="Z189" s="17" t="s">
        <v>58</v>
      </c>
      <c r="AA189" s="17" t="s">
        <v>58</v>
      </c>
      <c r="AB189" s="17" t="s">
        <v>57</v>
      </c>
      <c r="AC189" s="17">
        <v>2008</v>
      </c>
      <c r="AD189" s="17">
        <v>4</v>
      </c>
      <c r="AE189" s="17"/>
      <c r="AF189" s="17">
        <v>3</v>
      </c>
      <c r="AG189" s="17">
        <v>2003</v>
      </c>
      <c r="AH189" s="14">
        <f t="shared" si="11"/>
        <v>5</v>
      </c>
      <c r="AI189" s="17">
        <f t="shared" si="12"/>
        <v>9</v>
      </c>
      <c r="AJ189" s="17">
        <v>8</v>
      </c>
      <c r="AK189" s="17" t="s">
        <v>56</v>
      </c>
      <c r="AL189" s="16" t="s">
        <v>342</v>
      </c>
      <c r="AM189" s="15">
        <v>2015</v>
      </c>
      <c r="AN189" s="15" t="s">
        <v>343</v>
      </c>
      <c r="AO189" s="15" t="s">
        <v>56</v>
      </c>
      <c r="AP189" s="15" t="s">
        <v>344</v>
      </c>
      <c r="AQ189" s="15" t="s">
        <v>56</v>
      </c>
      <c r="AR189" s="15" t="s">
        <v>58</v>
      </c>
      <c r="AS189" s="15" t="s">
        <v>258</v>
      </c>
      <c r="AT189" s="15" t="s">
        <v>151</v>
      </c>
      <c r="AU189" s="45" t="s">
        <v>345</v>
      </c>
      <c r="AV189" s="15"/>
      <c r="AW189" s="12" t="str">
        <f>B189&amp;C189&amp;L189&amp;M189&amp;O189&amp;U189&amp;AL189&amp;AM189</f>
        <v>SenegalBamboung MPAMugil curemaWhite mulletbiomassden0.343636363636364Sadio2015</v>
      </c>
    </row>
    <row r="190" spans="1:49" ht="14.25" customHeight="1" x14ac:dyDescent="0.35">
      <c r="A190" s="12">
        <v>189</v>
      </c>
      <c r="B190" s="12" t="s">
        <v>336</v>
      </c>
      <c r="C190" s="12" t="s">
        <v>337</v>
      </c>
      <c r="D190" s="12" t="s">
        <v>337</v>
      </c>
      <c r="E190" s="13" t="s">
        <v>338</v>
      </c>
      <c r="F190" s="13" t="s">
        <v>339</v>
      </c>
      <c r="G190" s="13" t="s">
        <v>51</v>
      </c>
      <c r="H190" s="13" t="s">
        <v>108</v>
      </c>
      <c r="I190" s="13" t="s">
        <v>156</v>
      </c>
      <c r="J190" s="14">
        <f t="shared" si="15"/>
        <v>54.400000000000006</v>
      </c>
      <c r="K190" s="14"/>
      <c r="L190" s="14" t="s">
        <v>395</v>
      </c>
      <c r="M190" s="14" t="s">
        <v>396</v>
      </c>
      <c r="N190" s="14" t="s">
        <v>85</v>
      </c>
      <c r="O190" s="14" t="s">
        <v>70</v>
      </c>
      <c r="P190" s="14"/>
      <c r="Q190" s="14"/>
      <c r="R190" s="14"/>
      <c r="S190" s="14">
        <f>0.0012*60</f>
        <v>7.1999999999999995E-2</v>
      </c>
      <c r="T190" s="14">
        <f>0.004*72</f>
        <v>0.28800000000000003</v>
      </c>
      <c r="U190" s="19">
        <f t="shared" si="16"/>
        <v>4.0000000000000009</v>
      </c>
      <c r="V190" s="41">
        <f t="shared" si="13"/>
        <v>300.00000000000011</v>
      </c>
      <c r="W190" s="14"/>
      <c r="X190" s="14" t="s">
        <v>56</v>
      </c>
      <c r="Z190" s="14" t="s">
        <v>58</v>
      </c>
      <c r="AA190" s="14" t="s">
        <v>58</v>
      </c>
      <c r="AB190" s="14" t="s">
        <v>57</v>
      </c>
      <c r="AC190" s="14">
        <v>2008</v>
      </c>
      <c r="AD190" s="14">
        <v>4</v>
      </c>
      <c r="AE190" s="14"/>
      <c r="AF190" s="14">
        <v>3</v>
      </c>
      <c r="AG190" s="14">
        <v>2003</v>
      </c>
      <c r="AH190" s="14">
        <f t="shared" si="11"/>
        <v>5</v>
      </c>
      <c r="AI190" s="17">
        <f t="shared" si="12"/>
        <v>9</v>
      </c>
      <c r="AJ190" s="14">
        <v>8</v>
      </c>
      <c r="AK190" s="14" t="s">
        <v>56</v>
      </c>
      <c r="AL190" s="13" t="s">
        <v>342</v>
      </c>
      <c r="AM190" s="12">
        <v>2015</v>
      </c>
      <c r="AN190" s="12" t="s">
        <v>343</v>
      </c>
      <c r="AO190" s="12" t="s">
        <v>56</v>
      </c>
      <c r="AP190" s="12" t="s">
        <v>348</v>
      </c>
      <c r="AQ190" s="12" t="s">
        <v>56</v>
      </c>
      <c r="AR190" s="12" t="s">
        <v>58</v>
      </c>
      <c r="AS190" s="12" t="s">
        <v>258</v>
      </c>
      <c r="AT190" s="12" t="s">
        <v>151</v>
      </c>
      <c r="AU190" s="45" t="s">
        <v>345</v>
      </c>
      <c r="AV190" s="15"/>
      <c r="AW190" s="12" t="str">
        <f>B190&amp;C190&amp;L190&amp;M190&amp;O190&amp;U190&amp;AL190&amp;AM190</f>
        <v>SenegalBamboung MPAGaleoides decadactylusLesser African threadfinbiomassden4Sadio2015</v>
      </c>
    </row>
    <row r="191" spans="1:49" ht="14.25" customHeight="1" x14ac:dyDescent="0.35">
      <c r="A191" s="12">
        <v>190</v>
      </c>
      <c r="B191" s="15" t="s">
        <v>336</v>
      </c>
      <c r="C191" s="15" t="s">
        <v>337</v>
      </c>
      <c r="D191" s="15" t="s">
        <v>337</v>
      </c>
      <c r="E191" s="16" t="s">
        <v>338</v>
      </c>
      <c r="F191" s="13" t="s">
        <v>339</v>
      </c>
      <c r="G191" s="13" t="s">
        <v>51</v>
      </c>
      <c r="H191" s="16" t="s">
        <v>108</v>
      </c>
      <c r="I191" s="16" t="s">
        <v>156</v>
      </c>
      <c r="J191" s="17">
        <f t="shared" si="15"/>
        <v>54.400000000000006</v>
      </c>
      <c r="K191" s="17"/>
      <c r="L191" s="17" t="s">
        <v>397</v>
      </c>
      <c r="M191" s="17" t="s">
        <v>398</v>
      </c>
      <c r="N191" s="17" t="s">
        <v>85</v>
      </c>
      <c r="O191" s="17" t="s">
        <v>70</v>
      </c>
      <c r="P191" s="17"/>
      <c r="Q191" s="17"/>
      <c r="R191" s="17"/>
      <c r="S191" s="17">
        <f>0.0032*60</f>
        <v>0.192</v>
      </c>
      <c r="T191" s="17">
        <f>0.0003*72</f>
        <v>2.1599999999999998E-2</v>
      </c>
      <c r="U191" s="20">
        <f t="shared" si="16"/>
        <v>0.11249999999999999</v>
      </c>
      <c r="V191" s="22">
        <f t="shared" si="13"/>
        <v>-88.75</v>
      </c>
      <c r="W191" s="17"/>
      <c r="X191" s="17" t="s">
        <v>56</v>
      </c>
      <c r="Y191" s="17"/>
      <c r="Z191" s="17" t="s">
        <v>58</v>
      </c>
      <c r="AA191" s="17" t="s">
        <v>58</v>
      </c>
      <c r="AB191" s="17" t="s">
        <v>57</v>
      </c>
      <c r="AC191" s="17">
        <v>2008</v>
      </c>
      <c r="AD191" s="17">
        <v>4</v>
      </c>
      <c r="AE191" s="17"/>
      <c r="AF191" s="17">
        <v>3</v>
      </c>
      <c r="AG191" s="17">
        <v>2003</v>
      </c>
      <c r="AH191" s="14">
        <f t="shared" si="11"/>
        <v>5</v>
      </c>
      <c r="AI191" s="17">
        <f t="shared" si="12"/>
        <v>9</v>
      </c>
      <c r="AJ191" s="17">
        <v>8</v>
      </c>
      <c r="AK191" s="17" t="s">
        <v>56</v>
      </c>
      <c r="AL191" s="16" t="s">
        <v>342</v>
      </c>
      <c r="AM191" s="15">
        <v>2015</v>
      </c>
      <c r="AN191" s="15" t="s">
        <v>343</v>
      </c>
      <c r="AO191" s="15" t="s">
        <v>56</v>
      </c>
      <c r="AP191" s="15" t="s">
        <v>351</v>
      </c>
      <c r="AQ191" s="15" t="s">
        <v>56</v>
      </c>
      <c r="AR191" s="15" t="s">
        <v>58</v>
      </c>
      <c r="AS191" s="15" t="s">
        <v>258</v>
      </c>
      <c r="AT191" s="15" t="s">
        <v>151</v>
      </c>
      <c r="AU191" s="45" t="s">
        <v>345</v>
      </c>
      <c r="AV191" s="15"/>
      <c r="AW191" s="12" t="str">
        <f>B191&amp;C191&amp;L191&amp;M191&amp;O191&amp;U191&amp;AL191&amp;AM191</f>
        <v>SenegalBamboung MPAEpinephelus aeneusWhite grouperbiomassden0.1125Sadio2015</v>
      </c>
    </row>
    <row r="192" spans="1:49" ht="14.25" customHeight="1" x14ac:dyDescent="0.35">
      <c r="A192" s="12">
        <v>191</v>
      </c>
      <c r="B192" s="12" t="s">
        <v>336</v>
      </c>
      <c r="C192" s="12" t="s">
        <v>337</v>
      </c>
      <c r="D192" s="12" t="s">
        <v>337</v>
      </c>
      <c r="E192" s="13" t="s">
        <v>338</v>
      </c>
      <c r="F192" s="13" t="s">
        <v>339</v>
      </c>
      <c r="G192" s="13" t="s">
        <v>51</v>
      </c>
      <c r="H192" s="13" t="s">
        <v>108</v>
      </c>
      <c r="I192" s="13" t="s">
        <v>156</v>
      </c>
      <c r="J192" s="14">
        <f t="shared" si="15"/>
        <v>54.400000000000006</v>
      </c>
      <c r="K192" s="14"/>
      <c r="L192" s="14" t="s">
        <v>399</v>
      </c>
      <c r="M192" s="14" t="s">
        <v>400</v>
      </c>
      <c r="N192" s="14" t="s">
        <v>85</v>
      </c>
      <c r="O192" s="17" t="s">
        <v>70</v>
      </c>
      <c r="P192" s="14"/>
      <c r="Q192" s="14"/>
      <c r="R192" s="14"/>
      <c r="S192" s="14">
        <f>0.0003*60</f>
        <v>1.7999999999999999E-2</v>
      </c>
      <c r="T192" s="14">
        <f>0.0002*72</f>
        <v>1.4400000000000001E-2</v>
      </c>
      <c r="U192" s="19">
        <f t="shared" si="16"/>
        <v>0.80000000000000016</v>
      </c>
      <c r="V192" s="41">
        <f t="shared" si="13"/>
        <v>-19.999999999999986</v>
      </c>
      <c r="W192" s="14"/>
      <c r="X192" s="14" t="s">
        <v>56</v>
      </c>
      <c r="Z192" s="14" t="s">
        <v>58</v>
      </c>
      <c r="AA192" s="14" t="s">
        <v>58</v>
      </c>
      <c r="AB192" s="14" t="s">
        <v>57</v>
      </c>
      <c r="AC192" s="14">
        <v>2008</v>
      </c>
      <c r="AD192" s="14">
        <v>4</v>
      </c>
      <c r="AE192" s="14"/>
      <c r="AF192" s="14">
        <v>3</v>
      </c>
      <c r="AG192" s="14">
        <v>2003</v>
      </c>
      <c r="AH192" s="14">
        <f t="shared" si="11"/>
        <v>5</v>
      </c>
      <c r="AI192" s="17">
        <f t="shared" si="12"/>
        <v>9</v>
      </c>
      <c r="AJ192" s="14">
        <v>8</v>
      </c>
      <c r="AK192" s="14" t="s">
        <v>56</v>
      </c>
      <c r="AL192" s="13" t="s">
        <v>342</v>
      </c>
      <c r="AM192" s="12">
        <v>2015</v>
      </c>
      <c r="AN192" s="12" t="s">
        <v>343</v>
      </c>
      <c r="AO192" s="12" t="s">
        <v>56</v>
      </c>
      <c r="AP192" s="12" t="s">
        <v>344</v>
      </c>
      <c r="AQ192" s="12" t="s">
        <v>56</v>
      </c>
      <c r="AR192" s="12" t="s">
        <v>58</v>
      </c>
      <c r="AS192" s="12" t="s">
        <v>258</v>
      </c>
      <c r="AT192" s="12" t="s">
        <v>151</v>
      </c>
      <c r="AU192" s="45" t="s">
        <v>345</v>
      </c>
      <c r="AV192" s="15"/>
      <c r="AW192" s="12" t="str">
        <f>B192&amp;C192&amp;L192&amp;M192&amp;O192&amp;U192&amp;AL192&amp;AM192</f>
        <v>SenegalBamboung MPASynaptura lusitanicaPortuguese solebiomassden0.8Sadio2015</v>
      </c>
    </row>
    <row r="193" spans="1:49" ht="14.25" customHeight="1" x14ac:dyDescent="0.35">
      <c r="A193" s="12">
        <v>192</v>
      </c>
      <c r="B193" s="12" t="s">
        <v>336</v>
      </c>
      <c r="C193" s="12" t="s">
        <v>337</v>
      </c>
      <c r="D193" s="12" t="s">
        <v>337</v>
      </c>
      <c r="E193" s="13" t="s">
        <v>338</v>
      </c>
      <c r="F193" s="13" t="s">
        <v>339</v>
      </c>
      <c r="G193" s="13" t="s">
        <v>51</v>
      </c>
      <c r="H193" s="13" t="s">
        <v>108</v>
      </c>
      <c r="I193" s="13" t="s">
        <v>156</v>
      </c>
      <c r="J193" s="14">
        <f t="shared" si="15"/>
        <v>54.400000000000006</v>
      </c>
      <c r="K193" s="14"/>
      <c r="L193" s="14" t="s">
        <v>401</v>
      </c>
      <c r="M193" s="14" t="s">
        <v>402</v>
      </c>
      <c r="N193" s="14" t="s">
        <v>85</v>
      </c>
      <c r="O193" s="17" t="s">
        <v>70</v>
      </c>
      <c r="P193" s="14"/>
      <c r="Q193" s="14"/>
      <c r="R193" s="14"/>
      <c r="S193" s="14">
        <f>0.0034*60</f>
        <v>0.20399999999999999</v>
      </c>
      <c r="T193" s="14">
        <f>0.0183*72</f>
        <v>1.3176000000000001</v>
      </c>
      <c r="U193" s="19">
        <f t="shared" si="16"/>
        <v>6.4588235294117657</v>
      </c>
      <c r="V193" s="41">
        <f t="shared" si="13"/>
        <v>545.88235294117658</v>
      </c>
      <c r="W193" s="14"/>
      <c r="X193" s="14" t="s">
        <v>56</v>
      </c>
      <c r="Z193" s="14" t="s">
        <v>58</v>
      </c>
      <c r="AA193" s="14" t="s">
        <v>58</v>
      </c>
      <c r="AB193" s="14" t="s">
        <v>57</v>
      </c>
      <c r="AC193" s="14">
        <v>2008</v>
      </c>
      <c r="AD193" s="14">
        <v>4</v>
      </c>
      <c r="AE193" s="14"/>
      <c r="AF193" s="14">
        <v>3</v>
      </c>
      <c r="AG193" s="14">
        <v>2003</v>
      </c>
      <c r="AH193" s="14">
        <f t="shared" si="11"/>
        <v>5</v>
      </c>
      <c r="AI193" s="17">
        <f t="shared" si="12"/>
        <v>9</v>
      </c>
      <c r="AJ193" s="14">
        <v>8</v>
      </c>
      <c r="AK193" s="14" t="s">
        <v>56</v>
      </c>
      <c r="AL193" s="13" t="s">
        <v>342</v>
      </c>
      <c r="AM193" s="12">
        <v>2015</v>
      </c>
      <c r="AN193" s="12" t="s">
        <v>343</v>
      </c>
      <c r="AO193" s="12" t="s">
        <v>56</v>
      </c>
      <c r="AP193" s="12" t="s">
        <v>348</v>
      </c>
      <c r="AQ193" s="12" t="s">
        <v>56</v>
      </c>
      <c r="AR193" s="12" t="s">
        <v>58</v>
      </c>
      <c r="AS193" s="12" t="s">
        <v>258</v>
      </c>
      <c r="AT193" s="12" t="s">
        <v>151</v>
      </c>
      <c r="AU193" s="45" t="s">
        <v>345</v>
      </c>
      <c r="AV193" s="15"/>
      <c r="AW193" s="12" t="str">
        <f>B193&amp;C193&amp;L193&amp;M193&amp;O193&amp;U193&amp;AL193&amp;AM193</f>
        <v>SenegalBamboung MPASphyraena afraGuinean barracudabiomassden6.45882352941177Sadio2015</v>
      </c>
    </row>
    <row r="194" spans="1:49" ht="14.25" customHeight="1" x14ac:dyDescent="0.35">
      <c r="A194" s="12">
        <v>193</v>
      </c>
      <c r="B194" s="12" t="s">
        <v>336</v>
      </c>
      <c r="C194" s="12" t="s">
        <v>337</v>
      </c>
      <c r="D194" s="12" t="s">
        <v>337</v>
      </c>
      <c r="E194" s="13" t="s">
        <v>338</v>
      </c>
      <c r="F194" s="13" t="s">
        <v>339</v>
      </c>
      <c r="G194" s="13" t="s">
        <v>51</v>
      </c>
      <c r="H194" s="13" t="s">
        <v>108</v>
      </c>
      <c r="I194" s="13" t="s">
        <v>156</v>
      </c>
      <c r="J194" s="14">
        <f t="shared" si="15"/>
        <v>54.400000000000006</v>
      </c>
      <c r="K194" s="17"/>
      <c r="L194" s="14" t="s">
        <v>403</v>
      </c>
      <c r="M194" s="14" t="s">
        <v>404</v>
      </c>
      <c r="N194" s="14" t="s">
        <v>85</v>
      </c>
      <c r="O194" s="17" t="s">
        <v>70</v>
      </c>
      <c r="P194" s="14"/>
      <c r="Q194" s="14"/>
      <c r="R194" s="14"/>
      <c r="S194" s="14">
        <f>0.0285*60</f>
        <v>1.71</v>
      </c>
      <c r="T194" s="14">
        <f>0.0115*72</f>
        <v>0.82799999999999996</v>
      </c>
      <c r="U194" s="19">
        <f t="shared" si="16"/>
        <v>0.48421052631578948</v>
      </c>
      <c r="V194" s="41">
        <f t="shared" si="13"/>
        <v>-51.578947368421055</v>
      </c>
      <c r="W194" s="14"/>
      <c r="X194" s="14" t="s">
        <v>56</v>
      </c>
      <c r="Z194" s="14" t="s">
        <v>58</v>
      </c>
      <c r="AA194" s="14" t="s">
        <v>58</v>
      </c>
      <c r="AB194" s="14" t="s">
        <v>57</v>
      </c>
      <c r="AC194" s="14">
        <v>2008</v>
      </c>
      <c r="AD194" s="14">
        <v>4</v>
      </c>
      <c r="AE194" s="14"/>
      <c r="AF194" s="14">
        <v>3</v>
      </c>
      <c r="AG194" s="14">
        <v>2003</v>
      </c>
      <c r="AH194" s="14">
        <f t="shared" ref="AH194:AH257" si="17">IF(OR(AG194="NA",AC194="NA"),"NA",IF(OR(AC194="",AG194=""), "", AC194-AG194))</f>
        <v>5</v>
      </c>
      <c r="AI194" s="17">
        <f t="shared" ref="AI194:AI257" si="18">IF(AH194="NA", "NA",IF(OR(AH194="",AND(AD194="",AE194="")), "",AH194+AD194+AE194/12))</f>
        <v>9</v>
      </c>
      <c r="AJ194" s="14">
        <v>8</v>
      </c>
      <c r="AK194" s="14" t="s">
        <v>56</v>
      </c>
      <c r="AL194" s="13" t="s">
        <v>342</v>
      </c>
      <c r="AM194" s="12">
        <v>2015</v>
      </c>
      <c r="AN194" s="12" t="s">
        <v>343</v>
      </c>
      <c r="AO194" s="12" t="s">
        <v>56</v>
      </c>
      <c r="AP194" s="12" t="s">
        <v>351</v>
      </c>
      <c r="AQ194" s="12" t="s">
        <v>56</v>
      </c>
      <c r="AR194" s="12" t="s">
        <v>58</v>
      </c>
      <c r="AS194" s="12" t="s">
        <v>258</v>
      </c>
      <c r="AT194" s="12" t="s">
        <v>151</v>
      </c>
      <c r="AU194" s="45" t="s">
        <v>345</v>
      </c>
      <c r="AV194" s="15"/>
      <c r="AW194" s="12" t="str">
        <f>B194&amp;C194&amp;L194&amp;M194&amp;O194&amp;U194&amp;AL194&amp;AM194</f>
        <v>SenegalBamboung MPAEphippion guttiferPrickly pufferbiomassden0.484210526315789Sadio2015</v>
      </c>
    </row>
    <row r="195" spans="1:49" ht="14.25" customHeight="1" x14ac:dyDescent="0.35">
      <c r="A195" s="12">
        <v>194</v>
      </c>
      <c r="B195" s="12" t="s">
        <v>336</v>
      </c>
      <c r="C195" s="12" t="s">
        <v>337</v>
      </c>
      <c r="D195" s="12" t="s">
        <v>337</v>
      </c>
      <c r="E195" s="13" t="s">
        <v>338</v>
      </c>
      <c r="F195" s="13" t="s">
        <v>339</v>
      </c>
      <c r="G195" s="13" t="s">
        <v>51</v>
      </c>
      <c r="H195" s="13" t="s">
        <v>108</v>
      </c>
      <c r="I195" s="13" t="s">
        <v>156</v>
      </c>
      <c r="J195" s="14">
        <f t="shared" si="15"/>
        <v>54.400000000000006</v>
      </c>
      <c r="K195" s="14"/>
      <c r="L195" s="14"/>
      <c r="M195" s="14" t="s">
        <v>54</v>
      </c>
      <c r="N195" s="14" t="s">
        <v>1070</v>
      </c>
      <c r="O195" s="17" t="s">
        <v>55</v>
      </c>
      <c r="P195" s="14"/>
      <c r="Q195" s="14"/>
      <c r="R195" s="14"/>
      <c r="S195" s="14">
        <v>47</v>
      </c>
      <c r="T195" s="14">
        <v>54</v>
      </c>
      <c r="U195" s="19">
        <f t="shared" si="16"/>
        <v>1.1489361702127661</v>
      </c>
      <c r="V195" s="41">
        <f t="shared" si="13"/>
        <v>14.893617021276606</v>
      </c>
      <c r="W195" s="14"/>
      <c r="X195" s="14" t="s">
        <v>56</v>
      </c>
      <c r="Z195" s="14" t="s">
        <v>58</v>
      </c>
      <c r="AA195" s="14"/>
      <c r="AB195" s="14" t="s">
        <v>57</v>
      </c>
      <c r="AC195" s="14">
        <v>2008</v>
      </c>
      <c r="AD195" s="14">
        <v>4</v>
      </c>
      <c r="AE195" s="14"/>
      <c r="AF195" s="14">
        <v>3</v>
      </c>
      <c r="AG195" s="14">
        <v>2003</v>
      </c>
      <c r="AH195" s="14">
        <f t="shared" si="17"/>
        <v>5</v>
      </c>
      <c r="AI195" s="17">
        <f t="shared" si="18"/>
        <v>9</v>
      </c>
      <c r="AJ195" s="14">
        <v>8</v>
      </c>
      <c r="AK195" s="14" t="s">
        <v>56</v>
      </c>
      <c r="AL195" s="13" t="s">
        <v>342</v>
      </c>
      <c r="AM195" s="12">
        <v>2015</v>
      </c>
      <c r="AN195" s="12" t="s">
        <v>343</v>
      </c>
      <c r="AO195" s="12" t="s">
        <v>56</v>
      </c>
      <c r="AP195" s="12"/>
      <c r="AQ195" s="12" t="s">
        <v>56</v>
      </c>
      <c r="AR195" s="12" t="s">
        <v>58</v>
      </c>
      <c r="AS195" s="12" t="s">
        <v>258</v>
      </c>
      <c r="AT195" s="12" t="s">
        <v>151</v>
      </c>
      <c r="AU195" s="45"/>
      <c r="AV195" s="15"/>
      <c r="AW195" s="12" t="str">
        <f>B195&amp;C195&amp;L195&amp;M195&amp;O195&amp;U195&amp;AL195&amp;AM195</f>
        <v>SenegalBamboung MPAFishrichness1.14893617021277Sadio2015</v>
      </c>
    </row>
    <row r="196" spans="1:49" ht="14.25" customHeight="1" x14ac:dyDescent="0.35">
      <c r="A196" s="12">
        <v>195</v>
      </c>
      <c r="B196" s="12" t="s">
        <v>536</v>
      </c>
      <c r="C196" s="12" t="s">
        <v>2720</v>
      </c>
      <c r="D196" s="12" t="s">
        <v>1841</v>
      </c>
      <c r="E196" s="12" t="s">
        <v>1842</v>
      </c>
      <c r="F196" s="13" t="s">
        <v>339</v>
      </c>
      <c r="G196" s="13" t="s">
        <v>51</v>
      </c>
      <c r="H196" s="13" t="s">
        <v>481</v>
      </c>
      <c r="I196" s="13" t="s">
        <v>156</v>
      </c>
      <c r="J196" s="14">
        <v>0.72</v>
      </c>
      <c r="K196" s="14"/>
      <c r="L196" s="14" t="s">
        <v>1577</v>
      </c>
      <c r="M196" s="14" t="s">
        <v>1843</v>
      </c>
      <c r="N196" s="14" t="s">
        <v>85</v>
      </c>
      <c r="O196" s="14" t="s">
        <v>86</v>
      </c>
      <c r="P196" s="14"/>
      <c r="Q196" s="14"/>
      <c r="R196" s="14"/>
      <c r="S196" s="14">
        <f>1.06*100000</f>
        <v>106000</v>
      </c>
      <c r="T196" s="14">
        <f>0.06*100000</f>
        <v>6000</v>
      </c>
      <c r="U196" s="19">
        <f t="shared" si="16"/>
        <v>5.6603773584905662E-2</v>
      </c>
      <c r="V196" s="41">
        <f t="shared" ref="V196:V259" si="19">IFERROR(IF(U196 = "", "",(U196-1)*100),"N/A")</f>
        <v>-94.339622641509436</v>
      </c>
      <c r="W196" s="14">
        <v>-66.12</v>
      </c>
      <c r="X196" s="14" t="s">
        <v>56</v>
      </c>
      <c r="Z196" s="14" t="s">
        <v>56</v>
      </c>
      <c r="AA196" s="14"/>
      <c r="AB196" s="14" t="s">
        <v>57</v>
      </c>
      <c r="AC196" s="14">
        <v>1989</v>
      </c>
      <c r="AD196" s="14">
        <v>11</v>
      </c>
      <c r="AE196" s="14"/>
      <c r="AF196" s="14">
        <v>10</v>
      </c>
      <c r="AG196" s="14">
        <v>1975</v>
      </c>
      <c r="AH196" s="14">
        <f t="shared" si="17"/>
        <v>14</v>
      </c>
      <c r="AI196" s="17">
        <f t="shared" si="18"/>
        <v>25</v>
      </c>
      <c r="AJ196" s="14">
        <v>34</v>
      </c>
      <c r="AK196" s="14" t="s">
        <v>58</v>
      </c>
      <c r="AL196" s="13" t="s">
        <v>1844</v>
      </c>
      <c r="AM196" s="12">
        <v>2014</v>
      </c>
      <c r="AN196" s="12" t="s">
        <v>1086</v>
      </c>
      <c r="AO196" s="12" t="s">
        <v>161</v>
      </c>
      <c r="AP196" s="12" t="s">
        <v>1845</v>
      </c>
      <c r="AQ196" s="12" t="s">
        <v>56</v>
      </c>
      <c r="AR196" s="12" t="s">
        <v>58</v>
      </c>
      <c r="AS196" s="12" t="s">
        <v>163</v>
      </c>
      <c r="AT196" s="12" t="s">
        <v>151</v>
      </c>
      <c r="AU196" s="45" t="s">
        <v>1846</v>
      </c>
      <c r="AV196" s="15"/>
      <c r="AW196" s="12" t="str">
        <f>B196&amp;C196&amp;L196&amp;M196&amp;O196&amp;U196&amp;AL196&amp;AM196</f>
        <v>FranceScandola Marine Reserve No-take areaCoris julisMediterranean rainbow wrassedensity0.0566037735849057Seytre 2014</v>
      </c>
    </row>
    <row r="197" spans="1:49" ht="14.25" customHeight="1" x14ac:dyDescent="0.35">
      <c r="A197" s="12">
        <v>196</v>
      </c>
      <c r="B197" s="12" t="s">
        <v>536</v>
      </c>
      <c r="C197" s="12" t="s">
        <v>2720</v>
      </c>
      <c r="D197" s="12" t="s">
        <v>1841</v>
      </c>
      <c r="E197" s="12" t="s">
        <v>1842</v>
      </c>
      <c r="F197" s="13" t="s">
        <v>339</v>
      </c>
      <c r="G197" s="13" t="s">
        <v>51</v>
      </c>
      <c r="H197" s="13" t="s">
        <v>481</v>
      </c>
      <c r="I197" s="13" t="s">
        <v>156</v>
      </c>
      <c r="J197" s="14">
        <v>0.72</v>
      </c>
      <c r="K197" s="14"/>
      <c r="L197" s="14" t="s">
        <v>1582</v>
      </c>
      <c r="M197" s="14" t="s">
        <v>1582</v>
      </c>
      <c r="N197" s="14" t="s">
        <v>85</v>
      </c>
      <c r="O197" s="17" t="s">
        <v>86</v>
      </c>
      <c r="P197" s="14"/>
      <c r="Q197" s="14"/>
      <c r="R197" s="14"/>
      <c r="S197" s="14">
        <f>0.57*100000</f>
        <v>56999.999999999993</v>
      </c>
      <c r="T197" s="14">
        <f>0.31*100000</f>
        <v>31000</v>
      </c>
      <c r="U197" s="19">
        <f t="shared" si="16"/>
        <v>0.54385964912280704</v>
      </c>
      <c r="V197" s="41">
        <f t="shared" si="19"/>
        <v>-45.614035087719294</v>
      </c>
      <c r="W197" s="14">
        <v>-94.56</v>
      </c>
      <c r="X197" s="14" t="s">
        <v>56</v>
      </c>
      <c r="Z197" s="14" t="s">
        <v>56</v>
      </c>
      <c r="AA197" s="14"/>
      <c r="AB197" s="14" t="s">
        <v>57</v>
      </c>
      <c r="AC197" s="14">
        <v>1989</v>
      </c>
      <c r="AD197" s="14">
        <v>11</v>
      </c>
      <c r="AE197" s="14"/>
      <c r="AF197" s="14">
        <v>10</v>
      </c>
      <c r="AG197" s="14">
        <v>1975</v>
      </c>
      <c r="AH197" s="14">
        <f t="shared" si="17"/>
        <v>14</v>
      </c>
      <c r="AI197" s="17">
        <f t="shared" si="18"/>
        <v>25</v>
      </c>
      <c r="AJ197" s="14">
        <v>34</v>
      </c>
      <c r="AK197" s="14" t="s">
        <v>58</v>
      </c>
      <c r="AL197" s="13" t="s">
        <v>1844</v>
      </c>
      <c r="AM197" s="12">
        <v>2014</v>
      </c>
      <c r="AN197" s="12" t="s">
        <v>1086</v>
      </c>
      <c r="AO197" s="12" t="s">
        <v>161</v>
      </c>
      <c r="AP197" s="12" t="s">
        <v>1845</v>
      </c>
      <c r="AQ197" s="12" t="s">
        <v>56</v>
      </c>
      <c r="AR197" s="12" t="s">
        <v>58</v>
      </c>
      <c r="AS197" s="12" t="s">
        <v>163</v>
      </c>
      <c r="AT197" s="12" t="s">
        <v>151</v>
      </c>
      <c r="AU197" s="45" t="s">
        <v>1846</v>
      </c>
      <c r="AV197" s="15"/>
      <c r="AW197" s="12" t="str">
        <f>B197&amp;C197&amp;L197&amp;M197&amp;O197&amp;U197&amp;AL197&amp;AM197</f>
        <v>FranceScandola Marine Reserve No-take areaSymphodus ocellatusSymphodus ocellatusdensity0.543859649122807Seytre 2014</v>
      </c>
    </row>
    <row r="198" spans="1:49" ht="14.25" customHeight="1" x14ac:dyDescent="0.35">
      <c r="A198" s="12">
        <v>197</v>
      </c>
      <c r="B198" s="12" t="s">
        <v>536</v>
      </c>
      <c r="C198" s="12" t="s">
        <v>2720</v>
      </c>
      <c r="D198" s="12" t="s">
        <v>1841</v>
      </c>
      <c r="E198" s="12" t="s">
        <v>1842</v>
      </c>
      <c r="F198" s="13" t="s">
        <v>339</v>
      </c>
      <c r="G198" s="13" t="s">
        <v>51</v>
      </c>
      <c r="H198" s="13" t="s">
        <v>481</v>
      </c>
      <c r="I198" s="13" t="s">
        <v>156</v>
      </c>
      <c r="J198" s="14">
        <v>0.72</v>
      </c>
      <c r="K198" s="14"/>
      <c r="L198" s="14" t="s">
        <v>1002</v>
      </c>
      <c r="M198" s="14" t="s">
        <v>1847</v>
      </c>
      <c r="N198" s="14" t="s">
        <v>85</v>
      </c>
      <c r="O198" s="17" t="s">
        <v>86</v>
      </c>
      <c r="P198" s="14"/>
      <c r="Q198" s="14"/>
      <c r="R198" s="14"/>
      <c r="S198" s="14">
        <f>0.18*100000</f>
        <v>18000</v>
      </c>
      <c r="T198" s="14">
        <f>0.16*100000</f>
        <v>16000</v>
      </c>
      <c r="U198" s="19">
        <f t="shared" si="16"/>
        <v>0.88888888888888884</v>
      </c>
      <c r="V198" s="41">
        <f t="shared" si="19"/>
        <v>-11.111111111111116</v>
      </c>
      <c r="W198" s="14">
        <v>-11.11</v>
      </c>
      <c r="X198" s="14" t="s">
        <v>56</v>
      </c>
      <c r="Z198" s="14" t="s">
        <v>56</v>
      </c>
      <c r="AA198" s="14"/>
      <c r="AB198" s="14" t="s">
        <v>57</v>
      </c>
      <c r="AC198" s="14">
        <v>1989</v>
      </c>
      <c r="AD198" s="14">
        <v>11</v>
      </c>
      <c r="AE198" s="14"/>
      <c r="AF198" s="14">
        <v>10</v>
      </c>
      <c r="AG198" s="14">
        <v>1975</v>
      </c>
      <c r="AH198" s="14">
        <f t="shared" si="17"/>
        <v>14</v>
      </c>
      <c r="AI198" s="17">
        <f t="shared" si="18"/>
        <v>25</v>
      </c>
      <c r="AJ198" s="14">
        <v>34</v>
      </c>
      <c r="AK198" s="14" t="s">
        <v>58</v>
      </c>
      <c r="AL198" s="13" t="s">
        <v>1844</v>
      </c>
      <c r="AM198" s="12">
        <v>2014</v>
      </c>
      <c r="AN198" s="12" t="s">
        <v>1086</v>
      </c>
      <c r="AO198" s="12" t="s">
        <v>161</v>
      </c>
      <c r="AP198" s="12" t="s">
        <v>1845</v>
      </c>
      <c r="AQ198" s="12" t="s">
        <v>56</v>
      </c>
      <c r="AR198" s="12" t="s">
        <v>58</v>
      </c>
      <c r="AS198" s="12" t="s">
        <v>163</v>
      </c>
      <c r="AT198" s="12" t="s">
        <v>151</v>
      </c>
      <c r="AU198" s="45" t="s">
        <v>1846</v>
      </c>
      <c r="AV198" s="15"/>
      <c r="AW198" s="12" t="str">
        <f>B198&amp;C198&amp;L198&amp;M198&amp;O198&amp;U198&amp;AL198&amp;AM198</f>
        <v>FranceScandola Marine Reserve No-take areaSerranus scribaPainted comberdensity0.888888888888889Seytre 2014</v>
      </c>
    </row>
    <row r="199" spans="1:49" ht="14.25" customHeight="1" x14ac:dyDescent="0.35">
      <c r="A199" s="12">
        <v>198</v>
      </c>
      <c r="B199" s="12" t="s">
        <v>536</v>
      </c>
      <c r="C199" s="12" t="s">
        <v>2720</v>
      </c>
      <c r="D199" s="12" t="s">
        <v>1841</v>
      </c>
      <c r="E199" s="12" t="s">
        <v>1842</v>
      </c>
      <c r="F199" s="13" t="s">
        <v>339</v>
      </c>
      <c r="G199" s="13" t="s">
        <v>51</v>
      </c>
      <c r="H199" s="13" t="s">
        <v>481</v>
      </c>
      <c r="I199" s="13" t="s">
        <v>156</v>
      </c>
      <c r="J199" s="14">
        <v>0.72</v>
      </c>
      <c r="K199" s="14"/>
      <c r="L199" s="14" t="s">
        <v>1595</v>
      </c>
      <c r="M199" s="14" t="s">
        <v>1848</v>
      </c>
      <c r="N199" s="14" t="s">
        <v>85</v>
      </c>
      <c r="O199" s="14" t="s">
        <v>86</v>
      </c>
      <c r="P199" s="14"/>
      <c r="Q199" s="14"/>
      <c r="R199" s="14"/>
      <c r="S199" s="14">
        <f>0.54*100000</f>
        <v>54000</v>
      </c>
      <c r="T199" s="14">
        <f>0.47*100000</f>
        <v>47000</v>
      </c>
      <c r="U199" s="19">
        <f t="shared" si="16"/>
        <v>0.87037037037037035</v>
      </c>
      <c r="V199" s="41">
        <f t="shared" si="19"/>
        <v>-12.962962962962965</v>
      </c>
      <c r="W199" s="14">
        <v>-8.93</v>
      </c>
      <c r="X199" s="14" t="s">
        <v>56</v>
      </c>
      <c r="Z199" s="14" t="s">
        <v>56</v>
      </c>
      <c r="AA199" s="14"/>
      <c r="AB199" s="14" t="s">
        <v>57</v>
      </c>
      <c r="AC199" s="14">
        <v>1989</v>
      </c>
      <c r="AD199" s="14">
        <v>11</v>
      </c>
      <c r="AE199" s="14"/>
      <c r="AF199" s="14">
        <v>10</v>
      </c>
      <c r="AG199" s="14">
        <v>1975</v>
      </c>
      <c r="AH199" s="14">
        <f t="shared" si="17"/>
        <v>14</v>
      </c>
      <c r="AI199" s="17">
        <f t="shared" si="18"/>
        <v>25</v>
      </c>
      <c r="AJ199" s="14">
        <v>34</v>
      </c>
      <c r="AK199" s="14" t="s">
        <v>58</v>
      </c>
      <c r="AL199" s="13" t="s">
        <v>1844</v>
      </c>
      <c r="AM199" s="12">
        <v>2014</v>
      </c>
      <c r="AN199" s="12" t="s">
        <v>1086</v>
      </c>
      <c r="AO199" s="12" t="s">
        <v>161</v>
      </c>
      <c r="AP199" s="12" t="s">
        <v>1845</v>
      </c>
      <c r="AQ199" s="12" t="s">
        <v>56</v>
      </c>
      <c r="AR199" s="12" t="s">
        <v>58</v>
      </c>
      <c r="AS199" s="12" t="s">
        <v>163</v>
      </c>
      <c r="AT199" s="12" t="s">
        <v>151</v>
      </c>
      <c r="AU199" s="45" t="s">
        <v>1846</v>
      </c>
      <c r="AV199" s="15"/>
      <c r="AW199" s="12" t="str">
        <f>B199&amp;C199&amp;L199&amp;M199&amp;O199&amp;U199&amp;AL199&amp;AM199</f>
        <v>FranceScandola Marine Reserve No-take areaDiplodus annularisAnnular seabreamdensity0.87037037037037Seytre 2014</v>
      </c>
    </row>
    <row r="200" spans="1:49" ht="14.25" customHeight="1" x14ac:dyDescent="0.35">
      <c r="A200" s="12">
        <v>199</v>
      </c>
      <c r="B200" s="12" t="s">
        <v>536</v>
      </c>
      <c r="C200" s="12" t="s">
        <v>2720</v>
      </c>
      <c r="D200" s="12" t="s">
        <v>1841</v>
      </c>
      <c r="E200" s="12" t="s">
        <v>1842</v>
      </c>
      <c r="F200" s="13" t="s">
        <v>339</v>
      </c>
      <c r="G200" s="13" t="s">
        <v>51</v>
      </c>
      <c r="H200" s="13" t="s">
        <v>481</v>
      </c>
      <c r="I200" s="13" t="s">
        <v>156</v>
      </c>
      <c r="J200" s="14">
        <v>0.72</v>
      </c>
      <c r="K200" s="14"/>
      <c r="L200" s="14" t="s">
        <v>218</v>
      </c>
      <c r="M200" s="14" t="s">
        <v>1849</v>
      </c>
      <c r="N200" s="14" t="s">
        <v>85</v>
      </c>
      <c r="O200" s="14" t="s">
        <v>86</v>
      </c>
      <c r="P200" s="14"/>
      <c r="Q200" s="14"/>
      <c r="R200" s="14"/>
      <c r="S200" s="14">
        <f>0.4*100000</f>
        <v>40000</v>
      </c>
      <c r="T200" s="14">
        <f>0.8*100000</f>
        <v>80000</v>
      </c>
      <c r="U200" s="19">
        <f t="shared" si="16"/>
        <v>2</v>
      </c>
      <c r="V200" s="41">
        <f t="shared" si="19"/>
        <v>100</v>
      </c>
      <c r="W200" s="14">
        <v>100</v>
      </c>
      <c r="X200" s="14" t="s">
        <v>56</v>
      </c>
      <c r="Z200" s="14" t="s">
        <v>56</v>
      </c>
      <c r="AA200" s="14"/>
      <c r="AB200" s="14" t="s">
        <v>57</v>
      </c>
      <c r="AC200" s="14">
        <v>1989</v>
      </c>
      <c r="AD200" s="14">
        <v>11</v>
      </c>
      <c r="AE200" s="14"/>
      <c r="AF200" s="14">
        <v>10</v>
      </c>
      <c r="AG200" s="14">
        <v>1975</v>
      </c>
      <c r="AH200" s="14">
        <f t="shared" si="17"/>
        <v>14</v>
      </c>
      <c r="AI200" s="17">
        <f t="shared" si="18"/>
        <v>25</v>
      </c>
      <c r="AJ200" s="14">
        <v>34</v>
      </c>
      <c r="AK200" s="14" t="s">
        <v>58</v>
      </c>
      <c r="AL200" s="13" t="s">
        <v>1844</v>
      </c>
      <c r="AM200" s="12">
        <v>2014</v>
      </c>
      <c r="AN200" s="12" t="s">
        <v>1086</v>
      </c>
      <c r="AO200" s="12" t="s">
        <v>161</v>
      </c>
      <c r="AP200" s="12" t="s">
        <v>1845</v>
      </c>
      <c r="AQ200" s="12" t="s">
        <v>56</v>
      </c>
      <c r="AR200" s="12" t="s">
        <v>58</v>
      </c>
      <c r="AS200" s="12" t="s">
        <v>163</v>
      </c>
      <c r="AT200" s="12" t="s">
        <v>151</v>
      </c>
      <c r="AU200" s="45" t="s">
        <v>1846</v>
      </c>
      <c r="AV200" s="15"/>
      <c r="AW200" s="12" t="str">
        <f>B200&amp;C200&amp;L200&amp;M200&amp;O200&amp;U200&amp;AL200&amp;AM200</f>
        <v>FranceScandola Marine Reserve No-take areaSarpa salpaSalemadensity2Seytre 2014</v>
      </c>
    </row>
    <row r="201" spans="1:49" ht="14.25" customHeight="1" x14ac:dyDescent="0.35">
      <c r="A201" s="12">
        <v>200</v>
      </c>
      <c r="B201" s="12" t="s">
        <v>2714</v>
      </c>
      <c r="C201" s="12" t="s">
        <v>1749</v>
      </c>
      <c r="D201" s="12" t="s">
        <v>1750</v>
      </c>
      <c r="E201" s="12" t="s">
        <v>68</v>
      </c>
      <c r="F201" s="13" t="s">
        <v>50</v>
      </c>
      <c r="G201" s="13" t="s">
        <v>51</v>
      </c>
      <c r="H201" s="13" t="s">
        <v>108</v>
      </c>
      <c r="I201" s="13" t="s">
        <v>156</v>
      </c>
      <c r="J201" s="14">
        <v>4.3</v>
      </c>
      <c r="K201" s="14"/>
      <c r="L201" s="14" t="s">
        <v>997</v>
      </c>
      <c r="M201" s="14" t="s">
        <v>1753</v>
      </c>
      <c r="N201" s="14" t="s">
        <v>85</v>
      </c>
      <c r="O201" s="14" t="s">
        <v>70</v>
      </c>
      <c r="P201" s="14"/>
      <c r="Q201" s="14"/>
      <c r="R201" s="14"/>
      <c r="S201" s="14">
        <v>3.3719600000000001</v>
      </c>
      <c r="T201" s="14">
        <v>3.5144380000000002</v>
      </c>
      <c r="U201" s="19">
        <f t="shared" si="16"/>
        <v>1.0422537633898386</v>
      </c>
      <c r="V201" s="41">
        <f t="shared" si="19"/>
        <v>4.225376338983855</v>
      </c>
      <c r="W201" s="14"/>
      <c r="X201" s="14" t="s">
        <v>56</v>
      </c>
      <c r="Z201" s="14" t="s">
        <v>56</v>
      </c>
      <c r="AA201" s="14"/>
      <c r="AB201" s="14" t="s">
        <v>57</v>
      </c>
      <c r="AC201" s="14">
        <v>2008</v>
      </c>
      <c r="AD201" s="14">
        <v>1</v>
      </c>
      <c r="AE201" s="14"/>
      <c r="AF201" s="14"/>
      <c r="AG201" s="14">
        <v>1987</v>
      </c>
      <c r="AH201" s="14">
        <f t="shared" si="17"/>
        <v>21</v>
      </c>
      <c r="AI201" s="17">
        <f t="shared" si="18"/>
        <v>22</v>
      </c>
      <c r="AJ201" s="14"/>
      <c r="AK201" s="14" t="s">
        <v>58</v>
      </c>
      <c r="AL201" s="13" t="s">
        <v>1751</v>
      </c>
      <c r="AM201" s="14">
        <v>2013</v>
      </c>
      <c r="AN201" s="12" t="s">
        <v>150</v>
      </c>
      <c r="AO201" s="12" t="s">
        <v>56</v>
      </c>
      <c r="AP201" s="12"/>
      <c r="AQ201" s="12" t="s">
        <v>56</v>
      </c>
      <c r="AR201" s="12" t="s">
        <v>58</v>
      </c>
      <c r="AS201" s="12" t="s">
        <v>62</v>
      </c>
      <c r="AT201" s="12"/>
      <c r="AU201" s="45" t="s">
        <v>1752</v>
      </c>
      <c r="AV201" s="15"/>
      <c r="AW201" s="12" t="str">
        <f>B201&amp;C201&amp;L201&amp;M201&amp;O201&amp;U201&amp;AL201&amp;AM201</f>
        <v>Saba (Netherlands Territory)Saba Marine Park closed areaAcanthurus bahianusocean surgeonbiomassden1.04225376338984Noble2013</v>
      </c>
    </row>
    <row r="202" spans="1:49" ht="14.25" customHeight="1" x14ac:dyDescent="0.35">
      <c r="A202" s="12">
        <v>201</v>
      </c>
      <c r="B202" s="12" t="s">
        <v>536</v>
      </c>
      <c r="C202" s="12" t="s">
        <v>2720</v>
      </c>
      <c r="D202" s="12" t="s">
        <v>1841</v>
      </c>
      <c r="E202" s="12" t="s">
        <v>1842</v>
      </c>
      <c r="F202" s="13" t="s">
        <v>339</v>
      </c>
      <c r="G202" s="13" t="s">
        <v>51</v>
      </c>
      <c r="H202" s="13" t="s">
        <v>481</v>
      </c>
      <c r="I202" s="13" t="s">
        <v>156</v>
      </c>
      <c r="J202" s="14">
        <v>0.72</v>
      </c>
      <c r="K202" s="17"/>
      <c r="L202" s="14" t="s">
        <v>1850</v>
      </c>
      <c r="M202" s="14" t="s">
        <v>1851</v>
      </c>
      <c r="N202" s="17" t="s">
        <v>120</v>
      </c>
      <c r="O202" s="17" t="s">
        <v>86</v>
      </c>
      <c r="P202" s="14"/>
      <c r="Q202" s="14"/>
      <c r="R202" s="14"/>
      <c r="S202" s="14">
        <f>0.08*100000</f>
        <v>8000</v>
      </c>
      <c r="T202" s="14">
        <f>0.38*100000</f>
        <v>38000</v>
      </c>
      <c r="U202" s="19">
        <f t="shared" ref="U202:U229" si="20">IFERROR(IF(AND(Q202="",R202="",S202="",T202=""),"",IF(AND(Q202&lt;&gt;"",R202&lt;&gt;"",S202&lt;&gt;"",T202&lt;&gt;""),(T202/R202)/(S202/Q202),IF(AND(Q202&lt;&gt;"",R202&lt;&gt;""),R202/Q202,IF(AND(S202&lt;&gt;"",T202&lt;&gt;""),T202/S202,IF(AND(Q202&lt;&gt;"",S202&lt;&gt;""),Q202/S202,IF(AND(R202&lt;&gt;"",T202&lt;&gt;""),T202/R202)))))), "N/A")</f>
        <v>4.75</v>
      </c>
      <c r="V202" s="41">
        <f t="shared" si="19"/>
        <v>375</v>
      </c>
      <c r="W202" s="14">
        <v>362.5</v>
      </c>
      <c r="X202" s="14" t="s">
        <v>56</v>
      </c>
      <c r="Z202" s="14" t="s">
        <v>56</v>
      </c>
      <c r="AA202" s="14"/>
      <c r="AB202" s="14" t="s">
        <v>57</v>
      </c>
      <c r="AC202" s="14">
        <v>1989</v>
      </c>
      <c r="AD202" s="14">
        <v>11</v>
      </c>
      <c r="AE202" s="14"/>
      <c r="AF202" s="14">
        <v>10</v>
      </c>
      <c r="AG202" s="14">
        <v>1975</v>
      </c>
      <c r="AH202" s="14">
        <f t="shared" si="17"/>
        <v>14</v>
      </c>
      <c r="AI202" s="17">
        <f t="shared" si="18"/>
        <v>25</v>
      </c>
      <c r="AJ202" s="14">
        <v>34</v>
      </c>
      <c r="AK202" s="14" t="s">
        <v>58</v>
      </c>
      <c r="AL202" s="13" t="s">
        <v>1844</v>
      </c>
      <c r="AM202" s="12">
        <v>2014</v>
      </c>
      <c r="AN202" s="12" t="s">
        <v>1086</v>
      </c>
      <c r="AO202" s="12" t="s">
        <v>161</v>
      </c>
      <c r="AP202" s="12" t="s">
        <v>1845</v>
      </c>
      <c r="AQ202" s="12" t="s">
        <v>56</v>
      </c>
      <c r="AR202" s="12" t="s">
        <v>58</v>
      </c>
      <c r="AS202" s="12" t="s">
        <v>163</v>
      </c>
      <c r="AT202" s="12" t="s">
        <v>151</v>
      </c>
      <c r="AU202" s="45" t="s">
        <v>1846</v>
      </c>
      <c r="AV202" s="15"/>
      <c r="AW202" s="12" t="str">
        <f>B202&amp;C202&amp;L202&amp;M202&amp;O202&amp;U202&amp;AL202&amp;AM202</f>
        <v>FranceScandola Marine Reserve No-take areaDiplodusseabreamdensity4.75Seytre 2014</v>
      </c>
    </row>
    <row r="203" spans="1:49" ht="14.25" customHeight="1" x14ac:dyDescent="0.35">
      <c r="A203" s="12">
        <v>202</v>
      </c>
      <c r="B203" s="12" t="s">
        <v>536</v>
      </c>
      <c r="C203" s="12" t="s">
        <v>2720</v>
      </c>
      <c r="D203" s="12" t="s">
        <v>1841</v>
      </c>
      <c r="E203" s="12" t="s">
        <v>1842</v>
      </c>
      <c r="F203" s="13" t="s">
        <v>339</v>
      </c>
      <c r="G203" s="13" t="s">
        <v>51</v>
      </c>
      <c r="H203" s="13" t="s">
        <v>481</v>
      </c>
      <c r="I203" s="13" t="s">
        <v>156</v>
      </c>
      <c r="J203" s="14">
        <v>0.72</v>
      </c>
      <c r="K203" s="14"/>
      <c r="L203" s="14"/>
      <c r="M203" s="14" t="s">
        <v>1852</v>
      </c>
      <c r="N203" s="14" t="s">
        <v>1070</v>
      </c>
      <c r="O203" s="17" t="s">
        <v>55</v>
      </c>
      <c r="P203" s="14"/>
      <c r="Q203" s="14"/>
      <c r="R203" s="14"/>
      <c r="S203" s="14">
        <f>AVERAGE(5.59,6.26)</f>
        <v>5.9249999999999998</v>
      </c>
      <c r="T203" s="14">
        <v>7.12</v>
      </c>
      <c r="U203" s="19">
        <f t="shared" si="20"/>
        <v>1.2016877637130803</v>
      </c>
      <c r="V203" s="41">
        <f t="shared" si="19"/>
        <v>20.168776371308027</v>
      </c>
      <c r="W203" s="14">
        <v>17.89</v>
      </c>
      <c r="X203" s="14" t="s">
        <v>56</v>
      </c>
      <c r="Z203" s="14" t="s">
        <v>56</v>
      </c>
      <c r="AA203" s="14"/>
      <c r="AB203" s="14" t="s">
        <v>57</v>
      </c>
      <c r="AC203" s="14">
        <v>1989</v>
      </c>
      <c r="AD203" s="14">
        <v>11</v>
      </c>
      <c r="AE203" s="14"/>
      <c r="AF203" s="14">
        <v>10</v>
      </c>
      <c r="AG203" s="14">
        <v>1975</v>
      </c>
      <c r="AH203" s="14">
        <f t="shared" si="17"/>
        <v>14</v>
      </c>
      <c r="AI203" s="17">
        <f t="shared" si="18"/>
        <v>25</v>
      </c>
      <c r="AJ203" s="14">
        <v>34</v>
      </c>
      <c r="AK203" s="14" t="s">
        <v>58</v>
      </c>
      <c r="AL203" s="13" t="s">
        <v>1844</v>
      </c>
      <c r="AM203" s="12">
        <v>2014</v>
      </c>
      <c r="AN203" s="12" t="s">
        <v>1086</v>
      </c>
      <c r="AO203" s="12" t="s">
        <v>161</v>
      </c>
      <c r="AP203" s="12" t="s">
        <v>1845</v>
      </c>
      <c r="AQ203" s="12" t="s">
        <v>56</v>
      </c>
      <c r="AR203" s="12" t="s">
        <v>58</v>
      </c>
      <c r="AS203" s="12" t="s">
        <v>163</v>
      </c>
      <c r="AT203" s="12" t="s">
        <v>151</v>
      </c>
      <c r="AU203" s="45" t="s">
        <v>1853</v>
      </c>
      <c r="AV203" s="15"/>
      <c r="AW203" s="12" t="str">
        <f>B203&amp;C203&amp;L203&amp;M203&amp;O203&amp;U203&amp;AL203&amp;AM203</f>
        <v>FranceScandola Marine Reserve No-take areaPosidonia oceanica associated fishrichness1.20168776371308Seytre 2014</v>
      </c>
    </row>
    <row r="204" spans="1:49" ht="14.25" customHeight="1" x14ac:dyDescent="0.35">
      <c r="A204" s="12">
        <v>203</v>
      </c>
      <c r="B204" s="12" t="s">
        <v>75</v>
      </c>
      <c r="C204" s="12" t="s">
        <v>1599</v>
      </c>
      <c r="D204" s="12" t="s">
        <v>146</v>
      </c>
      <c r="E204" s="12" t="s">
        <v>1600</v>
      </c>
      <c r="F204" s="13" t="s">
        <v>50</v>
      </c>
      <c r="G204" s="13" t="s">
        <v>51</v>
      </c>
      <c r="H204" s="13" t="s">
        <v>108</v>
      </c>
      <c r="I204" s="13" t="s">
        <v>53</v>
      </c>
      <c r="J204" s="14">
        <v>14</v>
      </c>
      <c r="K204" s="17"/>
      <c r="L204" s="14" t="s">
        <v>147</v>
      </c>
      <c r="M204" s="14" t="s">
        <v>148</v>
      </c>
      <c r="N204" s="14" t="s">
        <v>85</v>
      </c>
      <c r="O204" s="17" t="s">
        <v>104</v>
      </c>
      <c r="P204" s="14" t="s">
        <v>105</v>
      </c>
      <c r="Q204" s="14"/>
      <c r="R204" s="14"/>
      <c r="S204" s="14">
        <v>29.7</v>
      </c>
      <c r="T204" s="14">
        <v>31.8</v>
      </c>
      <c r="U204" s="19">
        <f t="shared" si="20"/>
        <v>1.0707070707070707</v>
      </c>
      <c r="V204" s="41">
        <f t="shared" si="19"/>
        <v>7.0707070707070718</v>
      </c>
      <c r="W204" s="14">
        <v>7.07</v>
      </c>
      <c r="X204" s="14" t="s">
        <v>56</v>
      </c>
      <c r="Z204" s="14" t="s">
        <v>56</v>
      </c>
      <c r="AA204" s="14"/>
      <c r="AB204" s="14" t="s">
        <v>57</v>
      </c>
      <c r="AC204" s="14">
        <v>2007</v>
      </c>
      <c r="AD204" s="14">
        <v>1</v>
      </c>
      <c r="AE204" s="14"/>
      <c r="AF204" s="14">
        <v>7</v>
      </c>
      <c r="AG204" s="14">
        <v>1973</v>
      </c>
      <c r="AH204" s="14">
        <f t="shared" si="17"/>
        <v>34</v>
      </c>
      <c r="AI204" s="17">
        <f t="shared" si="18"/>
        <v>35</v>
      </c>
      <c r="AJ204" s="14">
        <v>31</v>
      </c>
      <c r="AK204" s="14" t="s">
        <v>56</v>
      </c>
      <c r="AL204" s="13" t="s">
        <v>149</v>
      </c>
      <c r="AM204" s="12">
        <v>2015</v>
      </c>
      <c r="AN204" s="12" t="s">
        <v>150</v>
      </c>
      <c r="AO204" s="12" t="s">
        <v>56</v>
      </c>
      <c r="AP204" s="12"/>
      <c r="AQ204" s="12" t="s">
        <v>56</v>
      </c>
      <c r="AR204" s="12" t="s">
        <v>58</v>
      </c>
      <c r="AS204" s="12" t="s">
        <v>94</v>
      </c>
      <c r="AT204" s="12" t="s">
        <v>151</v>
      </c>
      <c r="AU204" s="45" t="s">
        <v>1601</v>
      </c>
      <c r="AV204" s="15"/>
      <c r="AW204" s="12" t="str">
        <f>B204&amp;C204&amp;L204&amp;M204&amp;O204&amp;U204&amp;AL204&amp;AM204</f>
        <v>United StatesPoint Lobos State Marine ReserveSebastes melanopsBlack rockfishsize1.07070707070707Starr2015</v>
      </c>
    </row>
    <row r="205" spans="1:49" ht="14.25" customHeight="1" x14ac:dyDescent="0.35">
      <c r="A205" s="12">
        <v>204</v>
      </c>
      <c r="B205" s="12" t="s">
        <v>75</v>
      </c>
      <c r="C205" s="12" t="s">
        <v>1599</v>
      </c>
      <c r="D205" s="12" t="s">
        <v>146</v>
      </c>
      <c r="E205" s="12" t="s">
        <v>1600</v>
      </c>
      <c r="F205" s="13" t="s">
        <v>50</v>
      </c>
      <c r="G205" s="13" t="s">
        <v>51</v>
      </c>
      <c r="H205" s="13" t="s">
        <v>108</v>
      </c>
      <c r="I205" s="13" t="s">
        <v>53</v>
      </c>
      <c r="J205" s="14">
        <v>14</v>
      </c>
      <c r="K205" s="17"/>
      <c r="L205" s="14" t="s">
        <v>1458</v>
      </c>
      <c r="M205" s="14" t="s">
        <v>1602</v>
      </c>
      <c r="N205" s="14" t="s">
        <v>85</v>
      </c>
      <c r="O205" s="17" t="s">
        <v>104</v>
      </c>
      <c r="P205" s="14" t="s">
        <v>105</v>
      </c>
      <c r="Q205" s="14"/>
      <c r="R205" s="14"/>
      <c r="S205" s="14">
        <v>26.9</v>
      </c>
      <c r="T205" s="14">
        <v>28.8</v>
      </c>
      <c r="U205" s="19">
        <f t="shared" si="20"/>
        <v>1.0706319702602232</v>
      </c>
      <c r="V205" s="41">
        <f t="shared" si="19"/>
        <v>7.0631970260223165</v>
      </c>
      <c r="W205" s="14">
        <v>7.06</v>
      </c>
      <c r="X205" s="14" t="s">
        <v>56</v>
      </c>
      <c r="Z205" s="14" t="s">
        <v>56</v>
      </c>
      <c r="AA205" s="14"/>
      <c r="AB205" s="14" t="s">
        <v>57</v>
      </c>
      <c r="AC205" s="14">
        <v>2007</v>
      </c>
      <c r="AD205" s="14">
        <v>1</v>
      </c>
      <c r="AE205" s="14"/>
      <c r="AF205" s="14">
        <v>7</v>
      </c>
      <c r="AG205" s="14">
        <v>1973</v>
      </c>
      <c r="AH205" s="14">
        <f t="shared" si="17"/>
        <v>34</v>
      </c>
      <c r="AI205" s="17">
        <f t="shared" si="18"/>
        <v>35</v>
      </c>
      <c r="AJ205" s="14">
        <v>31</v>
      </c>
      <c r="AK205" s="74" t="s">
        <v>56</v>
      </c>
      <c r="AL205" s="13" t="s">
        <v>149</v>
      </c>
      <c r="AM205" s="12">
        <v>2015</v>
      </c>
      <c r="AN205" s="12" t="s">
        <v>150</v>
      </c>
      <c r="AO205" s="12" t="s">
        <v>56</v>
      </c>
      <c r="AP205" s="12"/>
      <c r="AQ205" s="12" t="s">
        <v>56</v>
      </c>
      <c r="AR205" s="12" t="s">
        <v>58</v>
      </c>
      <c r="AS205" s="12" t="s">
        <v>94</v>
      </c>
      <c r="AT205" s="12" t="s">
        <v>151</v>
      </c>
      <c r="AU205" s="45" t="s">
        <v>1603</v>
      </c>
      <c r="AV205" s="15"/>
      <c r="AW205" s="12" t="str">
        <f>B205&amp;C205&amp;L205&amp;M205&amp;O205&amp;U205&amp;AL205&amp;AM205</f>
        <v>United StatesPoint Lobos State Marine ReserveSebastes mystinusBlue rockfishsize1.07063197026022Starr2015</v>
      </c>
    </row>
    <row r="206" spans="1:49" ht="14.25" customHeight="1" x14ac:dyDescent="0.35">
      <c r="A206" s="12">
        <v>205</v>
      </c>
      <c r="B206" s="12" t="s">
        <v>75</v>
      </c>
      <c r="C206" s="12" t="s">
        <v>1599</v>
      </c>
      <c r="D206" s="12" t="s">
        <v>146</v>
      </c>
      <c r="E206" s="12" t="s">
        <v>1600</v>
      </c>
      <c r="F206" s="13" t="s">
        <v>50</v>
      </c>
      <c r="G206" s="13" t="s">
        <v>51</v>
      </c>
      <c r="H206" s="13" t="s">
        <v>108</v>
      </c>
      <c r="I206" s="13" t="s">
        <v>53</v>
      </c>
      <c r="J206" s="14">
        <v>14</v>
      </c>
      <c r="K206" s="14"/>
      <c r="L206" s="14" t="s">
        <v>1604</v>
      </c>
      <c r="M206" s="14" t="s">
        <v>1605</v>
      </c>
      <c r="N206" s="14" t="s">
        <v>85</v>
      </c>
      <c r="O206" s="17" t="s">
        <v>104</v>
      </c>
      <c r="P206" s="14" t="s">
        <v>105</v>
      </c>
      <c r="Q206" s="14"/>
      <c r="R206" s="14"/>
      <c r="S206" s="14">
        <v>29.1</v>
      </c>
      <c r="T206" s="14">
        <v>30.6</v>
      </c>
      <c r="U206" s="19">
        <f t="shared" si="20"/>
        <v>1.0515463917525774</v>
      </c>
      <c r="V206" s="41">
        <f t="shared" si="19"/>
        <v>5.1546391752577359</v>
      </c>
      <c r="W206" s="14">
        <v>5.15</v>
      </c>
      <c r="X206" s="14" t="s">
        <v>56</v>
      </c>
      <c r="Z206" s="14" t="s">
        <v>56</v>
      </c>
      <c r="AA206" s="14"/>
      <c r="AB206" s="14" t="s">
        <v>57</v>
      </c>
      <c r="AC206" s="14">
        <v>2007</v>
      </c>
      <c r="AD206" s="14">
        <v>1</v>
      </c>
      <c r="AE206" s="14"/>
      <c r="AF206" s="14">
        <v>7</v>
      </c>
      <c r="AG206" s="14">
        <v>1973</v>
      </c>
      <c r="AH206" s="14">
        <f t="shared" si="17"/>
        <v>34</v>
      </c>
      <c r="AI206" s="17">
        <f t="shared" si="18"/>
        <v>35</v>
      </c>
      <c r="AJ206" s="14">
        <v>31</v>
      </c>
      <c r="AK206" s="14" t="s">
        <v>56</v>
      </c>
      <c r="AL206" s="13" t="s">
        <v>149</v>
      </c>
      <c r="AM206" s="12">
        <v>2015</v>
      </c>
      <c r="AN206" s="12" t="s">
        <v>150</v>
      </c>
      <c r="AO206" s="12" t="s">
        <v>56</v>
      </c>
      <c r="AP206" s="12"/>
      <c r="AQ206" s="12" t="s">
        <v>56</v>
      </c>
      <c r="AR206" s="12" t="s">
        <v>58</v>
      </c>
      <c r="AS206" s="12" t="s">
        <v>94</v>
      </c>
      <c r="AT206" s="12" t="s">
        <v>151</v>
      </c>
      <c r="AU206" s="45" t="s">
        <v>1606</v>
      </c>
      <c r="AV206" s="15"/>
      <c r="AW206" s="12" t="str">
        <f>B206&amp;C206&amp;L206&amp;M206&amp;O206&amp;U206&amp;AL206&amp;AM206</f>
        <v>United StatesPoint Lobos State Marine ReserveSebastes pinnigerCanary rockfishsize1.05154639175258Starr2015</v>
      </c>
    </row>
    <row r="207" spans="1:49" ht="14.25" customHeight="1" x14ac:dyDescent="0.35">
      <c r="A207" s="12">
        <v>206</v>
      </c>
      <c r="B207" s="15" t="s">
        <v>75</v>
      </c>
      <c r="C207" s="15" t="s">
        <v>1599</v>
      </c>
      <c r="D207" s="12" t="s">
        <v>146</v>
      </c>
      <c r="E207" s="15" t="s">
        <v>1600</v>
      </c>
      <c r="F207" s="13" t="s">
        <v>50</v>
      </c>
      <c r="G207" s="13" t="s">
        <v>51</v>
      </c>
      <c r="H207" s="16" t="s">
        <v>108</v>
      </c>
      <c r="I207" s="16" t="s">
        <v>53</v>
      </c>
      <c r="J207" s="17">
        <v>14</v>
      </c>
      <c r="K207" s="17"/>
      <c r="L207" s="17" t="s">
        <v>1607</v>
      </c>
      <c r="M207" s="17" t="s">
        <v>1608</v>
      </c>
      <c r="N207" s="17" t="s">
        <v>85</v>
      </c>
      <c r="O207" s="17" t="s">
        <v>104</v>
      </c>
      <c r="P207" s="17" t="s">
        <v>105</v>
      </c>
      <c r="Q207" s="17"/>
      <c r="R207" s="17"/>
      <c r="S207" s="17">
        <v>26.9</v>
      </c>
      <c r="T207" s="17">
        <v>30.2</v>
      </c>
      <c r="U207" s="20">
        <f t="shared" si="20"/>
        <v>1.1226765799256506</v>
      </c>
      <c r="V207" s="22">
        <f t="shared" si="19"/>
        <v>12.267657992565063</v>
      </c>
      <c r="W207" s="17">
        <v>12.27</v>
      </c>
      <c r="X207" s="17" t="s">
        <v>56</v>
      </c>
      <c r="Y207" s="17"/>
      <c r="Z207" s="17" t="s">
        <v>56</v>
      </c>
      <c r="AA207" s="17"/>
      <c r="AB207" s="17" t="s">
        <v>57</v>
      </c>
      <c r="AC207" s="17">
        <v>2007</v>
      </c>
      <c r="AD207" s="17">
        <v>1</v>
      </c>
      <c r="AE207" s="17"/>
      <c r="AF207" s="17">
        <v>7</v>
      </c>
      <c r="AG207" s="17">
        <v>1973</v>
      </c>
      <c r="AH207" s="14">
        <f t="shared" si="17"/>
        <v>34</v>
      </c>
      <c r="AI207" s="17">
        <f t="shared" si="18"/>
        <v>35</v>
      </c>
      <c r="AJ207" s="17">
        <v>31</v>
      </c>
      <c r="AK207" s="66" t="s">
        <v>56</v>
      </c>
      <c r="AL207" s="16" t="s">
        <v>149</v>
      </c>
      <c r="AM207" s="15">
        <v>2015</v>
      </c>
      <c r="AN207" s="15" t="s">
        <v>150</v>
      </c>
      <c r="AO207" s="15" t="s">
        <v>56</v>
      </c>
      <c r="AP207" s="15"/>
      <c r="AQ207" s="15" t="s">
        <v>56</v>
      </c>
      <c r="AR207" s="15" t="s">
        <v>58</v>
      </c>
      <c r="AS207" s="15" t="s">
        <v>94</v>
      </c>
      <c r="AT207" s="15" t="s">
        <v>151</v>
      </c>
      <c r="AU207" s="45" t="s">
        <v>1609</v>
      </c>
      <c r="AV207" s="15"/>
      <c r="AW207" s="12" t="str">
        <f>B207&amp;C207&amp;L207&amp;M207&amp;O207&amp;U207&amp;AL207&amp;AM207</f>
        <v>United StatesPoint Lobos State Marine ReserveSebastes nebulosusChina rockfishsize1.12267657992565Starr2015</v>
      </c>
    </row>
    <row r="208" spans="1:49" ht="14.25" customHeight="1" x14ac:dyDescent="0.35">
      <c r="A208" s="12">
        <v>207</v>
      </c>
      <c r="B208" s="12" t="s">
        <v>75</v>
      </c>
      <c r="C208" s="12" t="s">
        <v>1599</v>
      </c>
      <c r="D208" s="12" t="s">
        <v>146</v>
      </c>
      <c r="E208" s="12" t="s">
        <v>1600</v>
      </c>
      <c r="F208" s="13" t="s">
        <v>50</v>
      </c>
      <c r="G208" s="13" t="s">
        <v>51</v>
      </c>
      <c r="H208" s="13" t="s">
        <v>108</v>
      </c>
      <c r="I208" s="13" t="s">
        <v>53</v>
      </c>
      <c r="J208" s="14">
        <v>14</v>
      </c>
      <c r="K208" s="17"/>
      <c r="L208" s="14" t="s">
        <v>1447</v>
      </c>
      <c r="M208" s="14" t="s">
        <v>1610</v>
      </c>
      <c r="N208" s="14" t="s">
        <v>85</v>
      </c>
      <c r="O208" s="17" t="s">
        <v>104</v>
      </c>
      <c r="P208" s="14" t="s">
        <v>105</v>
      </c>
      <c r="Q208" s="14"/>
      <c r="R208" s="14"/>
      <c r="S208" s="14">
        <v>31.7</v>
      </c>
      <c r="T208" s="14">
        <v>38.6</v>
      </c>
      <c r="U208" s="19">
        <f t="shared" si="20"/>
        <v>1.2176656151419558</v>
      </c>
      <c r="V208" s="41">
        <f t="shared" si="19"/>
        <v>21.76656151419558</v>
      </c>
      <c r="W208" s="14">
        <v>21.77</v>
      </c>
      <c r="X208" s="14" t="s">
        <v>56</v>
      </c>
      <c r="Z208" s="14" t="s">
        <v>56</v>
      </c>
      <c r="AA208" s="14"/>
      <c r="AB208" s="14" t="s">
        <v>57</v>
      </c>
      <c r="AC208" s="14">
        <v>2007</v>
      </c>
      <c r="AD208" s="14">
        <v>1</v>
      </c>
      <c r="AE208" s="14"/>
      <c r="AF208" s="14">
        <v>7</v>
      </c>
      <c r="AG208" s="14">
        <v>1973</v>
      </c>
      <c r="AH208" s="14">
        <f t="shared" si="17"/>
        <v>34</v>
      </c>
      <c r="AI208" s="17">
        <f t="shared" si="18"/>
        <v>35</v>
      </c>
      <c r="AJ208" s="14">
        <v>31</v>
      </c>
      <c r="AK208" s="14" t="s">
        <v>56</v>
      </c>
      <c r="AL208" s="13" t="s">
        <v>149</v>
      </c>
      <c r="AM208" s="12">
        <v>2015</v>
      </c>
      <c r="AN208" s="12" t="s">
        <v>150</v>
      </c>
      <c r="AO208" s="12" t="s">
        <v>56</v>
      </c>
      <c r="AP208" s="12"/>
      <c r="AQ208" s="12" t="s">
        <v>56</v>
      </c>
      <c r="AR208" s="12" t="s">
        <v>58</v>
      </c>
      <c r="AS208" s="12" t="s">
        <v>94</v>
      </c>
      <c r="AT208" s="12" t="s">
        <v>151</v>
      </c>
      <c r="AU208" s="45" t="s">
        <v>1611</v>
      </c>
      <c r="AV208" s="15"/>
      <c r="AW208" s="12" t="str">
        <f>B208&amp;C208&amp;L208&amp;M208&amp;O208&amp;U208&amp;AL208&amp;AM208</f>
        <v>United StatesPoint Lobos State Marine ReserveSebastes caurinusCopper rockfishsize1.21766561514196Starr2015</v>
      </c>
    </row>
    <row r="209" spans="1:49" ht="14.25" customHeight="1" x14ac:dyDescent="0.35">
      <c r="A209" s="12">
        <v>208</v>
      </c>
      <c r="B209" s="12" t="s">
        <v>75</v>
      </c>
      <c r="C209" s="12" t="s">
        <v>1599</v>
      </c>
      <c r="D209" s="12" t="s">
        <v>146</v>
      </c>
      <c r="E209" s="12" t="s">
        <v>1600</v>
      </c>
      <c r="F209" s="13" t="s">
        <v>50</v>
      </c>
      <c r="G209" s="13" t="s">
        <v>51</v>
      </c>
      <c r="H209" s="13" t="s">
        <v>108</v>
      </c>
      <c r="I209" s="13" t="s">
        <v>53</v>
      </c>
      <c r="J209" s="14">
        <v>14</v>
      </c>
      <c r="K209" s="17"/>
      <c r="L209" s="14" t="s">
        <v>1449</v>
      </c>
      <c r="M209" s="14" t="s">
        <v>1612</v>
      </c>
      <c r="N209" s="14" t="s">
        <v>85</v>
      </c>
      <c r="O209" s="17" t="s">
        <v>104</v>
      </c>
      <c r="P209" s="14" t="s">
        <v>105</v>
      </c>
      <c r="Q209" s="14"/>
      <c r="R209" s="14"/>
      <c r="S209" s="14">
        <v>26.5</v>
      </c>
      <c r="T209" s="14">
        <v>27.5</v>
      </c>
      <c r="U209" s="19">
        <f t="shared" si="20"/>
        <v>1.0377358490566038</v>
      </c>
      <c r="V209" s="41">
        <f t="shared" si="19"/>
        <v>3.7735849056603765</v>
      </c>
      <c r="W209" s="14">
        <v>3.77</v>
      </c>
      <c r="X209" s="14" t="s">
        <v>56</v>
      </c>
      <c r="Z209" s="14" t="s">
        <v>56</v>
      </c>
      <c r="AA209" s="14"/>
      <c r="AB209" s="14" t="s">
        <v>57</v>
      </c>
      <c r="AC209" s="14">
        <v>2007</v>
      </c>
      <c r="AD209" s="14">
        <v>1</v>
      </c>
      <c r="AE209" s="14"/>
      <c r="AF209" s="14">
        <v>7</v>
      </c>
      <c r="AG209" s="14">
        <v>1973</v>
      </c>
      <c r="AH209" s="14">
        <f t="shared" si="17"/>
        <v>34</v>
      </c>
      <c r="AI209" s="17">
        <f t="shared" si="18"/>
        <v>35</v>
      </c>
      <c r="AJ209" s="14">
        <v>31</v>
      </c>
      <c r="AK209" s="74" t="s">
        <v>56</v>
      </c>
      <c r="AL209" s="13" t="s">
        <v>149</v>
      </c>
      <c r="AM209" s="12">
        <v>2015</v>
      </c>
      <c r="AN209" s="12" t="s">
        <v>150</v>
      </c>
      <c r="AO209" s="12" t="s">
        <v>56</v>
      </c>
      <c r="AP209" s="12"/>
      <c r="AQ209" s="12" t="s">
        <v>56</v>
      </c>
      <c r="AR209" s="12" t="s">
        <v>58</v>
      </c>
      <c r="AS209" s="12" t="s">
        <v>94</v>
      </c>
      <c r="AT209" s="12" t="s">
        <v>151</v>
      </c>
      <c r="AU209" s="45" t="s">
        <v>1613</v>
      </c>
      <c r="AV209" s="15"/>
      <c r="AW209" s="12" t="str">
        <f>B209&amp;C209&amp;L209&amp;M209&amp;O209&amp;U209&amp;AL209&amp;AM209</f>
        <v>United StatesPoint Lobos State Marine ReserveSebastes carnatusGopher rockfishsize1.0377358490566Starr2015</v>
      </c>
    </row>
    <row r="210" spans="1:49" ht="14.25" customHeight="1" x14ac:dyDescent="0.35">
      <c r="A210" s="12">
        <v>209</v>
      </c>
      <c r="B210" s="15" t="s">
        <v>75</v>
      </c>
      <c r="C210" s="12" t="s">
        <v>1599</v>
      </c>
      <c r="D210" s="12" t="s">
        <v>146</v>
      </c>
      <c r="E210" s="12" t="s">
        <v>1600</v>
      </c>
      <c r="F210" s="13" t="s">
        <v>50</v>
      </c>
      <c r="G210" s="13" t="s">
        <v>51</v>
      </c>
      <c r="H210" s="13" t="s">
        <v>108</v>
      </c>
      <c r="I210" s="13" t="s">
        <v>53</v>
      </c>
      <c r="J210" s="14">
        <v>14</v>
      </c>
      <c r="K210" s="14"/>
      <c r="L210" s="14" t="s">
        <v>1614</v>
      </c>
      <c r="M210" s="14" t="s">
        <v>1615</v>
      </c>
      <c r="N210" s="14" t="s">
        <v>85</v>
      </c>
      <c r="O210" s="14" t="s">
        <v>104</v>
      </c>
      <c r="P210" s="14" t="s">
        <v>105</v>
      </c>
      <c r="Q210" s="14"/>
      <c r="R210" s="14"/>
      <c r="S210" s="14">
        <v>30.1</v>
      </c>
      <c r="T210" s="14">
        <v>30.9</v>
      </c>
      <c r="U210" s="19">
        <f t="shared" si="20"/>
        <v>1.0265780730897009</v>
      </c>
      <c r="V210" s="41">
        <f t="shared" si="19"/>
        <v>2.6578073089700949</v>
      </c>
      <c r="W210" s="14">
        <v>2.66</v>
      </c>
      <c r="X210" s="14" t="s">
        <v>56</v>
      </c>
      <c r="Z210" s="14" t="s">
        <v>56</v>
      </c>
      <c r="AA210" s="14"/>
      <c r="AB210" s="14" t="s">
        <v>57</v>
      </c>
      <c r="AC210" s="14">
        <v>2007</v>
      </c>
      <c r="AD210" s="14">
        <v>1</v>
      </c>
      <c r="AE210" s="14"/>
      <c r="AF210" s="14">
        <v>7</v>
      </c>
      <c r="AG210" s="14">
        <v>1973</v>
      </c>
      <c r="AH210" s="14">
        <f t="shared" si="17"/>
        <v>34</v>
      </c>
      <c r="AI210" s="17">
        <f t="shared" si="18"/>
        <v>35</v>
      </c>
      <c r="AJ210" s="14">
        <v>31</v>
      </c>
      <c r="AK210" s="14" t="s">
        <v>56</v>
      </c>
      <c r="AL210" s="13" t="s">
        <v>149</v>
      </c>
      <c r="AM210" s="12">
        <v>2015</v>
      </c>
      <c r="AN210" s="12" t="s">
        <v>150</v>
      </c>
      <c r="AO210" s="12" t="s">
        <v>56</v>
      </c>
      <c r="AP210" s="12"/>
      <c r="AQ210" s="12" t="s">
        <v>56</v>
      </c>
      <c r="AR210" s="12" t="s">
        <v>58</v>
      </c>
      <c r="AS210" s="12" t="s">
        <v>94</v>
      </c>
      <c r="AT210" s="12" t="s">
        <v>151</v>
      </c>
      <c r="AU210" s="45" t="s">
        <v>1616</v>
      </c>
      <c r="AV210" s="15"/>
      <c r="AW210" s="12" t="str">
        <f>B210&amp;C210&amp;L210&amp;M210&amp;O210&amp;U210&amp;AL210&amp;AM210</f>
        <v>United StatesPoint Lobos State Marine ReserveSebastes atrovirensKelp rockfishsize1.0265780730897Starr2015</v>
      </c>
    </row>
    <row r="211" spans="1:49" ht="14.25" customHeight="1" x14ac:dyDescent="0.35">
      <c r="A211" s="12">
        <v>210</v>
      </c>
      <c r="B211" s="15" t="s">
        <v>75</v>
      </c>
      <c r="C211" s="12" t="s">
        <v>1599</v>
      </c>
      <c r="D211" s="12" t="s">
        <v>146</v>
      </c>
      <c r="E211" s="15" t="s">
        <v>1600</v>
      </c>
      <c r="F211" s="13" t="s">
        <v>50</v>
      </c>
      <c r="G211" s="13" t="s">
        <v>51</v>
      </c>
      <c r="H211" s="16" t="s">
        <v>108</v>
      </c>
      <c r="I211" s="16" t="s">
        <v>53</v>
      </c>
      <c r="J211" s="14">
        <v>14</v>
      </c>
      <c r="K211" s="17"/>
      <c r="L211" s="17" t="s">
        <v>1456</v>
      </c>
      <c r="M211" s="17" t="s">
        <v>1457</v>
      </c>
      <c r="N211" s="17" t="s">
        <v>85</v>
      </c>
      <c r="O211" s="17" t="s">
        <v>104</v>
      </c>
      <c r="P211" s="17" t="s">
        <v>105</v>
      </c>
      <c r="Q211" s="17"/>
      <c r="R211" s="17"/>
      <c r="S211" s="17">
        <v>58.6</v>
      </c>
      <c r="T211" s="17">
        <v>63.8</v>
      </c>
      <c r="U211" s="20">
        <f t="shared" si="20"/>
        <v>1.0887372013651877</v>
      </c>
      <c r="V211" s="22">
        <f t="shared" si="19"/>
        <v>8.8737201365187701</v>
      </c>
      <c r="W211" s="17">
        <v>8.8699999999999992</v>
      </c>
      <c r="X211" s="17" t="s">
        <v>56</v>
      </c>
      <c r="Y211" s="17"/>
      <c r="Z211" s="17" t="s">
        <v>56</v>
      </c>
      <c r="AA211" s="17"/>
      <c r="AB211" s="17" t="s">
        <v>57</v>
      </c>
      <c r="AC211" s="17">
        <v>2007</v>
      </c>
      <c r="AD211" s="17">
        <v>1</v>
      </c>
      <c r="AE211" s="17"/>
      <c r="AF211" s="17">
        <v>7</v>
      </c>
      <c r="AG211" s="17">
        <v>1973</v>
      </c>
      <c r="AH211" s="14">
        <f t="shared" si="17"/>
        <v>34</v>
      </c>
      <c r="AI211" s="17">
        <f t="shared" si="18"/>
        <v>35</v>
      </c>
      <c r="AJ211" s="17">
        <v>31</v>
      </c>
      <c r="AK211" s="66" t="s">
        <v>56</v>
      </c>
      <c r="AL211" s="16" t="s">
        <v>149</v>
      </c>
      <c r="AM211" s="15">
        <v>2015</v>
      </c>
      <c r="AN211" s="12" t="s">
        <v>150</v>
      </c>
      <c r="AO211" s="15" t="s">
        <v>56</v>
      </c>
      <c r="AP211" s="15"/>
      <c r="AQ211" s="15" t="s">
        <v>56</v>
      </c>
      <c r="AR211" s="15" t="s">
        <v>58</v>
      </c>
      <c r="AS211" s="15" t="s">
        <v>94</v>
      </c>
      <c r="AT211" s="15" t="s">
        <v>151</v>
      </c>
      <c r="AU211" s="45" t="s">
        <v>1617</v>
      </c>
      <c r="AV211" s="15"/>
      <c r="AW211" s="12" t="str">
        <f>B211&amp;C211&amp;L211&amp;M211&amp;O211&amp;U211&amp;AL211&amp;AM211</f>
        <v>United StatesPoint Lobos State Marine ReserveOphiodon elongatusLingcodsize1.08873720136519Starr2015</v>
      </c>
    </row>
    <row r="212" spans="1:49" ht="14.25" customHeight="1" x14ac:dyDescent="0.35">
      <c r="A212" s="12">
        <v>211</v>
      </c>
      <c r="B212" s="15" t="s">
        <v>75</v>
      </c>
      <c r="C212" s="12" t="s">
        <v>1599</v>
      </c>
      <c r="D212" s="12" t="s">
        <v>146</v>
      </c>
      <c r="E212" s="12" t="s">
        <v>1600</v>
      </c>
      <c r="F212" s="13" t="s">
        <v>50</v>
      </c>
      <c r="G212" s="13" t="s">
        <v>51</v>
      </c>
      <c r="H212" s="13" t="s">
        <v>108</v>
      </c>
      <c r="I212" s="13" t="s">
        <v>53</v>
      </c>
      <c r="J212" s="14">
        <v>14</v>
      </c>
      <c r="K212" s="14"/>
      <c r="L212" s="14" t="s">
        <v>1460</v>
      </c>
      <c r="M212" s="14" t="s">
        <v>1618</v>
      </c>
      <c r="N212" s="14" t="s">
        <v>85</v>
      </c>
      <c r="O212" s="14" t="s">
        <v>104</v>
      </c>
      <c r="P212" s="14" t="s">
        <v>105</v>
      </c>
      <c r="Q212" s="14"/>
      <c r="R212" s="14"/>
      <c r="S212" s="14">
        <v>34.299999999999997</v>
      </c>
      <c r="T212" s="14">
        <v>35.5</v>
      </c>
      <c r="U212" s="19">
        <f t="shared" si="20"/>
        <v>1.0349854227405249</v>
      </c>
      <c r="V212" s="41">
        <f t="shared" si="19"/>
        <v>3.4985422740524852</v>
      </c>
      <c r="W212" s="14">
        <v>3.5</v>
      </c>
      <c r="X212" s="14" t="s">
        <v>56</v>
      </c>
      <c r="Z212" s="14" t="s">
        <v>56</v>
      </c>
      <c r="AA212" s="14"/>
      <c r="AB212" s="14" t="s">
        <v>57</v>
      </c>
      <c r="AC212" s="14">
        <v>2007</v>
      </c>
      <c r="AD212" s="14">
        <v>1</v>
      </c>
      <c r="AE212" s="14"/>
      <c r="AF212" s="14">
        <v>7</v>
      </c>
      <c r="AG212" s="14">
        <v>1973</v>
      </c>
      <c r="AH212" s="14">
        <f t="shared" si="17"/>
        <v>34</v>
      </c>
      <c r="AI212" s="17">
        <f t="shared" si="18"/>
        <v>35</v>
      </c>
      <c r="AJ212" s="14">
        <v>31</v>
      </c>
      <c r="AK212" s="14" t="s">
        <v>56</v>
      </c>
      <c r="AL212" s="13" t="s">
        <v>149</v>
      </c>
      <c r="AM212" s="12">
        <v>2015</v>
      </c>
      <c r="AN212" s="12" t="s">
        <v>150</v>
      </c>
      <c r="AO212" s="12" t="s">
        <v>56</v>
      </c>
      <c r="AP212" s="12"/>
      <c r="AQ212" s="12" t="s">
        <v>56</v>
      </c>
      <c r="AR212" s="12" t="s">
        <v>58</v>
      </c>
      <c r="AS212" s="12" t="s">
        <v>94</v>
      </c>
      <c r="AT212" s="12" t="s">
        <v>151</v>
      </c>
      <c r="AU212" s="45" t="s">
        <v>1619</v>
      </c>
      <c r="AV212" s="15"/>
      <c r="AW212" s="12" t="str">
        <f>B212&amp;C212&amp;L212&amp;M212&amp;O212&amp;U212&amp;AL212&amp;AM212</f>
        <v>United StatesPoint Lobos State Marine ReserveSebastes serranoidesOlive rockfishsize1.03498542274052Starr2015</v>
      </c>
    </row>
    <row r="213" spans="1:49" ht="14.25" customHeight="1" x14ac:dyDescent="0.35">
      <c r="A213" s="12">
        <v>212</v>
      </c>
      <c r="B213" s="15" t="s">
        <v>75</v>
      </c>
      <c r="C213" s="12" t="s">
        <v>1599</v>
      </c>
      <c r="D213" s="12" t="s">
        <v>146</v>
      </c>
      <c r="E213" s="12" t="s">
        <v>1600</v>
      </c>
      <c r="F213" s="13" t="s">
        <v>50</v>
      </c>
      <c r="G213" s="13" t="s">
        <v>51</v>
      </c>
      <c r="H213" s="13" t="s">
        <v>108</v>
      </c>
      <c r="I213" s="13" t="s">
        <v>53</v>
      </c>
      <c r="J213" s="14">
        <v>14</v>
      </c>
      <c r="K213" s="14"/>
      <c r="L213" s="14" t="s">
        <v>1445</v>
      </c>
      <c r="M213" s="14" t="s">
        <v>1446</v>
      </c>
      <c r="N213" s="14" t="s">
        <v>85</v>
      </c>
      <c r="O213" s="17" t="s">
        <v>104</v>
      </c>
      <c r="P213" s="14" t="s">
        <v>105</v>
      </c>
      <c r="Q213" s="14"/>
      <c r="R213" s="14"/>
      <c r="S213" s="14">
        <v>38</v>
      </c>
      <c r="T213" s="14">
        <v>41.6</v>
      </c>
      <c r="U213" s="19">
        <f t="shared" si="20"/>
        <v>1.0947368421052632</v>
      </c>
      <c r="V213" s="41">
        <f t="shared" si="19"/>
        <v>9.4736842105263221</v>
      </c>
      <c r="W213" s="14">
        <v>9.4700000000000006</v>
      </c>
      <c r="X213" s="14" t="s">
        <v>56</v>
      </c>
      <c r="Z213" s="14" t="s">
        <v>56</v>
      </c>
      <c r="AA213" s="14"/>
      <c r="AB213" s="14" t="s">
        <v>57</v>
      </c>
      <c r="AC213" s="14">
        <v>2007</v>
      </c>
      <c r="AD213" s="14">
        <v>1</v>
      </c>
      <c r="AE213" s="14"/>
      <c r="AF213" s="14">
        <v>7</v>
      </c>
      <c r="AG213" s="14">
        <v>1973</v>
      </c>
      <c r="AH213" s="14">
        <f t="shared" si="17"/>
        <v>34</v>
      </c>
      <c r="AI213" s="17">
        <f t="shared" si="18"/>
        <v>35</v>
      </c>
      <c r="AJ213" s="14">
        <v>31</v>
      </c>
      <c r="AK213" s="74" t="s">
        <v>56</v>
      </c>
      <c r="AL213" s="13" t="s">
        <v>149</v>
      </c>
      <c r="AM213" s="12">
        <v>2015</v>
      </c>
      <c r="AN213" s="12" t="s">
        <v>150</v>
      </c>
      <c r="AO213" s="12" t="s">
        <v>56</v>
      </c>
      <c r="AP213" s="12"/>
      <c r="AQ213" s="12" t="s">
        <v>56</v>
      </c>
      <c r="AR213" s="12" t="s">
        <v>58</v>
      </c>
      <c r="AS213" s="12" t="s">
        <v>94</v>
      </c>
      <c r="AT213" s="12" t="s">
        <v>151</v>
      </c>
      <c r="AU213" s="45" t="s">
        <v>1620</v>
      </c>
      <c r="AV213" s="15"/>
      <c r="AW213" s="12" t="str">
        <f>B213&amp;C213&amp;L213&amp;M213&amp;O213&amp;U213&amp;AL213&amp;AM213</f>
        <v>United StatesPoint Lobos State Marine ReserveSebastes miniatusVermillion rockfishsize1.09473684210526Starr2015</v>
      </c>
    </row>
    <row r="214" spans="1:49" ht="14.25" customHeight="1" x14ac:dyDescent="0.35">
      <c r="A214" s="12">
        <v>213</v>
      </c>
      <c r="B214" s="15" t="s">
        <v>75</v>
      </c>
      <c r="C214" s="12" t="s">
        <v>1599</v>
      </c>
      <c r="D214" s="12" t="s">
        <v>146</v>
      </c>
      <c r="E214" s="12" t="s">
        <v>1600</v>
      </c>
      <c r="F214" s="13" t="s">
        <v>50</v>
      </c>
      <c r="G214" s="13" t="s">
        <v>51</v>
      </c>
      <c r="H214" s="13" t="s">
        <v>108</v>
      </c>
      <c r="I214" s="13" t="s">
        <v>53</v>
      </c>
      <c r="J214" s="14">
        <v>14</v>
      </c>
      <c r="K214" s="14"/>
      <c r="L214" s="14" t="s">
        <v>1621</v>
      </c>
      <c r="M214" s="14" t="s">
        <v>1622</v>
      </c>
      <c r="N214" s="14" t="s">
        <v>85</v>
      </c>
      <c r="O214" s="17" t="s">
        <v>104</v>
      </c>
      <c r="P214" s="14" t="s">
        <v>105</v>
      </c>
      <c r="Q214" s="14"/>
      <c r="R214" s="14"/>
      <c r="S214" s="14">
        <v>26.4</v>
      </c>
      <c r="T214" s="14">
        <v>28.1</v>
      </c>
      <c r="U214" s="19">
        <f t="shared" si="20"/>
        <v>1.0643939393939394</v>
      </c>
      <c r="V214" s="41">
        <f t="shared" si="19"/>
        <v>6.4393939393939448</v>
      </c>
      <c r="W214" s="14">
        <v>6.44</v>
      </c>
      <c r="X214" s="14" t="s">
        <v>56</v>
      </c>
      <c r="Z214" s="14" t="s">
        <v>56</v>
      </c>
      <c r="AA214" s="14"/>
      <c r="AB214" s="14" t="s">
        <v>57</v>
      </c>
      <c r="AC214" s="14">
        <v>2007</v>
      </c>
      <c r="AD214" s="14">
        <v>1</v>
      </c>
      <c r="AE214" s="14"/>
      <c r="AF214" s="14">
        <v>7</v>
      </c>
      <c r="AG214" s="14">
        <v>1973</v>
      </c>
      <c r="AH214" s="14">
        <f t="shared" si="17"/>
        <v>34</v>
      </c>
      <c r="AI214" s="17">
        <f t="shared" si="18"/>
        <v>35</v>
      </c>
      <c r="AJ214" s="14">
        <v>31</v>
      </c>
      <c r="AK214" s="14" t="s">
        <v>56</v>
      </c>
      <c r="AL214" s="13" t="s">
        <v>149</v>
      </c>
      <c r="AM214" s="12">
        <v>2015</v>
      </c>
      <c r="AN214" s="12" t="s">
        <v>150</v>
      </c>
      <c r="AO214" s="12" t="s">
        <v>56</v>
      </c>
      <c r="AP214" s="12"/>
      <c r="AQ214" s="12" t="s">
        <v>56</v>
      </c>
      <c r="AR214" s="12" t="s">
        <v>58</v>
      </c>
      <c r="AS214" s="12" t="s">
        <v>94</v>
      </c>
      <c r="AT214" s="12" t="s">
        <v>151</v>
      </c>
      <c r="AU214" s="45" t="s">
        <v>1623</v>
      </c>
      <c r="AV214" s="15"/>
      <c r="AW214" s="12" t="str">
        <f>B214&amp;C214&amp;L214&amp;M214&amp;O214&amp;U214&amp;AL214&amp;AM214</f>
        <v>United StatesPoint Lobos State Marine ReserveSebastes flavidusYellowtail rockfishsize1.06439393939394Starr2015</v>
      </c>
    </row>
    <row r="215" spans="1:49" ht="14.25" customHeight="1" x14ac:dyDescent="0.35">
      <c r="A215" s="12">
        <v>214</v>
      </c>
      <c r="B215" s="15" t="s">
        <v>75</v>
      </c>
      <c r="C215" s="12" t="s">
        <v>145</v>
      </c>
      <c r="D215" s="12" t="s">
        <v>146</v>
      </c>
      <c r="E215" s="12" t="s">
        <v>136</v>
      </c>
      <c r="F215" s="13" t="s">
        <v>50</v>
      </c>
      <c r="G215" s="13" t="s">
        <v>51</v>
      </c>
      <c r="H215" s="13" t="s">
        <v>108</v>
      </c>
      <c r="I215" s="13" t="s">
        <v>53</v>
      </c>
      <c r="J215" s="14">
        <v>26.4</v>
      </c>
      <c r="K215" s="14"/>
      <c r="L215" s="14" t="s">
        <v>147</v>
      </c>
      <c r="M215" s="14" t="s">
        <v>148</v>
      </c>
      <c r="N215" s="14" t="s">
        <v>85</v>
      </c>
      <c r="O215" s="17" t="s">
        <v>104</v>
      </c>
      <c r="P215" s="14" t="s">
        <v>105</v>
      </c>
      <c r="Q215" s="14">
        <v>30.2</v>
      </c>
      <c r="R215" s="14">
        <v>32.9</v>
      </c>
      <c r="S215" s="14">
        <v>31.08</v>
      </c>
      <c r="T215" s="14">
        <v>33.340000000000003</v>
      </c>
      <c r="U215" s="19">
        <f t="shared" si="20"/>
        <v>0.98468116401247108</v>
      </c>
      <c r="V215" s="41">
        <f t="shared" si="19"/>
        <v>-1.5318835987528923</v>
      </c>
      <c r="W215" s="14"/>
      <c r="X215" s="14" t="s">
        <v>56</v>
      </c>
      <c r="Z215" s="14" t="s">
        <v>56</v>
      </c>
      <c r="AA215" s="14"/>
      <c r="AB215" s="14" t="s">
        <v>111</v>
      </c>
      <c r="AC215" s="14">
        <v>2007</v>
      </c>
      <c r="AD215" s="14">
        <v>1</v>
      </c>
      <c r="AE215" s="14"/>
      <c r="AF215" s="14"/>
      <c r="AG215" s="14">
        <v>2007</v>
      </c>
      <c r="AH215" s="14">
        <f t="shared" si="17"/>
        <v>0</v>
      </c>
      <c r="AI215" s="17">
        <f t="shared" si="18"/>
        <v>1</v>
      </c>
      <c r="AJ215" s="14"/>
      <c r="AK215" s="14" t="s">
        <v>58</v>
      </c>
      <c r="AL215" s="13" t="s">
        <v>149</v>
      </c>
      <c r="AM215" s="12">
        <v>2015</v>
      </c>
      <c r="AN215" s="12" t="s">
        <v>150</v>
      </c>
      <c r="AO215" s="12" t="s">
        <v>56</v>
      </c>
      <c r="AP215" s="12"/>
      <c r="AQ215" s="12" t="s">
        <v>56</v>
      </c>
      <c r="AR215" s="12" t="s">
        <v>58</v>
      </c>
      <c r="AS215" s="12" t="s">
        <v>94</v>
      </c>
      <c r="AT215" s="12" t="s">
        <v>151</v>
      </c>
      <c r="AU215" s="45" t="s">
        <v>152</v>
      </c>
      <c r="AV215" s="15"/>
      <c r="AW215" s="12" t="str">
        <f>B215&amp;C215&amp;L215&amp;M215&amp;O215&amp;U215&amp;AL215&amp;AM215</f>
        <v>United StatesAno Nuevo State Marine Conservation AreaSebastes melanopsBlack rockfishsize0.984681164012471Starr2015</v>
      </c>
    </row>
    <row r="216" spans="1:49" ht="14.25" customHeight="1" x14ac:dyDescent="0.35">
      <c r="A216" s="12">
        <v>215</v>
      </c>
      <c r="B216" s="15" t="s">
        <v>1527</v>
      </c>
      <c r="C216" s="12" t="s">
        <v>1953</v>
      </c>
      <c r="D216" s="12" t="s">
        <v>1953</v>
      </c>
      <c r="E216" s="12" t="s">
        <v>1954</v>
      </c>
      <c r="F216" s="13" t="s">
        <v>339</v>
      </c>
      <c r="G216" s="13" t="s">
        <v>51</v>
      </c>
      <c r="H216" s="13" t="s">
        <v>481</v>
      </c>
      <c r="I216" s="13" t="s">
        <v>156</v>
      </c>
      <c r="J216" s="14">
        <v>5.29</v>
      </c>
      <c r="K216" s="17"/>
      <c r="L216" s="14" t="s">
        <v>1955</v>
      </c>
      <c r="M216" s="14" t="s">
        <v>1956</v>
      </c>
      <c r="N216" s="14" t="s">
        <v>288</v>
      </c>
      <c r="O216" s="17" t="s">
        <v>70</v>
      </c>
      <c r="P216" s="14"/>
      <c r="Q216" s="14"/>
      <c r="R216" s="14"/>
      <c r="S216" s="14">
        <v>2.2400000000000002</v>
      </c>
      <c r="T216" s="14">
        <v>6.96</v>
      </c>
      <c r="U216" s="19">
        <f t="shared" si="20"/>
        <v>3.1071428571428568</v>
      </c>
      <c r="V216" s="41">
        <f t="shared" si="19"/>
        <v>210.71428571428567</v>
      </c>
      <c r="W216" s="14">
        <v>84.45</v>
      </c>
      <c r="X216" s="14" t="s">
        <v>56</v>
      </c>
      <c r="Z216" s="14" t="s">
        <v>56</v>
      </c>
      <c r="AA216" s="14"/>
      <c r="AB216" s="14" t="s">
        <v>57</v>
      </c>
      <c r="AC216" s="14">
        <v>2007</v>
      </c>
      <c r="AD216" s="14">
        <v>1</v>
      </c>
      <c r="AE216" s="14"/>
      <c r="AF216" s="14">
        <v>2</v>
      </c>
      <c r="AG216" s="14">
        <v>2003</v>
      </c>
      <c r="AH216" s="14">
        <f t="shared" si="17"/>
        <v>4</v>
      </c>
      <c r="AI216" s="17">
        <f t="shared" si="18"/>
        <v>5</v>
      </c>
      <c r="AJ216" s="14">
        <v>6</v>
      </c>
      <c r="AK216" s="14" t="s">
        <v>58</v>
      </c>
      <c r="AL216" s="13" t="s">
        <v>1957</v>
      </c>
      <c r="AM216" s="12">
        <v>2014</v>
      </c>
      <c r="AN216" s="12" t="s">
        <v>183</v>
      </c>
      <c r="AO216" s="12" t="s">
        <v>56</v>
      </c>
      <c r="AP216" s="12"/>
      <c r="AQ216" s="12" t="s">
        <v>56</v>
      </c>
      <c r="AR216" s="12" t="s">
        <v>58</v>
      </c>
      <c r="AS216" s="12" t="s">
        <v>94</v>
      </c>
      <c r="AT216" s="12" t="s">
        <v>151</v>
      </c>
      <c r="AU216" s="45" t="s">
        <v>2727</v>
      </c>
      <c r="AV216" s="15"/>
      <c r="AW216" s="12" t="str">
        <f>B216&amp;C216&amp;L216&amp;M216&amp;O216&amp;U216&amp;AL216&amp;AM216</f>
        <v>ItalyTavolara-Punta Coda Cavallo MPAAmphipodaamphipodsbiomassden3.10714285714286Sturaro2014</v>
      </c>
    </row>
    <row r="217" spans="1:49" ht="14.25" customHeight="1" x14ac:dyDescent="0.35">
      <c r="A217" s="12">
        <v>216</v>
      </c>
      <c r="B217" s="15" t="s">
        <v>1527</v>
      </c>
      <c r="C217" s="12" t="s">
        <v>1953</v>
      </c>
      <c r="D217" s="12" t="s">
        <v>1953</v>
      </c>
      <c r="E217" s="12" t="s">
        <v>1954</v>
      </c>
      <c r="F217" s="13" t="s">
        <v>339</v>
      </c>
      <c r="G217" s="13" t="s">
        <v>51</v>
      </c>
      <c r="H217" s="13" t="s">
        <v>481</v>
      </c>
      <c r="I217" s="13" t="s">
        <v>156</v>
      </c>
      <c r="J217" s="14">
        <v>5.29</v>
      </c>
      <c r="K217" s="14"/>
      <c r="L217" s="14" t="s">
        <v>1955</v>
      </c>
      <c r="M217" s="14" t="s">
        <v>1956</v>
      </c>
      <c r="N217" s="14" t="s">
        <v>288</v>
      </c>
      <c r="O217" s="17" t="s">
        <v>86</v>
      </c>
      <c r="P217" s="14"/>
      <c r="Q217" s="14"/>
      <c r="R217" s="14"/>
      <c r="S217" s="14">
        <v>49.04</v>
      </c>
      <c r="T217" s="14">
        <v>169.6</v>
      </c>
      <c r="U217" s="19">
        <f t="shared" si="20"/>
        <v>3.4584013050570963</v>
      </c>
      <c r="V217" s="41">
        <f t="shared" si="19"/>
        <v>245.84013050570962</v>
      </c>
      <c r="W217" s="14">
        <v>270.25</v>
      </c>
      <c r="X217" s="14" t="s">
        <v>56</v>
      </c>
      <c r="Z217" s="14" t="s">
        <v>56</v>
      </c>
      <c r="AA217" s="14"/>
      <c r="AB217" s="14" t="s">
        <v>57</v>
      </c>
      <c r="AC217" s="14">
        <v>2007</v>
      </c>
      <c r="AD217" s="14">
        <v>1</v>
      </c>
      <c r="AE217" s="14"/>
      <c r="AF217" s="14">
        <v>2</v>
      </c>
      <c r="AG217" s="14">
        <v>2003</v>
      </c>
      <c r="AH217" s="14">
        <f t="shared" si="17"/>
        <v>4</v>
      </c>
      <c r="AI217" s="17">
        <f t="shared" si="18"/>
        <v>5</v>
      </c>
      <c r="AJ217" s="14">
        <v>1</v>
      </c>
      <c r="AK217" s="14" t="s">
        <v>58</v>
      </c>
      <c r="AL217" s="13" t="s">
        <v>1957</v>
      </c>
      <c r="AM217" s="12">
        <v>2014</v>
      </c>
      <c r="AN217" s="12" t="s">
        <v>183</v>
      </c>
      <c r="AO217" s="12" t="s">
        <v>56</v>
      </c>
      <c r="AP217" s="12"/>
      <c r="AQ217" s="12" t="s">
        <v>56</v>
      </c>
      <c r="AR217" s="12" t="s">
        <v>58</v>
      </c>
      <c r="AS217" s="12" t="s">
        <v>94</v>
      </c>
      <c r="AT217" s="12" t="s">
        <v>151</v>
      </c>
      <c r="AU217" s="45" t="s">
        <v>2727</v>
      </c>
      <c r="AV217" s="15"/>
      <c r="AW217" s="12" t="str">
        <f>B217&amp;C217&amp;L217&amp;M217&amp;O217&amp;U217&amp;AL217&amp;AM217</f>
        <v>ItalyTavolara-Punta Coda Cavallo MPAAmphipodaamphipodsdensity3.4584013050571Sturaro2014</v>
      </c>
    </row>
    <row r="218" spans="1:49" ht="14.25" customHeight="1" x14ac:dyDescent="0.35">
      <c r="A218" s="12">
        <v>217</v>
      </c>
      <c r="B218" s="15" t="s">
        <v>1527</v>
      </c>
      <c r="C218" s="12" t="s">
        <v>1953</v>
      </c>
      <c r="D218" s="12" t="s">
        <v>1953</v>
      </c>
      <c r="E218" s="12" t="s">
        <v>1954</v>
      </c>
      <c r="F218" s="13" t="s">
        <v>339</v>
      </c>
      <c r="G218" s="13" t="s">
        <v>51</v>
      </c>
      <c r="H218" s="13" t="s">
        <v>481</v>
      </c>
      <c r="I218" s="13" t="s">
        <v>156</v>
      </c>
      <c r="J218" s="14">
        <v>5.29</v>
      </c>
      <c r="K218" s="17"/>
      <c r="L218" s="14" t="s">
        <v>1955</v>
      </c>
      <c r="M218" s="14" t="s">
        <v>1956</v>
      </c>
      <c r="N218" s="14" t="s">
        <v>288</v>
      </c>
      <c r="O218" s="17" t="s">
        <v>55</v>
      </c>
      <c r="P218" s="14"/>
      <c r="Q218" s="14"/>
      <c r="R218" s="14"/>
      <c r="S218" s="14">
        <v>5.16</v>
      </c>
      <c r="T218" s="14">
        <v>7.69</v>
      </c>
      <c r="U218" s="19">
        <f t="shared" si="20"/>
        <v>1.4903100775193798</v>
      </c>
      <c r="V218" s="41">
        <f t="shared" si="19"/>
        <v>49.031007751937985</v>
      </c>
      <c r="W218" s="14">
        <v>79.41</v>
      </c>
      <c r="X218" s="14" t="s">
        <v>56</v>
      </c>
      <c r="Z218" s="14" t="s">
        <v>56</v>
      </c>
      <c r="AA218" s="14"/>
      <c r="AB218" s="14" t="s">
        <v>57</v>
      </c>
      <c r="AC218" s="14">
        <v>2007</v>
      </c>
      <c r="AD218" s="14">
        <v>1</v>
      </c>
      <c r="AE218" s="14"/>
      <c r="AF218" s="14">
        <v>2</v>
      </c>
      <c r="AG218" s="14">
        <v>2003</v>
      </c>
      <c r="AH218" s="14">
        <f t="shared" si="17"/>
        <v>4</v>
      </c>
      <c r="AI218" s="17">
        <f t="shared" si="18"/>
        <v>5</v>
      </c>
      <c r="AJ218" s="14">
        <v>1</v>
      </c>
      <c r="AK218" s="14" t="s">
        <v>58</v>
      </c>
      <c r="AL218" s="13" t="s">
        <v>1957</v>
      </c>
      <c r="AM218" s="12">
        <v>2014</v>
      </c>
      <c r="AN218" s="12" t="s">
        <v>183</v>
      </c>
      <c r="AO218" s="12" t="s">
        <v>56</v>
      </c>
      <c r="AP218" s="12"/>
      <c r="AQ218" s="12" t="s">
        <v>56</v>
      </c>
      <c r="AR218" s="12" t="s">
        <v>58</v>
      </c>
      <c r="AS218" s="12" t="s">
        <v>94</v>
      </c>
      <c r="AT218" s="12" t="s">
        <v>151</v>
      </c>
      <c r="AU218" s="45" t="s">
        <v>2727</v>
      </c>
      <c r="AV218" s="15"/>
      <c r="AW218" s="12" t="str">
        <f>B218&amp;C218&amp;L218&amp;M218&amp;O218&amp;U218&amp;AL218&amp;AM218</f>
        <v>ItalyTavolara-Punta Coda Cavallo MPAAmphipodaamphipodsrichness1.49031007751938Sturaro2014</v>
      </c>
    </row>
    <row r="219" spans="1:49" ht="14" customHeight="1" x14ac:dyDescent="0.35">
      <c r="A219" s="12">
        <v>218</v>
      </c>
      <c r="B219" s="15" t="s">
        <v>1527</v>
      </c>
      <c r="C219" s="12" t="s">
        <v>1953</v>
      </c>
      <c r="D219" s="12" t="s">
        <v>1953</v>
      </c>
      <c r="E219" s="12" t="s">
        <v>1954</v>
      </c>
      <c r="F219" s="13" t="s">
        <v>339</v>
      </c>
      <c r="G219" s="13" t="s">
        <v>51</v>
      </c>
      <c r="H219" s="13" t="s">
        <v>481</v>
      </c>
      <c r="I219" s="13" t="s">
        <v>156</v>
      </c>
      <c r="J219" s="14">
        <v>5.29</v>
      </c>
      <c r="K219" s="17"/>
      <c r="L219" s="14" t="s">
        <v>1958</v>
      </c>
      <c r="M219" s="14" t="s">
        <v>618</v>
      </c>
      <c r="N219" s="14" t="s">
        <v>85</v>
      </c>
      <c r="O219" s="17" t="s">
        <v>86</v>
      </c>
      <c r="P219" s="14"/>
      <c r="Q219" s="14"/>
      <c r="R219" s="14"/>
      <c r="S219" s="14">
        <v>411</v>
      </c>
      <c r="T219" s="14">
        <v>390.1</v>
      </c>
      <c r="U219" s="19">
        <f t="shared" si="20"/>
        <v>0.94914841849148424</v>
      </c>
      <c r="V219" s="41">
        <f t="shared" si="19"/>
        <v>-5.0851581508515764</v>
      </c>
      <c r="W219" s="14"/>
      <c r="X219" s="14" t="s">
        <v>56</v>
      </c>
      <c r="Z219" s="14" t="s">
        <v>56</v>
      </c>
      <c r="AA219" s="14"/>
      <c r="AB219" s="14" t="s">
        <v>57</v>
      </c>
      <c r="AC219" s="14">
        <v>2007</v>
      </c>
      <c r="AD219" s="14">
        <v>1</v>
      </c>
      <c r="AE219" s="14"/>
      <c r="AF219" s="14">
        <v>2</v>
      </c>
      <c r="AG219" s="14">
        <v>2003</v>
      </c>
      <c r="AH219" s="14">
        <f t="shared" si="17"/>
        <v>4</v>
      </c>
      <c r="AI219" s="17">
        <f t="shared" si="18"/>
        <v>5</v>
      </c>
      <c r="AJ219" s="14"/>
      <c r="AK219" s="14" t="s">
        <v>58</v>
      </c>
      <c r="AL219" s="13" t="s">
        <v>1957</v>
      </c>
      <c r="AM219" s="12">
        <v>2014</v>
      </c>
      <c r="AN219" s="12" t="s">
        <v>183</v>
      </c>
      <c r="AO219" s="12" t="s">
        <v>56</v>
      </c>
      <c r="AP219" s="12"/>
      <c r="AQ219" s="12" t="s">
        <v>56</v>
      </c>
      <c r="AR219" s="12" t="s">
        <v>58</v>
      </c>
      <c r="AS219" s="12" t="s">
        <v>94</v>
      </c>
      <c r="AT219" s="12" t="s">
        <v>151</v>
      </c>
      <c r="AU219" s="45" t="s">
        <v>2728</v>
      </c>
      <c r="AV219" s="15"/>
      <c r="AW219" s="12" t="str">
        <f>B219&amp;C219&amp;L219&amp;M219&amp;O219&amp;U219&amp;AL219&amp;AM219</f>
        <v>ItalyTavolara-Punta Coda Cavallo MPAPosidonia oceanicaseagrassdensity0.949148418491484Sturaro2014</v>
      </c>
    </row>
    <row r="220" spans="1:49" ht="14.25" customHeight="1" x14ac:dyDescent="0.35">
      <c r="A220" s="12">
        <v>219</v>
      </c>
      <c r="B220" s="15" t="s">
        <v>1527</v>
      </c>
      <c r="C220" s="12" t="s">
        <v>1953</v>
      </c>
      <c r="D220" s="12" t="s">
        <v>1953</v>
      </c>
      <c r="E220" s="12" t="s">
        <v>1954</v>
      </c>
      <c r="F220" s="13" t="s">
        <v>339</v>
      </c>
      <c r="G220" s="13" t="s">
        <v>51</v>
      </c>
      <c r="H220" s="13" t="s">
        <v>481</v>
      </c>
      <c r="I220" s="13" t="s">
        <v>156</v>
      </c>
      <c r="J220" s="14">
        <v>5.29</v>
      </c>
      <c r="K220" s="14"/>
      <c r="L220" s="14" t="s">
        <v>1958</v>
      </c>
      <c r="M220" s="14" t="s">
        <v>618</v>
      </c>
      <c r="N220" s="14" t="s">
        <v>85</v>
      </c>
      <c r="O220" s="17" t="s">
        <v>70</v>
      </c>
      <c r="P220" s="14"/>
      <c r="Q220" s="14"/>
      <c r="R220" s="14"/>
      <c r="S220" s="14">
        <f>(1.79+0.16)/2</f>
        <v>0.97499999999999998</v>
      </c>
      <c r="T220" s="14">
        <f>(1.67+0.14)/2</f>
        <v>0.90500000000000003</v>
      </c>
      <c r="U220" s="19">
        <f t="shared" si="20"/>
        <v>0.92820512820512824</v>
      </c>
      <c r="V220" s="41">
        <f t="shared" si="19"/>
        <v>-7.1794871794871762</v>
      </c>
      <c r="W220" s="14"/>
      <c r="X220" s="14" t="s">
        <v>56</v>
      </c>
      <c r="Z220" s="14" t="s">
        <v>56</v>
      </c>
      <c r="AA220" s="14"/>
      <c r="AB220" s="14" t="s">
        <v>57</v>
      </c>
      <c r="AC220" s="14">
        <v>2007</v>
      </c>
      <c r="AD220" s="14">
        <v>1</v>
      </c>
      <c r="AE220" s="14"/>
      <c r="AF220" s="14">
        <v>2</v>
      </c>
      <c r="AG220" s="14">
        <v>2003</v>
      </c>
      <c r="AH220" s="14">
        <f t="shared" si="17"/>
        <v>4</v>
      </c>
      <c r="AI220" s="17">
        <f t="shared" si="18"/>
        <v>5</v>
      </c>
      <c r="AJ220" s="14"/>
      <c r="AK220" s="14" t="s">
        <v>58</v>
      </c>
      <c r="AL220" s="13" t="s">
        <v>1957</v>
      </c>
      <c r="AM220" s="12">
        <v>2014</v>
      </c>
      <c r="AN220" s="12" t="s">
        <v>183</v>
      </c>
      <c r="AO220" s="12" t="s">
        <v>56</v>
      </c>
      <c r="AP220" s="12"/>
      <c r="AQ220" s="12" t="s">
        <v>56</v>
      </c>
      <c r="AR220" s="12" t="s">
        <v>58</v>
      </c>
      <c r="AS220" s="12" t="s">
        <v>94</v>
      </c>
      <c r="AT220" s="12" t="s">
        <v>151</v>
      </c>
      <c r="AU220" s="45" t="s">
        <v>2815</v>
      </c>
      <c r="AV220" s="15"/>
      <c r="AW220" s="12" t="str">
        <f>B220&amp;C220&amp;L220&amp;M220&amp;O220&amp;U220&amp;AL220&amp;AM220</f>
        <v>ItalyTavolara-Punta Coda Cavallo MPAPosidonia oceanicaseagrassbiomassden0.928205128205128Sturaro2014</v>
      </c>
    </row>
    <row r="221" spans="1:49" ht="14.25" customHeight="1" x14ac:dyDescent="0.35">
      <c r="A221" s="12">
        <v>220</v>
      </c>
      <c r="B221" s="15" t="s">
        <v>66</v>
      </c>
      <c r="C221" s="12" t="s">
        <v>2773</v>
      </c>
      <c r="D221" s="44" t="s">
        <v>888</v>
      </c>
      <c r="E221" s="12" t="s">
        <v>1236</v>
      </c>
      <c r="F221" s="13" t="s">
        <v>50</v>
      </c>
      <c r="G221" s="13" t="s">
        <v>51</v>
      </c>
      <c r="H221" s="13" t="s">
        <v>78</v>
      </c>
      <c r="I221" s="13" t="s">
        <v>156</v>
      </c>
      <c r="J221" s="14" t="s">
        <v>509</v>
      </c>
      <c r="K221" s="14"/>
      <c r="L221" s="14" t="s">
        <v>1237</v>
      </c>
      <c r="M221" s="14" t="s">
        <v>898</v>
      </c>
      <c r="N221" s="14" t="s">
        <v>85</v>
      </c>
      <c r="O221" s="17" t="s">
        <v>104</v>
      </c>
      <c r="P221" s="14" t="s">
        <v>408</v>
      </c>
      <c r="Q221" s="14"/>
      <c r="R221" s="14"/>
      <c r="S221" s="14">
        <f>(325.9+400.8)/2</f>
        <v>363.35</v>
      </c>
      <c r="T221" s="14">
        <f>(359.3+406.5)/2</f>
        <v>382.9</v>
      </c>
      <c r="U221" s="19">
        <f t="shared" si="20"/>
        <v>1.0538048713361772</v>
      </c>
      <c r="V221" s="41">
        <f t="shared" si="19"/>
        <v>5.3804871336177174</v>
      </c>
      <c r="W221" s="14">
        <v>5.86</v>
      </c>
      <c r="X221" s="14" t="s">
        <v>58</v>
      </c>
      <c r="Z221" s="14" t="s">
        <v>56</v>
      </c>
      <c r="AA221" s="14"/>
      <c r="AB221" s="14" t="s">
        <v>57</v>
      </c>
      <c r="AC221" s="14">
        <v>1995</v>
      </c>
      <c r="AD221" s="14">
        <v>1</v>
      </c>
      <c r="AE221" s="14"/>
      <c r="AF221" s="14">
        <v>1</v>
      </c>
      <c r="AG221" s="14">
        <v>1984</v>
      </c>
      <c r="AH221" s="14">
        <f t="shared" si="17"/>
        <v>11</v>
      </c>
      <c r="AI221" s="17">
        <f t="shared" si="18"/>
        <v>12</v>
      </c>
      <c r="AJ221" s="14">
        <v>13</v>
      </c>
      <c r="AK221" s="14" t="s">
        <v>56</v>
      </c>
      <c r="AL221" s="13" t="s">
        <v>1238</v>
      </c>
      <c r="AM221" s="12">
        <v>2010</v>
      </c>
      <c r="AN221" s="12" t="s">
        <v>1086</v>
      </c>
      <c r="AO221" s="12" t="s">
        <v>56</v>
      </c>
      <c r="AP221" s="12"/>
      <c r="AQ221" s="12" t="s">
        <v>56</v>
      </c>
      <c r="AR221" s="12" t="s">
        <v>58</v>
      </c>
      <c r="AS221" s="12" t="s">
        <v>94</v>
      </c>
      <c r="AT221" s="12" t="s">
        <v>151</v>
      </c>
      <c r="AU221" s="45" t="s">
        <v>1239</v>
      </c>
      <c r="AV221" s="15"/>
      <c r="AW221" s="12" t="str">
        <f>B221&amp;C221&amp;L221&amp;M221&amp;O221&amp;U221&amp;AL221&amp;AM221</f>
        <v>AustraliaLizard Island no-take zonesPlectropomus leoparduscoral troutsize1.05380487133618Welch2010</v>
      </c>
    </row>
    <row r="222" spans="1:49" ht="14" customHeight="1" x14ac:dyDescent="0.35">
      <c r="A222" s="12">
        <v>221</v>
      </c>
      <c r="B222" s="15" t="s">
        <v>66</v>
      </c>
      <c r="C222" s="12" t="s">
        <v>2582</v>
      </c>
      <c r="D222" s="44" t="s">
        <v>888</v>
      </c>
      <c r="E222" s="12" t="s">
        <v>171</v>
      </c>
      <c r="F222" s="13" t="s">
        <v>50</v>
      </c>
      <c r="G222" s="13" t="s">
        <v>51</v>
      </c>
      <c r="H222" s="13" t="s">
        <v>78</v>
      </c>
      <c r="I222" s="13" t="s">
        <v>156</v>
      </c>
      <c r="J222" s="14" t="s">
        <v>509</v>
      </c>
      <c r="K222" s="14"/>
      <c r="L222" s="14" t="s">
        <v>1237</v>
      </c>
      <c r="M222" s="14" t="s">
        <v>898</v>
      </c>
      <c r="N222" s="14" t="s">
        <v>85</v>
      </c>
      <c r="O222" s="17" t="s">
        <v>104</v>
      </c>
      <c r="P222" s="14" t="s">
        <v>408</v>
      </c>
      <c r="Q222" s="14"/>
      <c r="R222" s="14"/>
      <c r="S222" s="14">
        <f>(296.2+375.9)/2</f>
        <v>336.04999999999995</v>
      </c>
      <c r="T222" s="14">
        <f>(348.4+428.2)/2</f>
        <v>388.29999999999995</v>
      </c>
      <c r="U222" s="19">
        <f t="shared" si="20"/>
        <v>1.1554828150572831</v>
      </c>
      <c r="V222" s="41">
        <f t="shared" si="19"/>
        <v>15.548281505728312</v>
      </c>
      <c r="W222" s="14">
        <v>15.8</v>
      </c>
      <c r="X222" s="14" t="s">
        <v>58</v>
      </c>
      <c r="Z222" s="14" t="s">
        <v>56</v>
      </c>
      <c r="AA222" s="14"/>
      <c r="AB222" s="14" t="s">
        <v>57</v>
      </c>
      <c r="AC222" s="14">
        <v>1995</v>
      </c>
      <c r="AD222" s="14">
        <v>1</v>
      </c>
      <c r="AE222" s="14"/>
      <c r="AF222" s="14">
        <v>1</v>
      </c>
      <c r="AG222" s="14">
        <v>1984</v>
      </c>
      <c r="AH222" s="14">
        <f t="shared" si="17"/>
        <v>11</v>
      </c>
      <c r="AI222" s="17">
        <f t="shared" si="18"/>
        <v>12</v>
      </c>
      <c r="AJ222" s="14">
        <v>13</v>
      </c>
      <c r="AK222" s="14" t="s">
        <v>56</v>
      </c>
      <c r="AL222" s="13" t="s">
        <v>1238</v>
      </c>
      <c r="AM222" s="12">
        <v>2010</v>
      </c>
      <c r="AN222" s="12" t="s">
        <v>1086</v>
      </c>
      <c r="AO222" s="12" t="s">
        <v>56</v>
      </c>
      <c r="AP222" s="12"/>
      <c r="AQ222" s="12" t="s">
        <v>56</v>
      </c>
      <c r="AR222" s="12" t="s">
        <v>58</v>
      </c>
      <c r="AS222" s="12" t="s">
        <v>94</v>
      </c>
      <c r="AT222" s="12" t="s">
        <v>151</v>
      </c>
      <c r="AU222" s="45" t="s">
        <v>1239</v>
      </c>
      <c r="AV222" s="15"/>
      <c r="AW222" s="12" t="str">
        <f>B222&amp;C222&amp;L222&amp;M222&amp;O222&amp;U222&amp;AL222&amp;AM222</f>
        <v>AustraliaMackay region no-take zonesPlectropomus leoparduscoral troutsize1.15548281505728Welch2010</v>
      </c>
    </row>
    <row r="223" spans="1:49" ht="14.25" customHeight="1" x14ac:dyDescent="0.35">
      <c r="A223" s="12">
        <v>222</v>
      </c>
      <c r="B223" s="15" t="s">
        <v>66</v>
      </c>
      <c r="C223" s="12" t="s">
        <v>2774</v>
      </c>
      <c r="D223" s="44" t="s">
        <v>888</v>
      </c>
      <c r="E223" s="12" t="s">
        <v>171</v>
      </c>
      <c r="F223" s="13" t="s">
        <v>50</v>
      </c>
      <c r="G223" s="13" t="s">
        <v>51</v>
      </c>
      <c r="H223" s="13" t="s">
        <v>78</v>
      </c>
      <c r="I223" s="13" t="s">
        <v>156</v>
      </c>
      <c r="J223" s="14" t="s">
        <v>509</v>
      </c>
      <c r="K223" s="17"/>
      <c r="L223" s="14" t="s">
        <v>1237</v>
      </c>
      <c r="M223" s="14" t="s">
        <v>898</v>
      </c>
      <c r="N223" s="14" t="s">
        <v>85</v>
      </c>
      <c r="O223" s="17" t="s">
        <v>104</v>
      </c>
      <c r="P223" s="14" t="s">
        <v>408</v>
      </c>
      <c r="Q223" s="14"/>
      <c r="R223" s="14"/>
      <c r="S223" s="14">
        <f>(325.1+370.6)/2</f>
        <v>347.85</v>
      </c>
      <c r="T223" s="14">
        <f>(339.6+413.6)/2</f>
        <v>376.6</v>
      </c>
      <c r="U223" s="19">
        <f t="shared" si="20"/>
        <v>1.0826505677734655</v>
      </c>
      <c r="V223" s="41">
        <f t="shared" si="19"/>
        <v>8.2650567773465475</v>
      </c>
      <c r="W223" s="14">
        <v>8.1</v>
      </c>
      <c r="X223" s="14" t="s">
        <v>58</v>
      </c>
      <c r="Z223" s="14" t="s">
        <v>56</v>
      </c>
      <c r="AA223" s="14"/>
      <c r="AB223" s="14" t="s">
        <v>57</v>
      </c>
      <c r="AC223" s="14">
        <v>1995</v>
      </c>
      <c r="AD223" s="14">
        <v>1</v>
      </c>
      <c r="AE223" s="14"/>
      <c r="AF223" s="14">
        <v>1</v>
      </c>
      <c r="AG223" s="14">
        <v>1984</v>
      </c>
      <c r="AH223" s="14">
        <f t="shared" si="17"/>
        <v>11</v>
      </c>
      <c r="AI223" s="17">
        <f t="shared" si="18"/>
        <v>12</v>
      </c>
      <c r="AJ223" s="14">
        <v>13</v>
      </c>
      <c r="AK223" s="14" t="s">
        <v>56</v>
      </c>
      <c r="AL223" s="13" t="s">
        <v>1238</v>
      </c>
      <c r="AM223" s="12">
        <v>2010</v>
      </c>
      <c r="AN223" s="12" t="s">
        <v>1086</v>
      </c>
      <c r="AO223" s="12" t="s">
        <v>56</v>
      </c>
      <c r="AP223" s="12"/>
      <c r="AQ223" s="12" t="s">
        <v>56</v>
      </c>
      <c r="AR223" s="12" t="s">
        <v>58</v>
      </c>
      <c r="AS223" s="12" t="s">
        <v>94</v>
      </c>
      <c r="AT223" s="12" t="s">
        <v>151</v>
      </c>
      <c r="AU223" s="45" t="s">
        <v>1239</v>
      </c>
      <c r="AV223" s="15"/>
      <c r="AW223" s="12" t="str">
        <f>B223&amp;C223&amp;L223&amp;M223&amp;O223&amp;U223&amp;AL223&amp;AM223</f>
        <v>AustraliaStorm Cay no-take zonesPlectropomus leoparduscoral troutsize1.08265056777347Welch2010</v>
      </c>
    </row>
    <row r="224" spans="1:49" ht="14.25" customHeight="1" x14ac:dyDescent="0.35">
      <c r="A224" s="12">
        <v>223</v>
      </c>
      <c r="B224" s="15" t="s">
        <v>66</v>
      </c>
      <c r="C224" s="12" t="s">
        <v>2584</v>
      </c>
      <c r="D224" s="44" t="s">
        <v>888</v>
      </c>
      <c r="E224" s="12" t="s">
        <v>171</v>
      </c>
      <c r="F224" s="13" t="s">
        <v>50</v>
      </c>
      <c r="G224" s="13" t="s">
        <v>51</v>
      </c>
      <c r="H224" s="13" t="s">
        <v>78</v>
      </c>
      <c r="I224" s="13" t="s">
        <v>156</v>
      </c>
      <c r="J224" s="14" t="s">
        <v>509</v>
      </c>
      <c r="K224" s="17"/>
      <c r="L224" s="14" t="s">
        <v>1237</v>
      </c>
      <c r="M224" s="14" t="s">
        <v>898</v>
      </c>
      <c r="N224" s="14" t="s">
        <v>85</v>
      </c>
      <c r="O224" s="14" t="s">
        <v>104</v>
      </c>
      <c r="P224" s="14" t="s">
        <v>408</v>
      </c>
      <c r="Q224" s="14"/>
      <c r="R224" s="14"/>
      <c r="S224" s="14">
        <f>(342+409.6)/2</f>
        <v>375.8</v>
      </c>
      <c r="T224" s="14">
        <f>(414+448.3)/2</f>
        <v>431.15</v>
      </c>
      <c r="U224" s="19">
        <f t="shared" si="20"/>
        <v>1.1472857903139968</v>
      </c>
      <c r="V224" s="41">
        <f t="shared" si="19"/>
        <v>14.728579031399679</v>
      </c>
      <c r="W224" s="14">
        <v>15.3</v>
      </c>
      <c r="X224" s="14" t="s">
        <v>58</v>
      </c>
      <c r="Z224" s="14" t="s">
        <v>56</v>
      </c>
      <c r="AA224" s="14"/>
      <c r="AB224" s="14" t="s">
        <v>57</v>
      </c>
      <c r="AC224" s="14">
        <v>1995</v>
      </c>
      <c r="AD224" s="14">
        <v>1</v>
      </c>
      <c r="AE224" s="14"/>
      <c r="AF224" s="14">
        <v>1</v>
      </c>
      <c r="AG224" s="14">
        <v>1984</v>
      </c>
      <c r="AH224" s="14">
        <f t="shared" si="17"/>
        <v>11</v>
      </c>
      <c r="AI224" s="17">
        <f t="shared" si="18"/>
        <v>12</v>
      </c>
      <c r="AJ224" s="14">
        <v>13</v>
      </c>
      <c r="AK224" s="14" t="s">
        <v>56</v>
      </c>
      <c r="AL224" s="13" t="s">
        <v>1238</v>
      </c>
      <c r="AM224" s="12">
        <v>2010</v>
      </c>
      <c r="AN224" s="12" t="s">
        <v>1086</v>
      </c>
      <c r="AO224" s="12" t="s">
        <v>56</v>
      </c>
      <c r="AP224" s="12"/>
      <c r="AQ224" s="12" t="s">
        <v>56</v>
      </c>
      <c r="AR224" s="12" t="s">
        <v>58</v>
      </c>
      <c r="AS224" s="12" t="s">
        <v>94</v>
      </c>
      <c r="AT224" s="12" t="s">
        <v>151</v>
      </c>
      <c r="AU224" s="45" t="s">
        <v>1239</v>
      </c>
      <c r="AV224" s="15"/>
      <c r="AW224" s="12" t="str">
        <f>B224&amp;C224&amp;L224&amp;M224&amp;O224&amp;U224&amp;AL224&amp;AM224</f>
        <v>AustraliaTownsville region no-take zonesPlectropomus leoparduscoral troutsize1.147285790314Welch2010</v>
      </c>
    </row>
    <row r="225" spans="1:49" ht="14.25" customHeight="1" x14ac:dyDescent="0.35">
      <c r="A225" s="12">
        <v>224</v>
      </c>
      <c r="B225" s="43" t="s">
        <v>254</v>
      </c>
      <c r="C225" s="43" t="s">
        <v>328</v>
      </c>
      <c r="D225" s="43" t="s">
        <v>328</v>
      </c>
      <c r="E225" s="43" t="s">
        <v>171</v>
      </c>
      <c r="F225" s="52" t="s">
        <v>50</v>
      </c>
      <c r="G225" s="52" t="s">
        <v>51</v>
      </c>
      <c r="H225" s="56" t="s">
        <v>108</v>
      </c>
      <c r="I225" s="56" t="s">
        <v>156</v>
      </c>
      <c r="J225" s="42">
        <v>25</v>
      </c>
      <c r="K225" s="53"/>
      <c r="L225" s="53"/>
      <c r="M225" s="53" t="s">
        <v>69</v>
      </c>
      <c r="N225" s="17" t="s">
        <v>1070</v>
      </c>
      <c r="O225" s="53" t="s">
        <v>55</v>
      </c>
      <c r="P225" s="53"/>
      <c r="Q225" s="53">
        <v>20</v>
      </c>
      <c r="R225" s="53">
        <v>15</v>
      </c>
      <c r="S225" s="53">
        <v>17</v>
      </c>
      <c r="T225" s="53">
        <v>25</v>
      </c>
      <c r="U225" s="57">
        <f t="shared" si="20"/>
        <v>1.9607843137254903</v>
      </c>
      <c r="V225" s="58">
        <f t="shared" si="19"/>
        <v>96.078431372549034</v>
      </c>
      <c r="W225" s="53"/>
      <c r="X225" s="53" t="s">
        <v>56</v>
      </c>
      <c r="Y225" s="53"/>
      <c r="Z225" s="53" t="s">
        <v>56</v>
      </c>
      <c r="AA225" s="53"/>
      <c r="AB225" s="53" t="s">
        <v>111</v>
      </c>
      <c r="AC225" s="53">
        <v>1999</v>
      </c>
      <c r="AD225" s="53">
        <v>10</v>
      </c>
      <c r="AE225" s="53"/>
      <c r="AF225" s="53"/>
      <c r="AG225" s="53">
        <v>1995</v>
      </c>
      <c r="AH225" s="14">
        <f t="shared" si="17"/>
        <v>4</v>
      </c>
      <c r="AI225" s="17">
        <f t="shared" si="18"/>
        <v>14</v>
      </c>
      <c r="AJ225" s="53"/>
      <c r="AK225" s="53" t="s">
        <v>58</v>
      </c>
      <c r="AL225" s="56" t="s">
        <v>501</v>
      </c>
      <c r="AM225" s="43">
        <v>2011</v>
      </c>
      <c r="AN225" s="12" t="s">
        <v>150</v>
      </c>
      <c r="AO225" s="43" t="s">
        <v>161</v>
      </c>
      <c r="AP225" s="43"/>
      <c r="AQ225" s="43" t="s">
        <v>56</v>
      </c>
      <c r="AR225" s="43" t="s">
        <v>58</v>
      </c>
      <c r="AS225" s="43" t="s">
        <v>258</v>
      </c>
      <c r="AT225" s="43" t="s">
        <v>151</v>
      </c>
      <c r="AU225" s="55" t="s">
        <v>502</v>
      </c>
      <c r="AV225" s="43"/>
      <c r="AW225" s="12" t="str">
        <f>B225&amp;C225&amp;L225&amp;M225&amp;O225&amp;U225&amp;AL225&amp;AM225</f>
        <v>MexicoCabo Pulmo National Parkfishrichness1.96078431372549Aburto-Oropeza2011</v>
      </c>
    </row>
    <row r="226" spans="1:49" ht="14.25" customHeight="1" x14ac:dyDescent="0.35">
      <c r="A226" s="12">
        <v>225</v>
      </c>
      <c r="B226" s="43" t="s">
        <v>254</v>
      </c>
      <c r="C226" s="43" t="s">
        <v>328</v>
      </c>
      <c r="D226" s="43" t="s">
        <v>328</v>
      </c>
      <c r="E226" s="43" t="s">
        <v>171</v>
      </c>
      <c r="F226" s="52" t="s">
        <v>50</v>
      </c>
      <c r="G226" s="52" t="s">
        <v>51</v>
      </c>
      <c r="H226" s="56" t="s">
        <v>108</v>
      </c>
      <c r="I226" s="56" t="s">
        <v>156</v>
      </c>
      <c r="J226" s="42">
        <v>25</v>
      </c>
      <c r="K226" s="53"/>
      <c r="L226" s="53"/>
      <c r="M226" s="53" t="s">
        <v>503</v>
      </c>
      <c r="N226" s="53" t="s">
        <v>98</v>
      </c>
      <c r="O226" s="53" t="s">
        <v>70</v>
      </c>
      <c r="P226" s="53"/>
      <c r="Q226" s="53">
        <v>0.33</v>
      </c>
      <c r="R226" s="53">
        <v>0.253</v>
      </c>
      <c r="S226" s="53">
        <v>0.253</v>
      </c>
      <c r="T226" s="53">
        <v>1.21</v>
      </c>
      <c r="U226" s="57">
        <f t="shared" si="20"/>
        <v>6.2381852551984878</v>
      </c>
      <c r="V226" s="58">
        <f t="shared" si="19"/>
        <v>523.81852551984878</v>
      </c>
      <c r="W226" s="53"/>
      <c r="X226" s="53" t="s">
        <v>56</v>
      </c>
      <c r="Y226" s="53"/>
      <c r="Z226" s="53" t="s">
        <v>56</v>
      </c>
      <c r="AA226" s="53"/>
      <c r="AB226" s="53" t="s">
        <v>111</v>
      </c>
      <c r="AC226" s="53">
        <v>1999</v>
      </c>
      <c r="AD226" s="53">
        <v>10</v>
      </c>
      <c r="AE226" s="53"/>
      <c r="AF226" s="53"/>
      <c r="AG226" s="53">
        <v>1995</v>
      </c>
      <c r="AH226" s="14">
        <f t="shared" si="17"/>
        <v>4</v>
      </c>
      <c r="AI226" s="17">
        <f t="shared" si="18"/>
        <v>14</v>
      </c>
      <c r="AJ226" s="53"/>
      <c r="AK226" s="53" t="s">
        <v>58</v>
      </c>
      <c r="AL226" s="56" t="s">
        <v>501</v>
      </c>
      <c r="AM226" s="43">
        <v>2011</v>
      </c>
      <c r="AN226" s="12" t="s">
        <v>150</v>
      </c>
      <c r="AO226" s="43" t="s">
        <v>161</v>
      </c>
      <c r="AP226" s="43"/>
      <c r="AQ226" s="43" t="s">
        <v>56</v>
      </c>
      <c r="AR226" s="43" t="s">
        <v>58</v>
      </c>
      <c r="AS226" s="43" t="s">
        <v>258</v>
      </c>
      <c r="AT226" s="43" t="s">
        <v>151</v>
      </c>
      <c r="AU226" s="55" t="s">
        <v>502</v>
      </c>
      <c r="AV226" s="43"/>
      <c r="AW226" s="12" t="str">
        <f>B226&amp;C226&amp;L226&amp;M226&amp;O226&amp;U226&amp;AL226&amp;AM226</f>
        <v>MexicoCabo Pulmo National Parkherbivoresbiomassden6.23818525519849Aburto-Oropeza2011</v>
      </c>
    </row>
    <row r="227" spans="1:49" ht="14.25" customHeight="1" x14ac:dyDescent="0.35">
      <c r="A227" s="12">
        <v>226</v>
      </c>
      <c r="B227" s="43" t="s">
        <v>254</v>
      </c>
      <c r="C227" s="43" t="s">
        <v>328</v>
      </c>
      <c r="D227" s="43" t="s">
        <v>328</v>
      </c>
      <c r="E227" s="43" t="s">
        <v>171</v>
      </c>
      <c r="F227" s="56" t="s">
        <v>50</v>
      </c>
      <c r="G227" s="56" t="s">
        <v>51</v>
      </c>
      <c r="H227" s="56" t="s">
        <v>108</v>
      </c>
      <c r="I227" s="56" t="s">
        <v>156</v>
      </c>
      <c r="J227" s="42">
        <v>25</v>
      </c>
      <c r="K227" s="53"/>
      <c r="L227" s="53"/>
      <c r="M227" s="53" t="s">
        <v>504</v>
      </c>
      <c r="N227" s="53" t="s">
        <v>98</v>
      </c>
      <c r="O227" s="53" t="s">
        <v>70</v>
      </c>
      <c r="P227" s="53"/>
      <c r="Q227" s="53">
        <v>0.46600000000000003</v>
      </c>
      <c r="R227" s="53">
        <v>0.33</v>
      </c>
      <c r="S227" s="53">
        <v>0.36</v>
      </c>
      <c r="T227" s="53">
        <v>1.51</v>
      </c>
      <c r="U227" s="57">
        <f t="shared" si="20"/>
        <v>5.9230639730639725</v>
      </c>
      <c r="V227" s="58">
        <f t="shared" si="19"/>
        <v>492.30639730639723</v>
      </c>
      <c r="W227" s="53"/>
      <c r="X227" s="53" t="s">
        <v>56</v>
      </c>
      <c r="Y227" s="53"/>
      <c r="Z227" s="53" t="s">
        <v>56</v>
      </c>
      <c r="AA227" s="53"/>
      <c r="AB227" s="53" t="s">
        <v>111</v>
      </c>
      <c r="AC227" s="53">
        <v>1999</v>
      </c>
      <c r="AD227" s="53">
        <v>10</v>
      </c>
      <c r="AE227" s="53"/>
      <c r="AF227" s="53"/>
      <c r="AG227" s="53">
        <v>1995</v>
      </c>
      <c r="AH227" s="14">
        <f t="shared" si="17"/>
        <v>4</v>
      </c>
      <c r="AI227" s="17">
        <f t="shared" si="18"/>
        <v>14</v>
      </c>
      <c r="AJ227" s="53"/>
      <c r="AK227" s="53" t="s">
        <v>58</v>
      </c>
      <c r="AL227" s="56" t="s">
        <v>501</v>
      </c>
      <c r="AM227" s="43">
        <v>2011</v>
      </c>
      <c r="AN227" s="12" t="s">
        <v>150</v>
      </c>
      <c r="AO227" s="43" t="s">
        <v>161</v>
      </c>
      <c r="AP227" s="43"/>
      <c r="AQ227" s="43" t="s">
        <v>56</v>
      </c>
      <c r="AR227" s="43" t="s">
        <v>58</v>
      </c>
      <c r="AS227" s="43" t="s">
        <v>258</v>
      </c>
      <c r="AT227" s="43" t="s">
        <v>151</v>
      </c>
      <c r="AU227" s="55" t="s">
        <v>502</v>
      </c>
      <c r="AV227" s="43"/>
      <c r="AW227" s="12" t="str">
        <f>B227&amp;C227&amp;L227&amp;M227&amp;O227&amp;U227&amp;AL227&amp;AM227</f>
        <v>MexicoCabo Pulmo National Parkzooplanktivoresbiomassden5.92306397306397Aburto-Oropeza2011</v>
      </c>
    </row>
    <row r="228" spans="1:49" ht="14.25" customHeight="1" x14ac:dyDescent="0.35">
      <c r="A228" s="12">
        <v>227</v>
      </c>
      <c r="B228" s="43" t="s">
        <v>254</v>
      </c>
      <c r="C228" s="43" t="s">
        <v>328</v>
      </c>
      <c r="D228" s="43" t="s">
        <v>328</v>
      </c>
      <c r="E228" s="43" t="s">
        <v>171</v>
      </c>
      <c r="F228" s="56" t="s">
        <v>50</v>
      </c>
      <c r="G228" s="56" t="s">
        <v>51</v>
      </c>
      <c r="H228" s="56" t="s">
        <v>108</v>
      </c>
      <c r="I228" s="56" t="s">
        <v>156</v>
      </c>
      <c r="J228" s="42">
        <v>25</v>
      </c>
      <c r="K228" s="53"/>
      <c r="L228" s="53"/>
      <c r="M228" s="53" t="s">
        <v>505</v>
      </c>
      <c r="N228" s="53" t="s">
        <v>98</v>
      </c>
      <c r="O228" s="53" t="s">
        <v>70</v>
      </c>
      <c r="P228" s="53"/>
      <c r="Q228" s="53">
        <v>0.76</v>
      </c>
      <c r="R228" s="53">
        <v>0.65300000000000002</v>
      </c>
      <c r="S228" s="53">
        <v>0.66</v>
      </c>
      <c r="T228" s="53">
        <v>3.0259999999999998</v>
      </c>
      <c r="U228" s="57">
        <f t="shared" si="20"/>
        <v>5.3361176852754184</v>
      </c>
      <c r="V228" s="58">
        <f t="shared" si="19"/>
        <v>433.61176852754181</v>
      </c>
      <c r="W228" s="53"/>
      <c r="X228" s="53" t="s">
        <v>56</v>
      </c>
      <c r="Y228" s="53"/>
      <c r="Z228" s="53" t="s">
        <v>56</v>
      </c>
      <c r="AA228" s="53"/>
      <c r="AB228" s="53" t="s">
        <v>111</v>
      </c>
      <c r="AC228" s="53">
        <v>1999</v>
      </c>
      <c r="AD228" s="53">
        <v>10</v>
      </c>
      <c r="AE228" s="53"/>
      <c r="AF228" s="53"/>
      <c r="AG228" s="53">
        <v>1995</v>
      </c>
      <c r="AH228" s="14">
        <f t="shared" si="17"/>
        <v>4</v>
      </c>
      <c r="AI228" s="17">
        <f t="shared" si="18"/>
        <v>14</v>
      </c>
      <c r="AJ228" s="53"/>
      <c r="AK228" s="53" t="s">
        <v>58</v>
      </c>
      <c r="AL228" s="56" t="s">
        <v>501</v>
      </c>
      <c r="AM228" s="43">
        <v>2011</v>
      </c>
      <c r="AN228" s="15" t="s">
        <v>150</v>
      </c>
      <c r="AO228" s="43" t="s">
        <v>161</v>
      </c>
      <c r="AP228" s="43"/>
      <c r="AQ228" s="43" t="s">
        <v>56</v>
      </c>
      <c r="AR228" s="43" t="s">
        <v>58</v>
      </c>
      <c r="AS228" s="43" t="s">
        <v>258</v>
      </c>
      <c r="AT228" s="43" t="s">
        <v>151</v>
      </c>
      <c r="AU228" s="55" t="s">
        <v>502</v>
      </c>
      <c r="AV228" s="43"/>
      <c r="AW228" s="12" t="str">
        <f>B228&amp;C228&amp;L228&amp;M228&amp;O228&amp;U228&amp;AL228&amp;AM228</f>
        <v>MexicoCabo Pulmo National Parkcarnivoresbiomassden5.33611768527542Aburto-Oropeza2011</v>
      </c>
    </row>
    <row r="229" spans="1:49" ht="14.25" customHeight="1" x14ac:dyDescent="0.35">
      <c r="A229" s="12">
        <v>228</v>
      </c>
      <c r="B229" s="43" t="s">
        <v>254</v>
      </c>
      <c r="C229" s="44" t="s">
        <v>328</v>
      </c>
      <c r="D229" s="43" t="s">
        <v>328</v>
      </c>
      <c r="E229" s="44" t="s">
        <v>171</v>
      </c>
      <c r="F229" s="56" t="s">
        <v>50</v>
      </c>
      <c r="G229" s="56" t="s">
        <v>51</v>
      </c>
      <c r="H229" s="52" t="s">
        <v>108</v>
      </c>
      <c r="I229" s="52" t="s">
        <v>156</v>
      </c>
      <c r="J229" s="42">
        <v>25</v>
      </c>
      <c r="K229" s="53"/>
      <c r="L229" s="42"/>
      <c r="M229" s="42" t="s">
        <v>506</v>
      </c>
      <c r="N229" s="42" t="s">
        <v>98</v>
      </c>
      <c r="O229" s="42" t="s">
        <v>70</v>
      </c>
      <c r="P229" s="42"/>
      <c r="Q229" s="42">
        <v>0.9</v>
      </c>
      <c r="R229" s="42">
        <v>0.746</v>
      </c>
      <c r="S229" s="42">
        <v>0.78600000000000003</v>
      </c>
      <c r="T229" s="42">
        <v>4.24</v>
      </c>
      <c r="U229" s="54">
        <f t="shared" si="20"/>
        <v>6.5079917319853475</v>
      </c>
      <c r="V229" s="73">
        <f t="shared" si="19"/>
        <v>550.79917319853473</v>
      </c>
      <c r="W229" s="42"/>
      <c r="X229" s="42" t="s">
        <v>56</v>
      </c>
      <c r="Y229" s="42"/>
      <c r="Z229" s="42" t="s">
        <v>56</v>
      </c>
      <c r="AA229" s="42"/>
      <c r="AB229" s="42" t="s">
        <v>111</v>
      </c>
      <c r="AC229" s="42">
        <v>1999</v>
      </c>
      <c r="AD229" s="42">
        <v>10</v>
      </c>
      <c r="AE229" s="42"/>
      <c r="AF229" s="42"/>
      <c r="AG229" s="42">
        <v>1995</v>
      </c>
      <c r="AH229" s="14">
        <f t="shared" si="17"/>
        <v>4</v>
      </c>
      <c r="AI229" s="17">
        <f t="shared" si="18"/>
        <v>14</v>
      </c>
      <c r="AJ229" s="42"/>
      <c r="AK229" s="42" t="s">
        <v>58</v>
      </c>
      <c r="AL229" s="52" t="s">
        <v>501</v>
      </c>
      <c r="AM229" s="44">
        <v>2011</v>
      </c>
      <c r="AN229" s="12" t="s">
        <v>150</v>
      </c>
      <c r="AO229" s="44" t="s">
        <v>161</v>
      </c>
      <c r="AP229" s="44"/>
      <c r="AQ229" s="44" t="s">
        <v>56</v>
      </c>
      <c r="AR229" s="44" t="s">
        <v>58</v>
      </c>
      <c r="AS229" s="44" t="s">
        <v>258</v>
      </c>
      <c r="AT229" s="44" t="s">
        <v>151</v>
      </c>
      <c r="AU229" s="55" t="s">
        <v>502</v>
      </c>
      <c r="AV229" s="43"/>
      <c r="AW229" s="12" t="str">
        <f>B229&amp;C229&amp;L229&amp;M229&amp;O229&amp;U229&amp;AL229&amp;AM229</f>
        <v>MexicoCabo Pulmo National ParkTop predatorsbiomassden6.50799173198535Aburto-Oropeza2011</v>
      </c>
    </row>
    <row r="230" spans="1:49" ht="14.25" customHeight="1" x14ac:dyDescent="0.35">
      <c r="A230" s="12">
        <v>229</v>
      </c>
      <c r="B230" s="15" t="s">
        <v>551</v>
      </c>
      <c r="C230" s="12" t="s">
        <v>1225</v>
      </c>
      <c r="D230" s="15" t="s">
        <v>1225</v>
      </c>
      <c r="E230" s="12" t="s">
        <v>1226</v>
      </c>
      <c r="F230" s="13" t="s">
        <v>50</v>
      </c>
      <c r="G230" s="13" t="s">
        <v>51</v>
      </c>
      <c r="H230" s="13" t="s">
        <v>52</v>
      </c>
      <c r="I230" s="13" t="s">
        <v>53</v>
      </c>
      <c r="J230" s="14">
        <v>5.18</v>
      </c>
      <c r="K230" s="17"/>
      <c r="L230" s="14" t="s">
        <v>566</v>
      </c>
      <c r="M230" s="14" t="s">
        <v>572</v>
      </c>
      <c r="N230" s="14" t="s">
        <v>85</v>
      </c>
      <c r="O230" s="17" t="s">
        <v>86</v>
      </c>
      <c r="P230" s="14"/>
      <c r="Q230" s="14"/>
      <c r="R230" s="14"/>
      <c r="S230" s="14"/>
      <c r="T230" s="14"/>
      <c r="U230" s="19">
        <f>1.19/0.54</f>
        <v>2.2037037037037033</v>
      </c>
      <c r="V230" s="41">
        <f t="shared" si="19"/>
        <v>120.37037037037032</v>
      </c>
      <c r="W230" s="14"/>
      <c r="X230" s="14" t="s">
        <v>56</v>
      </c>
      <c r="Z230" s="14" t="s">
        <v>56</v>
      </c>
      <c r="AA230" s="14"/>
      <c r="AB230" s="14" t="s">
        <v>111</v>
      </c>
      <c r="AC230" s="14">
        <v>2009</v>
      </c>
      <c r="AD230" s="14">
        <v>1</v>
      </c>
      <c r="AE230" s="14"/>
      <c r="AF230" s="14"/>
      <c r="AG230" s="14">
        <v>1976</v>
      </c>
      <c r="AH230" s="14">
        <f t="shared" si="17"/>
        <v>33</v>
      </c>
      <c r="AI230" s="17">
        <f t="shared" si="18"/>
        <v>34</v>
      </c>
      <c r="AJ230" s="14"/>
      <c r="AK230" s="14" t="s">
        <v>58</v>
      </c>
      <c r="AL230" s="13" t="s">
        <v>112</v>
      </c>
      <c r="AM230" s="12">
        <v>2010</v>
      </c>
      <c r="AN230" s="12" t="s">
        <v>113</v>
      </c>
      <c r="AO230" s="12" t="s">
        <v>56</v>
      </c>
      <c r="AP230" s="12"/>
      <c r="AQ230" s="12" t="s">
        <v>56</v>
      </c>
      <c r="AR230" s="12" t="s">
        <v>58</v>
      </c>
      <c r="AS230" s="12" t="s">
        <v>94</v>
      </c>
      <c r="AT230" s="12"/>
      <c r="AU230" s="45" t="s">
        <v>2853</v>
      </c>
      <c r="AV230" s="15"/>
      <c r="AW230" s="12" t="str">
        <f>B230&amp;C230&amp;L230&amp;M230&amp;O230&amp;U230&amp;AL230&amp;AM230</f>
        <v>New ZealandLeigh Marine ReserveJasus edwardsiispiny lobsterdensity2.2037037037037Babcock2010</v>
      </c>
    </row>
    <row r="231" spans="1:49" ht="14.25" customHeight="1" x14ac:dyDescent="0.35">
      <c r="A231" s="12">
        <v>230</v>
      </c>
      <c r="B231" s="15" t="s">
        <v>551</v>
      </c>
      <c r="C231" s="12" t="s">
        <v>1225</v>
      </c>
      <c r="D231" s="15" t="s">
        <v>1225</v>
      </c>
      <c r="E231" s="15" t="s">
        <v>1226</v>
      </c>
      <c r="F231" s="16" t="s">
        <v>50</v>
      </c>
      <c r="G231" s="16" t="s">
        <v>51</v>
      </c>
      <c r="H231" s="16" t="s">
        <v>52</v>
      </c>
      <c r="I231" s="16" t="s">
        <v>53</v>
      </c>
      <c r="J231" s="14">
        <v>5.18</v>
      </c>
      <c r="K231" s="17"/>
      <c r="L231" s="17" t="s">
        <v>1227</v>
      </c>
      <c r="M231" s="17" t="s">
        <v>1228</v>
      </c>
      <c r="N231" s="17" t="s">
        <v>85</v>
      </c>
      <c r="O231" s="17" t="s">
        <v>86</v>
      </c>
      <c r="P231" s="17"/>
      <c r="Q231" s="17"/>
      <c r="R231" s="17"/>
      <c r="S231" s="17"/>
      <c r="T231" s="17"/>
      <c r="U231" s="20">
        <f>0.98/0.46</f>
        <v>2.1304347826086953</v>
      </c>
      <c r="V231" s="22">
        <f t="shared" si="19"/>
        <v>113.04347826086953</v>
      </c>
      <c r="W231" s="17"/>
      <c r="X231" s="17" t="s">
        <v>56</v>
      </c>
      <c r="Y231" s="17"/>
      <c r="Z231" s="17" t="s">
        <v>56</v>
      </c>
      <c r="AA231" s="17"/>
      <c r="AB231" s="17" t="s">
        <v>111</v>
      </c>
      <c r="AC231" s="17">
        <v>2009</v>
      </c>
      <c r="AD231" s="17">
        <v>1</v>
      </c>
      <c r="AE231" s="17"/>
      <c r="AF231" s="17"/>
      <c r="AG231" s="14">
        <v>1976</v>
      </c>
      <c r="AH231" s="14">
        <f t="shared" si="17"/>
        <v>33</v>
      </c>
      <c r="AI231" s="17">
        <f t="shared" si="18"/>
        <v>34</v>
      </c>
      <c r="AJ231" s="17"/>
      <c r="AK231" s="17" t="s">
        <v>58</v>
      </c>
      <c r="AL231" s="16" t="s">
        <v>112</v>
      </c>
      <c r="AM231" s="15">
        <v>2010</v>
      </c>
      <c r="AN231" s="15" t="s">
        <v>113</v>
      </c>
      <c r="AO231" s="15" t="s">
        <v>56</v>
      </c>
      <c r="AP231" s="15"/>
      <c r="AQ231" s="15" t="s">
        <v>56</v>
      </c>
      <c r="AR231" s="15" t="s">
        <v>58</v>
      </c>
      <c r="AS231" s="15" t="s">
        <v>94</v>
      </c>
      <c r="AT231" s="15"/>
      <c r="AU231" s="45" t="s">
        <v>2853</v>
      </c>
      <c r="AV231" s="15"/>
      <c r="AW231" s="12" t="str">
        <f>B231&amp;C231&amp;L231&amp;M231&amp;O231&amp;U231&amp;AL231&amp;AM231</f>
        <v>New ZealandLeigh Marine ReservePagrus auratusAustralasian snapperdensity2.1304347826087Babcock2010</v>
      </c>
    </row>
    <row r="232" spans="1:49" ht="14.25" customHeight="1" x14ac:dyDescent="0.35">
      <c r="A232" s="12">
        <v>231</v>
      </c>
      <c r="B232" s="15" t="s">
        <v>551</v>
      </c>
      <c r="C232" s="12" t="s">
        <v>1225</v>
      </c>
      <c r="D232" s="15" t="s">
        <v>1225</v>
      </c>
      <c r="E232" s="12" t="s">
        <v>1226</v>
      </c>
      <c r="F232" s="13" t="s">
        <v>50</v>
      </c>
      <c r="G232" s="13" t="s">
        <v>51</v>
      </c>
      <c r="H232" s="13" t="s">
        <v>52</v>
      </c>
      <c r="I232" s="13" t="s">
        <v>53</v>
      </c>
      <c r="J232" s="14">
        <v>5.18</v>
      </c>
      <c r="K232" s="17"/>
      <c r="L232" s="14" t="s">
        <v>1229</v>
      </c>
      <c r="M232" s="14" t="s">
        <v>946</v>
      </c>
      <c r="N232" s="14" t="s">
        <v>85</v>
      </c>
      <c r="O232" s="17" t="s">
        <v>86</v>
      </c>
      <c r="P232" s="14"/>
      <c r="Q232" s="14"/>
      <c r="R232" s="14"/>
      <c r="S232" s="14"/>
      <c r="T232" s="14"/>
      <c r="U232" s="19">
        <f>0.45/0.94</f>
        <v>0.47872340425531917</v>
      </c>
      <c r="V232" s="41">
        <f t="shared" si="19"/>
        <v>-52.127659574468076</v>
      </c>
      <c r="W232" s="14"/>
      <c r="X232" s="14" t="s">
        <v>56</v>
      </c>
      <c r="Z232" s="14" t="s">
        <v>56</v>
      </c>
      <c r="AA232" s="14"/>
      <c r="AB232" s="14" t="s">
        <v>111</v>
      </c>
      <c r="AC232" s="14">
        <v>2009</v>
      </c>
      <c r="AD232" s="14">
        <v>1</v>
      </c>
      <c r="AE232" s="14"/>
      <c r="AF232" s="14"/>
      <c r="AG232" s="14">
        <v>1976</v>
      </c>
      <c r="AH232" s="14">
        <f t="shared" si="17"/>
        <v>33</v>
      </c>
      <c r="AI232" s="17">
        <f t="shared" si="18"/>
        <v>34</v>
      </c>
      <c r="AJ232" s="14"/>
      <c r="AK232" s="14" t="s">
        <v>58</v>
      </c>
      <c r="AL232" s="13" t="s">
        <v>112</v>
      </c>
      <c r="AM232" s="12">
        <v>2010</v>
      </c>
      <c r="AN232" s="12" t="s">
        <v>113</v>
      </c>
      <c r="AO232" s="12" t="s">
        <v>56</v>
      </c>
      <c r="AP232" s="12"/>
      <c r="AQ232" s="12" t="s">
        <v>56</v>
      </c>
      <c r="AR232" s="12" t="s">
        <v>58</v>
      </c>
      <c r="AS232" s="12" t="s">
        <v>94</v>
      </c>
      <c r="AT232" s="12"/>
      <c r="AU232" s="45" t="s">
        <v>2853</v>
      </c>
      <c r="AV232" s="15"/>
      <c r="AW232" s="12" t="str">
        <f>B232&amp;C232&amp;L232&amp;M232&amp;O232&amp;U232&amp;AL232&amp;AM232</f>
        <v>New ZealandLeigh Marine ReserveEvechinus chloroticussea urchindensity0.478723404255319Babcock2010</v>
      </c>
    </row>
    <row r="233" spans="1:49" ht="14.25" customHeight="1" x14ac:dyDescent="0.35">
      <c r="A233" s="12">
        <v>232</v>
      </c>
      <c r="B233" s="15" t="s">
        <v>551</v>
      </c>
      <c r="C233" s="12" t="s">
        <v>1225</v>
      </c>
      <c r="D233" s="15" t="s">
        <v>1225</v>
      </c>
      <c r="E233" s="15" t="s">
        <v>1226</v>
      </c>
      <c r="F233" s="16" t="s">
        <v>50</v>
      </c>
      <c r="G233" s="16" t="s">
        <v>51</v>
      </c>
      <c r="H233" s="16" t="s">
        <v>52</v>
      </c>
      <c r="I233" s="16" t="s">
        <v>53</v>
      </c>
      <c r="J233" s="14">
        <v>5.18</v>
      </c>
      <c r="K233" s="17"/>
      <c r="L233" s="17" t="s">
        <v>433</v>
      </c>
      <c r="M233" s="17" t="s">
        <v>119</v>
      </c>
      <c r="N233" s="17" t="s">
        <v>85</v>
      </c>
      <c r="O233" s="17" t="s">
        <v>86</v>
      </c>
      <c r="P233" s="17"/>
      <c r="Q233" s="17"/>
      <c r="R233" s="17"/>
      <c r="S233" s="17"/>
      <c r="T233" s="17"/>
      <c r="U233" s="20">
        <f>3.24/1.58</f>
        <v>2.0506329113924049</v>
      </c>
      <c r="V233" s="22">
        <f t="shared" si="19"/>
        <v>105.06329113924049</v>
      </c>
      <c r="W233" s="17"/>
      <c r="X233" s="17" t="s">
        <v>56</v>
      </c>
      <c r="Y233" s="17"/>
      <c r="Z233" s="17" t="s">
        <v>56</v>
      </c>
      <c r="AA233" s="17"/>
      <c r="AB233" s="17" t="s">
        <v>111</v>
      </c>
      <c r="AC233" s="17">
        <v>2009</v>
      </c>
      <c r="AD233" s="17">
        <v>1</v>
      </c>
      <c r="AE233" s="17"/>
      <c r="AF233" s="17"/>
      <c r="AG233" s="14">
        <v>1976</v>
      </c>
      <c r="AH233" s="14">
        <f t="shared" si="17"/>
        <v>33</v>
      </c>
      <c r="AI233" s="17">
        <f t="shared" si="18"/>
        <v>34</v>
      </c>
      <c r="AJ233" s="17"/>
      <c r="AK233" s="17" t="s">
        <v>58</v>
      </c>
      <c r="AL233" s="16" t="s">
        <v>112</v>
      </c>
      <c r="AM233" s="15">
        <v>2010</v>
      </c>
      <c r="AN233" s="15" t="s">
        <v>113</v>
      </c>
      <c r="AO233" s="15" t="s">
        <v>56</v>
      </c>
      <c r="AP233" s="15"/>
      <c r="AQ233" s="15" t="s">
        <v>56</v>
      </c>
      <c r="AR233" s="15" t="s">
        <v>58</v>
      </c>
      <c r="AS233" s="15" t="s">
        <v>94</v>
      </c>
      <c r="AT233" s="15"/>
      <c r="AU233" s="45" t="s">
        <v>2853</v>
      </c>
      <c r="AV233" s="15"/>
      <c r="AW233" s="12" t="str">
        <f>B233&amp;C233&amp;L233&amp;M233&amp;O233&amp;U233&amp;AL233&amp;AM233</f>
        <v>New ZealandLeigh Marine ReserveEcklonia radiatakelpdensity2.0506329113924Babcock2010</v>
      </c>
    </row>
    <row r="234" spans="1:49" ht="14.25" customHeight="1" x14ac:dyDescent="0.35">
      <c r="A234" s="12">
        <v>233</v>
      </c>
      <c r="B234" s="15" t="s">
        <v>66</v>
      </c>
      <c r="C234" s="12" t="s">
        <v>1298</v>
      </c>
      <c r="D234" s="12" t="s">
        <v>1298</v>
      </c>
      <c r="E234" s="12" t="s">
        <v>1326</v>
      </c>
      <c r="F234" s="13" t="s">
        <v>50</v>
      </c>
      <c r="G234" s="13" t="s">
        <v>51</v>
      </c>
      <c r="H234" s="13" t="s">
        <v>52</v>
      </c>
      <c r="I234" s="13" t="s">
        <v>53</v>
      </c>
      <c r="K234" s="17">
        <v>12</v>
      </c>
      <c r="L234" s="14" t="s">
        <v>566</v>
      </c>
      <c r="M234" s="14" t="s">
        <v>572</v>
      </c>
      <c r="N234" s="17" t="s">
        <v>85</v>
      </c>
      <c r="O234" s="17" t="s">
        <v>86</v>
      </c>
      <c r="P234" s="14"/>
      <c r="Q234" s="14"/>
      <c r="R234" s="14"/>
      <c r="S234" s="14"/>
      <c r="T234" s="14"/>
      <c r="U234" s="19">
        <f>2.14/0.74</f>
        <v>2.8918918918918921</v>
      </c>
      <c r="V234" s="41">
        <f t="shared" si="19"/>
        <v>189.18918918918922</v>
      </c>
      <c r="W234" s="14"/>
      <c r="X234" s="14" t="s">
        <v>56</v>
      </c>
      <c r="Z234" s="14" t="s">
        <v>56</v>
      </c>
      <c r="AA234" s="14"/>
      <c r="AB234" s="14" t="s">
        <v>111</v>
      </c>
      <c r="AC234" s="14">
        <v>2009</v>
      </c>
      <c r="AD234" s="14">
        <v>1</v>
      </c>
      <c r="AE234" s="14"/>
      <c r="AF234" s="14"/>
      <c r="AG234" s="14">
        <v>1992</v>
      </c>
      <c r="AH234" s="14">
        <f t="shared" si="17"/>
        <v>17</v>
      </c>
      <c r="AI234" s="17">
        <f t="shared" si="18"/>
        <v>18</v>
      </c>
      <c r="AJ234" s="14"/>
      <c r="AK234" s="14" t="s">
        <v>58</v>
      </c>
      <c r="AL234" s="13" t="s">
        <v>112</v>
      </c>
      <c r="AM234" s="12">
        <v>2010</v>
      </c>
      <c r="AN234" s="12" t="s">
        <v>113</v>
      </c>
      <c r="AO234" s="12" t="s">
        <v>56</v>
      </c>
      <c r="AP234" s="12" t="s">
        <v>1353</v>
      </c>
      <c r="AQ234" s="12" t="s">
        <v>56</v>
      </c>
      <c r="AR234" s="12" t="s">
        <v>58</v>
      </c>
      <c r="AS234" s="12" t="s">
        <v>94</v>
      </c>
      <c r="AT234" s="12"/>
      <c r="AU234" s="45" t="s">
        <v>2854</v>
      </c>
      <c r="AV234" s="15"/>
      <c r="AW234" s="12" t="str">
        <f>B234&amp;C234&amp;L234&amp;M234&amp;O234&amp;U234&amp;AL234&amp;AM234</f>
        <v>AustraliaMaria Island Marine Nature ReserveJasus edwardsiispiny lobsterdensity2.89189189189189Babcock2010</v>
      </c>
    </row>
    <row r="235" spans="1:49" ht="14.25" customHeight="1" x14ac:dyDescent="0.35">
      <c r="A235" s="12">
        <v>234</v>
      </c>
      <c r="B235" s="15" t="s">
        <v>66</v>
      </c>
      <c r="C235" s="12" t="s">
        <v>1298</v>
      </c>
      <c r="D235" s="67" t="s">
        <v>2858</v>
      </c>
      <c r="E235" s="12" t="s">
        <v>1326</v>
      </c>
      <c r="F235" s="13" t="s">
        <v>50</v>
      </c>
      <c r="G235" s="13" t="s">
        <v>51</v>
      </c>
      <c r="H235" s="13" t="s">
        <v>52</v>
      </c>
      <c r="I235" s="13" t="s">
        <v>53</v>
      </c>
      <c r="K235" s="14">
        <v>12</v>
      </c>
      <c r="L235" s="14"/>
      <c r="M235" s="14" t="s">
        <v>1327</v>
      </c>
      <c r="N235" s="42" t="s">
        <v>98</v>
      </c>
      <c r="O235" s="14" t="s">
        <v>86</v>
      </c>
      <c r="P235" s="14"/>
      <c r="Q235" s="14"/>
      <c r="R235" s="14"/>
      <c r="S235" s="14"/>
      <c r="T235" s="14"/>
      <c r="U235" s="19">
        <f>1.4/0.92</f>
        <v>1.5217391304347825</v>
      </c>
      <c r="V235" s="41">
        <f t="shared" si="19"/>
        <v>52.173913043478251</v>
      </c>
      <c r="W235" s="14"/>
      <c r="X235" s="14" t="s">
        <v>56</v>
      </c>
      <c r="Z235" s="14" t="s">
        <v>56</v>
      </c>
      <c r="AA235" s="14"/>
      <c r="AB235" s="14" t="s">
        <v>111</v>
      </c>
      <c r="AC235" s="14">
        <v>2009</v>
      </c>
      <c r="AD235" s="14">
        <v>1</v>
      </c>
      <c r="AE235" s="14"/>
      <c r="AF235" s="14"/>
      <c r="AG235" s="14">
        <v>1992</v>
      </c>
      <c r="AH235" s="14">
        <f t="shared" si="17"/>
        <v>17</v>
      </c>
      <c r="AI235" s="17">
        <f t="shared" si="18"/>
        <v>18</v>
      </c>
      <c r="AJ235" s="14"/>
      <c r="AK235" s="14" t="s">
        <v>58</v>
      </c>
      <c r="AL235" s="13" t="s">
        <v>112</v>
      </c>
      <c r="AM235" s="12">
        <v>2010</v>
      </c>
      <c r="AN235" s="12" t="s">
        <v>113</v>
      </c>
      <c r="AO235" s="12" t="s">
        <v>56</v>
      </c>
      <c r="AP235" s="12"/>
      <c r="AQ235" s="12" t="s">
        <v>56</v>
      </c>
      <c r="AR235" s="12" t="s">
        <v>58</v>
      </c>
      <c r="AS235" s="12" t="s">
        <v>94</v>
      </c>
      <c r="AT235" s="12"/>
      <c r="AU235" s="45" t="s">
        <v>2855</v>
      </c>
      <c r="AV235" s="15"/>
      <c r="AW235" s="12" t="str">
        <f>B235&amp;C235&amp;L235&amp;M235&amp;O235&amp;U235&amp;AL235&amp;AM235</f>
        <v>AustraliaMaria Island Marine Nature Reservepredatory fish speciesdensity1.52173913043478Babcock2010</v>
      </c>
    </row>
    <row r="236" spans="1:49" ht="14.25" customHeight="1" x14ac:dyDescent="0.35">
      <c r="A236" s="12">
        <v>235</v>
      </c>
      <c r="B236" s="15" t="s">
        <v>66</v>
      </c>
      <c r="C236" s="15" t="s">
        <v>1298</v>
      </c>
      <c r="D236" s="15" t="s">
        <v>1298</v>
      </c>
      <c r="E236" s="15" t="s">
        <v>1326</v>
      </c>
      <c r="F236" s="16" t="s">
        <v>50</v>
      </c>
      <c r="G236" s="16" t="s">
        <v>51</v>
      </c>
      <c r="H236" s="16" t="s">
        <v>52</v>
      </c>
      <c r="I236" s="16" t="s">
        <v>53</v>
      </c>
      <c r="J236" s="17"/>
      <c r="K236" s="17">
        <v>12</v>
      </c>
      <c r="L236" s="17" t="s">
        <v>865</v>
      </c>
      <c r="M236" s="17" t="s">
        <v>2781</v>
      </c>
      <c r="N236" s="17" t="s">
        <v>85</v>
      </c>
      <c r="O236" s="17" t="s">
        <v>86</v>
      </c>
      <c r="P236" s="17"/>
      <c r="Q236" s="17"/>
      <c r="R236" s="17"/>
      <c r="S236" s="17"/>
      <c r="T236" s="17"/>
      <c r="U236" s="19">
        <f>0.61/0.94</f>
        <v>0.64893617021276595</v>
      </c>
      <c r="V236" s="41">
        <f t="shared" si="19"/>
        <v>-35.106382978723403</v>
      </c>
      <c r="W236" s="17"/>
      <c r="X236" s="17" t="s">
        <v>56</v>
      </c>
      <c r="Y236" s="17"/>
      <c r="Z236" s="17" t="s">
        <v>56</v>
      </c>
      <c r="AA236" s="17"/>
      <c r="AB236" s="17" t="s">
        <v>111</v>
      </c>
      <c r="AC236" s="17">
        <v>2009</v>
      </c>
      <c r="AD236" s="17">
        <v>1</v>
      </c>
      <c r="AE236" s="17"/>
      <c r="AF236" s="17"/>
      <c r="AG236" s="17">
        <v>1992</v>
      </c>
      <c r="AH236" s="14">
        <f t="shared" si="17"/>
        <v>17</v>
      </c>
      <c r="AI236" s="17">
        <f t="shared" si="18"/>
        <v>18</v>
      </c>
      <c r="AJ236" s="17"/>
      <c r="AK236" s="17" t="s">
        <v>58</v>
      </c>
      <c r="AL236" s="16" t="s">
        <v>112</v>
      </c>
      <c r="AM236" s="15">
        <v>2010</v>
      </c>
      <c r="AN236" s="12" t="s">
        <v>113</v>
      </c>
      <c r="AO236" s="15" t="s">
        <v>56</v>
      </c>
      <c r="AP236" s="15"/>
      <c r="AQ236" s="15" t="s">
        <v>56</v>
      </c>
      <c r="AR236" s="15" t="s">
        <v>58</v>
      </c>
      <c r="AS236" s="15" t="s">
        <v>94</v>
      </c>
      <c r="AT236" s="12"/>
      <c r="AU236" s="45" t="s">
        <v>2854</v>
      </c>
      <c r="AV236" s="15"/>
      <c r="AW236" s="12" t="str">
        <f>B236&amp;C236&amp;L236&amp;M236&amp;O236&amp;U236&amp;AL236&amp;AM236</f>
        <v>AustraliaMaria Island Marine Nature ReserveHeliocidaris erythrogrammanative purple urchindensity0.648936170212766Babcock2010</v>
      </c>
    </row>
    <row r="237" spans="1:49" ht="14.25" customHeight="1" x14ac:dyDescent="0.35">
      <c r="A237" s="12">
        <v>236</v>
      </c>
      <c r="B237" s="15" t="s">
        <v>66</v>
      </c>
      <c r="C237" s="15" t="s">
        <v>1298</v>
      </c>
      <c r="D237" s="15" t="s">
        <v>1298</v>
      </c>
      <c r="E237" s="15" t="s">
        <v>1326</v>
      </c>
      <c r="F237" s="16" t="s">
        <v>50</v>
      </c>
      <c r="G237" s="16" t="s">
        <v>51</v>
      </c>
      <c r="H237" s="16" t="s">
        <v>52</v>
      </c>
      <c r="I237" s="16" t="s">
        <v>53</v>
      </c>
      <c r="J237" s="17"/>
      <c r="K237" s="17">
        <v>12</v>
      </c>
      <c r="L237" s="17" t="s">
        <v>1328</v>
      </c>
      <c r="M237" s="17" t="s">
        <v>1329</v>
      </c>
      <c r="N237" s="14" t="s">
        <v>85</v>
      </c>
      <c r="O237" s="17" t="s">
        <v>86</v>
      </c>
      <c r="P237" s="17"/>
      <c r="Q237" s="17"/>
      <c r="R237" s="17"/>
      <c r="S237" s="17"/>
      <c r="T237" s="17"/>
      <c r="U237" s="20">
        <f>0.44/1.08</f>
        <v>0.40740740740740738</v>
      </c>
      <c r="V237" s="22">
        <f t="shared" si="19"/>
        <v>-59.259259259259252</v>
      </c>
      <c r="W237" s="17"/>
      <c r="X237" s="17" t="s">
        <v>56</v>
      </c>
      <c r="Y237" s="17"/>
      <c r="Z237" s="17" t="s">
        <v>56</v>
      </c>
      <c r="AA237" s="17"/>
      <c r="AB237" s="17" t="s">
        <v>111</v>
      </c>
      <c r="AC237" s="17">
        <v>2009</v>
      </c>
      <c r="AD237" s="17">
        <v>1</v>
      </c>
      <c r="AE237" s="17"/>
      <c r="AF237" s="17"/>
      <c r="AG237" s="17">
        <v>1992</v>
      </c>
      <c r="AH237" s="14">
        <f t="shared" si="17"/>
        <v>17</v>
      </c>
      <c r="AI237" s="17">
        <f t="shared" si="18"/>
        <v>18</v>
      </c>
      <c r="AJ237" s="17"/>
      <c r="AK237" s="17" t="s">
        <v>58</v>
      </c>
      <c r="AL237" s="16" t="s">
        <v>112</v>
      </c>
      <c r="AM237" s="15">
        <v>2010</v>
      </c>
      <c r="AN237" s="15" t="s">
        <v>113</v>
      </c>
      <c r="AO237" s="15" t="s">
        <v>56</v>
      </c>
      <c r="AP237" s="15"/>
      <c r="AQ237" s="15" t="s">
        <v>56</v>
      </c>
      <c r="AR237" s="15" t="s">
        <v>58</v>
      </c>
      <c r="AS237" s="15" t="s">
        <v>94</v>
      </c>
      <c r="AT237" s="15"/>
      <c r="AU237" s="45" t="s">
        <v>2854</v>
      </c>
      <c r="AV237" s="15"/>
      <c r="AW237" s="12" t="str">
        <f>B237&amp;C237&amp;L237&amp;M237&amp;O237&amp;U237&amp;AL237&amp;AM237</f>
        <v>AustraliaMaria Island Marine Nature ReserveHaliotis rubrumabalonedensity0.407407407407407Babcock2010</v>
      </c>
    </row>
    <row r="238" spans="1:49" ht="14.25" customHeight="1" x14ac:dyDescent="0.35">
      <c r="A238" s="12">
        <v>237</v>
      </c>
      <c r="B238" s="15" t="s">
        <v>66</v>
      </c>
      <c r="C238" s="15" t="s">
        <v>1298</v>
      </c>
      <c r="D238" s="12" t="s">
        <v>1298</v>
      </c>
      <c r="E238" s="15" t="s">
        <v>1326</v>
      </c>
      <c r="F238" s="16" t="s">
        <v>50</v>
      </c>
      <c r="G238" s="16" t="s">
        <v>51</v>
      </c>
      <c r="H238" s="16" t="s">
        <v>52</v>
      </c>
      <c r="I238" s="16" t="s">
        <v>53</v>
      </c>
      <c r="J238" s="17"/>
      <c r="K238" s="17">
        <v>12</v>
      </c>
      <c r="L238" s="17" t="s">
        <v>1330</v>
      </c>
      <c r="M238" s="17" t="s">
        <v>119</v>
      </c>
      <c r="N238" s="17" t="s">
        <v>446</v>
      </c>
      <c r="O238" s="17" t="s">
        <v>101</v>
      </c>
      <c r="P238" s="17"/>
      <c r="Q238" s="17"/>
      <c r="R238" s="17"/>
      <c r="S238" s="17"/>
      <c r="T238" s="17"/>
      <c r="U238" s="19">
        <f>1.26/1.05</f>
        <v>1.2</v>
      </c>
      <c r="V238" s="41">
        <f t="shared" si="19"/>
        <v>19.999999999999996</v>
      </c>
      <c r="W238" s="17"/>
      <c r="X238" s="17" t="s">
        <v>56</v>
      </c>
      <c r="Y238" s="17"/>
      <c r="Z238" s="17" t="s">
        <v>56</v>
      </c>
      <c r="AA238" s="17"/>
      <c r="AB238" s="17" t="s">
        <v>111</v>
      </c>
      <c r="AC238" s="17">
        <v>2009</v>
      </c>
      <c r="AD238" s="17">
        <v>1</v>
      </c>
      <c r="AE238" s="17"/>
      <c r="AF238" s="17"/>
      <c r="AG238" s="17">
        <v>1992</v>
      </c>
      <c r="AH238" s="14">
        <f t="shared" si="17"/>
        <v>17</v>
      </c>
      <c r="AI238" s="17">
        <f t="shared" si="18"/>
        <v>18</v>
      </c>
      <c r="AJ238" s="17"/>
      <c r="AK238" s="17" t="s">
        <v>58</v>
      </c>
      <c r="AL238" s="16" t="s">
        <v>112</v>
      </c>
      <c r="AM238" s="15">
        <v>2010</v>
      </c>
      <c r="AN238" s="12" t="s">
        <v>113</v>
      </c>
      <c r="AO238" s="15" t="s">
        <v>56</v>
      </c>
      <c r="AP238" s="15"/>
      <c r="AQ238" s="15" t="s">
        <v>56</v>
      </c>
      <c r="AR238" s="15" t="s">
        <v>58</v>
      </c>
      <c r="AS238" s="15" t="s">
        <v>94</v>
      </c>
      <c r="AT238" s="12"/>
      <c r="AU238" s="45" t="s">
        <v>2854</v>
      </c>
      <c r="AV238" s="15"/>
      <c r="AW238" s="12" t="str">
        <f>B238&amp;C238&amp;L238&amp;M238&amp;O238&amp;U238&amp;AL238&amp;AM238</f>
        <v>AustraliaMaria Island Marine Nature ReservePhaeophyceaekelpcover1.2Babcock2010</v>
      </c>
    </row>
    <row r="239" spans="1:49" ht="14.25" customHeight="1" x14ac:dyDescent="0.35">
      <c r="A239" s="12">
        <v>238</v>
      </c>
      <c r="B239" s="15" t="s">
        <v>75</v>
      </c>
      <c r="C239" s="59" t="s">
        <v>106</v>
      </c>
      <c r="D239" s="50" t="s">
        <v>77</v>
      </c>
      <c r="E239" s="15" t="s">
        <v>107</v>
      </c>
      <c r="F239" s="16" t="s">
        <v>50</v>
      </c>
      <c r="G239" s="16" t="s">
        <v>51</v>
      </c>
      <c r="H239" s="16" t="s">
        <v>108</v>
      </c>
      <c r="I239" s="16" t="s">
        <v>53</v>
      </c>
      <c r="J239" s="17">
        <v>0.12</v>
      </c>
      <c r="K239" s="17"/>
      <c r="L239" s="17" t="s">
        <v>109</v>
      </c>
      <c r="M239" s="17" t="s">
        <v>110</v>
      </c>
      <c r="N239" s="17" t="s">
        <v>85</v>
      </c>
      <c r="O239" s="17" t="s">
        <v>86</v>
      </c>
      <c r="P239" s="17"/>
      <c r="Q239" s="17"/>
      <c r="R239" s="17"/>
      <c r="S239" s="17"/>
      <c r="T239" s="17"/>
      <c r="U239" s="19">
        <f>1.34/1.36</f>
        <v>0.98529411764705876</v>
      </c>
      <c r="V239" s="41">
        <f t="shared" si="19"/>
        <v>-1.4705882352941235</v>
      </c>
      <c r="W239" s="17"/>
      <c r="X239" s="17" t="s">
        <v>56</v>
      </c>
      <c r="Y239" s="17"/>
      <c r="Z239" s="17" t="s">
        <v>56</v>
      </c>
      <c r="AA239" s="17"/>
      <c r="AB239" s="17" t="s">
        <v>111</v>
      </c>
      <c r="AC239" s="17">
        <v>2009</v>
      </c>
      <c r="AD239" s="17">
        <v>1</v>
      </c>
      <c r="AE239" s="17"/>
      <c r="AF239" s="17"/>
      <c r="AG239" s="17">
        <v>1978</v>
      </c>
      <c r="AH239" s="14">
        <f t="shared" si="17"/>
        <v>31</v>
      </c>
      <c r="AI239" s="17">
        <f t="shared" si="18"/>
        <v>32</v>
      </c>
      <c r="AJ239" s="17"/>
      <c r="AK239" s="17" t="s">
        <v>58</v>
      </c>
      <c r="AL239" s="16" t="s">
        <v>112</v>
      </c>
      <c r="AM239" s="15">
        <v>2010</v>
      </c>
      <c r="AN239" s="12" t="s">
        <v>113</v>
      </c>
      <c r="AO239" s="15" t="s">
        <v>56</v>
      </c>
      <c r="AP239" s="15" t="s">
        <v>114</v>
      </c>
      <c r="AQ239" s="15" t="s">
        <v>56</v>
      </c>
      <c r="AR239" s="15" t="s">
        <v>58</v>
      </c>
      <c r="AS239" s="15" t="s">
        <v>94</v>
      </c>
      <c r="AT239" s="12"/>
      <c r="AU239" s="45" t="s">
        <v>2856</v>
      </c>
      <c r="AV239" s="15"/>
      <c r="AW239" s="12" t="str">
        <f>B239&amp;C239&amp;L239&amp;M239&amp;O239&amp;U239&amp;AL239&amp;AM239</f>
        <v>United StatesAnacapa Island State Marine Reserve (old)Panulirus interruptuslobsterdensity0.985294117647059Babcock2010</v>
      </c>
    </row>
    <row r="240" spans="1:49" ht="14.25" customHeight="1" x14ac:dyDescent="0.35">
      <c r="A240" s="12">
        <v>239</v>
      </c>
      <c r="B240" s="15" t="s">
        <v>75</v>
      </c>
      <c r="C240" s="59" t="s">
        <v>106</v>
      </c>
      <c r="D240" s="50" t="s">
        <v>77</v>
      </c>
      <c r="E240" s="15" t="s">
        <v>107</v>
      </c>
      <c r="F240" s="16" t="s">
        <v>50</v>
      </c>
      <c r="G240" s="16" t="s">
        <v>51</v>
      </c>
      <c r="H240" s="16" t="s">
        <v>108</v>
      </c>
      <c r="I240" s="16" t="s">
        <v>53</v>
      </c>
      <c r="J240" s="17">
        <v>0.12</v>
      </c>
      <c r="K240" s="17"/>
      <c r="L240" s="17" t="s">
        <v>115</v>
      </c>
      <c r="M240" s="17" t="s">
        <v>116</v>
      </c>
      <c r="N240" s="17" t="s">
        <v>85</v>
      </c>
      <c r="O240" s="17" t="s">
        <v>86</v>
      </c>
      <c r="P240" s="17"/>
      <c r="Q240" s="17"/>
      <c r="R240" s="17"/>
      <c r="S240" s="17"/>
      <c r="T240" s="17"/>
      <c r="U240" s="19">
        <f>0.99/0.53</f>
        <v>1.8679245283018866</v>
      </c>
      <c r="V240" s="41">
        <f t="shared" si="19"/>
        <v>86.792452830188665</v>
      </c>
      <c r="W240" s="17"/>
      <c r="X240" s="17" t="s">
        <v>56</v>
      </c>
      <c r="Y240" s="17"/>
      <c r="Z240" s="17" t="s">
        <v>56</v>
      </c>
      <c r="AA240" s="17"/>
      <c r="AB240" s="17" t="s">
        <v>111</v>
      </c>
      <c r="AC240" s="17">
        <v>2009</v>
      </c>
      <c r="AD240" s="17">
        <v>1</v>
      </c>
      <c r="AE240" s="17"/>
      <c r="AF240" s="17"/>
      <c r="AG240" s="17">
        <v>1978</v>
      </c>
      <c r="AH240" s="14">
        <f t="shared" si="17"/>
        <v>31</v>
      </c>
      <c r="AI240" s="17">
        <f t="shared" si="18"/>
        <v>32</v>
      </c>
      <c r="AJ240" s="17"/>
      <c r="AK240" s="17" t="s">
        <v>58</v>
      </c>
      <c r="AL240" s="16" t="s">
        <v>112</v>
      </c>
      <c r="AM240" s="15">
        <v>2010</v>
      </c>
      <c r="AN240" s="12" t="s">
        <v>113</v>
      </c>
      <c r="AO240" s="15" t="s">
        <v>56</v>
      </c>
      <c r="AP240" s="15"/>
      <c r="AQ240" s="15" t="s">
        <v>56</v>
      </c>
      <c r="AR240" s="15" t="s">
        <v>58</v>
      </c>
      <c r="AS240" s="15" t="s">
        <v>94</v>
      </c>
      <c r="AT240" s="12"/>
      <c r="AU240" s="45" t="s">
        <v>2856</v>
      </c>
      <c r="AV240" s="15"/>
      <c r="AW240" s="12" t="str">
        <f>B240&amp;C240&amp;L240&amp;M240&amp;O240&amp;U240&amp;AL240&amp;AM240</f>
        <v>United StatesAnacapa Island State Marine Reserve (old)Semicossyphus pulchersheepheaddensity1.86792452830189Babcock2010</v>
      </c>
    </row>
    <row r="241" spans="1:49" ht="14.25" customHeight="1" x14ac:dyDescent="0.35">
      <c r="A241" s="12">
        <v>240</v>
      </c>
      <c r="B241" s="15" t="s">
        <v>75</v>
      </c>
      <c r="C241" s="59" t="s">
        <v>106</v>
      </c>
      <c r="D241" s="50" t="s">
        <v>77</v>
      </c>
      <c r="E241" s="15" t="s">
        <v>107</v>
      </c>
      <c r="F241" s="16" t="s">
        <v>50</v>
      </c>
      <c r="G241" s="16" t="s">
        <v>51</v>
      </c>
      <c r="H241" s="16" t="s">
        <v>108</v>
      </c>
      <c r="I241" s="16" t="s">
        <v>53</v>
      </c>
      <c r="J241" s="17">
        <v>0.12</v>
      </c>
      <c r="K241" s="17"/>
      <c r="L241" s="17" t="s">
        <v>117</v>
      </c>
      <c r="M241" s="17" t="s">
        <v>118</v>
      </c>
      <c r="N241" s="17" t="s">
        <v>85</v>
      </c>
      <c r="O241" s="17" t="s">
        <v>86</v>
      </c>
      <c r="P241" s="17"/>
      <c r="Q241" s="17"/>
      <c r="R241" s="17"/>
      <c r="S241" s="17"/>
      <c r="T241" s="17"/>
      <c r="U241" s="19">
        <f>1.12/1.81</f>
        <v>0.61878453038674042</v>
      </c>
      <c r="V241" s="41">
        <f t="shared" si="19"/>
        <v>-38.121546961325961</v>
      </c>
      <c r="W241" s="17"/>
      <c r="X241" s="17" t="s">
        <v>56</v>
      </c>
      <c r="Y241" s="17"/>
      <c r="Z241" s="17" t="s">
        <v>56</v>
      </c>
      <c r="AA241" s="17"/>
      <c r="AB241" s="17" t="s">
        <v>111</v>
      </c>
      <c r="AC241" s="17">
        <v>2009</v>
      </c>
      <c r="AD241" s="17">
        <v>1</v>
      </c>
      <c r="AE241" s="17"/>
      <c r="AF241" s="17"/>
      <c r="AG241" s="17">
        <v>1978</v>
      </c>
      <c r="AH241" s="14">
        <f t="shared" si="17"/>
        <v>31</v>
      </c>
      <c r="AI241" s="17">
        <f t="shared" si="18"/>
        <v>32</v>
      </c>
      <c r="AJ241" s="17"/>
      <c r="AK241" s="17" t="s">
        <v>58</v>
      </c>
      <c r="AL241" s="16" t="s">
        <v>112</v>
      </c>
      <c r="AM241" s="15">
        <v>2010</v>
      </c>
      <c r="AN241" s="15" t="s">
        <v>113</v>
      </c>
      <c r="AO241" s="15" t="s">
        <v>56</v>
      </c>
      <c r="AP241" s="15"/>
      <c r="AQ241" s="15" t="s">
        <v>56</v>
      </c>
      <c r="AR241" s="15" t="s">
        <v>58</v>
      </c>
      <c r="AS241" s="15" t="s">
        <v>94</v>
      </c>
      <c r="AT241" s="12"/>
      <c r="AU241" s="45" t="s">
        <v>2856</v>
      </c>
      <c r="AV241" s="15"/>
      <c r="AW241" s="12" t="str">
        <f>B241&amp;C241&amp;L241&amp;M241&amp;O241&amp;U241&amp;AL241&amp;AM241</f>
        <v>United StatesAnacapa Island State Marine Reserve (old)Stronglyocentrotus purpuratusurchin density0.61878453038674Babcock2010</v>
      </c>
    </row>
    <row r="242" spans="1:49" ht="14.25" customHeight="1" x14ac:dyDescent="0.35">
      <c r="A242" s="12">
        <v>241</v>
      </c>
      <c r="B242" s="15" t="s">
        <v>75</v>
      </c>
      <c r="C242" s="59" t="s">
        <v>106</v>
      </c>
      <c r="D242" s="59" t="s">
        <v>77</v>
      </c>
      <c r="E242" s="15" t="s">
        <v>107</v>
      </c>
      <c r="F242" s="16" t="s">
        <v>50</v>
      </c>
      <c r="G242" s="16" t="s">
        <v>51</v>
      </c>
      <c r="H242" s="16" t="s">
        <v>108</v>
      </c>
      <c r="I242" s="16" t="s">
        <v>53</v>
      </c>
      <c r="J242" s="17">
        <v>0.12</v>
      </c>
      <c r="K242" s="17"/>
      <c r="L242" s="17" t="s">
        <v>2798</v>
      </c>
      <c r="M242" s="17" t="s">
        <v>119</v>
      </c>
      <c r="N242" s="17" t="s">
        <v>120</v>
      </c>
      <c r="O242" s="17" t="s">
        <v>86</v>
      </c>
      <c r="P242" s="17"/>
      <c r="Q242" s="17"/>
      <c r="R242" s="17"/>
      <c r="S242" s="17"/>
      <c r="T242" s="17"/>
      <c r="U242" s="20">
        <f>1.52/0.39</f>
        <v>3.8974358974358974</v>
      </c>
      <c r="V242" s="22">
        <f t="shared" si="19"/>
        <v>289.74358974358972</v>
      </c>
      <c r="W242" s="17"/>
      <c r="X242" s="17" t="s">
        <v>56</v>
      </c>
      <c r="Y242" s="17"/>
      <c r="Z242" s="17" t="s">
        <v>56</v>
      </c>
      <c r="AA242" s="17"/>
      <c r="AB242" s="17" t="s">
        <v>111</v>
      </c>
      <c r="AC242" s="17">
        <v>2009</v>
      </c>
      <c r="AD242" s="17">
        <v>1</v>
      </c>
      <c r="AE242" s="17"/>
      <c r="AF242" s="17"/>
      <c r="AG242" s="17">
        <v>1978</v>
      </c>
      <c r="AH242" s="14">
        <f t="shared" si="17"/>
        <v>31</v>
      </c>
      <c r="AI242" s="17">
        <f t="shared" si="18"/>
        <v>32</v>
      </c>
      <c r="AJ242" s="17"/>
      <c r="AK242" s="17" t="s">
        <v>58</v>
      </c>
      <c r="AL242" s="16" t="s">
        <v>112</v>
      </c>
      <c r="AM242" s="15">
        <v>2010</v>
      </c>
      <c r="AN242" s="15" t="s">
        <v>113</v>
      </c>
      <c r="AO242" s="15" t="s">
        <v>56</v>
      </c>
      <c r="AP242" s="15"/>
      <c r="AQ242" s="15" t="s">
        <v>56</v>
      </c>
      <c r="AR242" s="15" t="s">
        <v>58</v>
      </c>
      <c r="AS242" s="15" t="s">
        <v>94</v>
      </c>
      <c r="AT242" s="15"/>
      <c r="AU242" s="45" t="s">
        <v>2856</v>
      </c>
      <c r="AV242" s="15"/>
      <c r="AW242" s="12" t="str">
        <f>B242&amp;C242&amp;L242&amp;M242&amp;O242&amp;U242&amp;AL242&amp;AM242</f>
        <v>United StatesAnacapa Island State Marine Reserve (old)Laminarialeskelpdensity3.8974358974359Babcock2010</v>
      </c>
    </row>
    <row r="243" spans="1:49" ht="14.25" customHeight="1" x14ac:dyDescent="0.35">
      <c r="A243" s="12">
        <v>242</v>
      </c>
      <c r="B243" s="12" t="s">
        <v>153</v>
      </c>
      <c r="C243" s="44" t="s">
        <v>1893</v>
      </c>
      <c r="D243" s="44" t="s">
        <v>1893</v>
      </c>
      <c r="E243" s="12" t="s">
        <v>171</v>
      </c>
      <c r="F243" s="13" t="s">
        <v>50</v>
      </c>
      <c r="G243" s="13" t="s">
        <v>51</v>
      </c>
      <c r="H243" s="13" t="s">
        <v>52</v>
      </c>
      <c r="I243" s="13" t="s">
        <v>156</v>
      </c>
      <c r="J243" s="14">
        <v>0.375</v>
      </c>
      <c r="K243" s="17"/>
      <c r="L243" s="14" t="s">
        <v>172</v>
      </c>
      <c r="M243" s="14" t="s">
        <v>173</v>
      </c>
      <c r="N243" s="14" t="s">
        <v>170</v>
      </c>
      <c r="O243" s="17" t="s">
        <v>86</v>
      </c>
      <c r="P243" s="14"/>
      <c r="Q243" s="14"/>
      <c r="R243" s="14"/>
      <c r="S243" s="14"/>
      <c r="T243" s="14"/>
      <c r="U243" s="19">
        <f>1.78/1.33</f>
        <v>1.3383458646616542</v>
      </c>
      <c r="V243" s="41">
        <f t="shared" si="19"/>
        <v>33.834586466165419</v>
      </c>
      <c r="W243" s="14"/>
      <c r="X243" s="14" t="s">
        <v>56</v>
      </c>
      <c r="Z243" s="14" t="s">
        <v>56</v>
      </c>
      <c r="AA243" s="14"/>
      <c r="AB243" s="14" t="s">
        <v>111</v>
      </c>
      <c r="AC243" s="14">
        <v>2009</v>
      </c>
      <c r="AD243" s="14">
        <v>1</v>
      </c>
      <c r="AE243" s="14"/>
      <c r="AF243" s="14"/>
      <c r="AG243" s="14">
        <v>1999</v>
      </c>
      <c r="AH243" s="14">
        <f t="shared" si="17"/>
        <v>10</v>
      </c>
      <c r="AI243" s="17">
        <f t="shared" si="18"/>
        <v>11</v>
      </c>
      <c r="AJ243" s="14"/>
      <c r="AK243" s="14" t="s">
        <v>58</v>
      </c>
      <c r="AL243" s="13" t="s">
        <v>112</v>
      </c>
      <c r="AM243" s="12">
        <v>2010</v>
      </c>
      <c r="AN243" s="12" t="s">
        <v>113</v>
      </c>
      <c r="AO243" s="12" t="s">
        <v>56</v>
      </c>
      <c r="AP243" s="12" t="s">
        <v>1896</v>
      </c>
      <c r="AQ243" s="12" t="s">
        <v>56</v>
      </c>
      <c r="AR243" s="12" t="s">
        <v>58</v>
      </c>
      <c r="AS243" s="12" t="s">
        <v>94</v>
      </c>
      <c r="AT243" s="12"/>
      <c r="AU243" s="45" t="s">
        <v>2857</v>
      </c>
      <c r="AV243" s="15"/>
      <c r="AW243" s="12" t="str">
        <f>B243&amp;C243&amp;L243&amp;M243&amp;O243&amp;U243&amp;AL243&amp;AM243</f>
        <v>PhilippinesSumilon Island ReserveSerranidae and Lutjanidaegroupers and snappers (Large predators)density1.33834586466165Babcock2010</v>
      </c>
    </row>
    <row r="244" spans="1:49" ht="14.25" customHeight="1" x14ac:dyDescent="0.35">
      <c r="A244" s="12">
        <v>243</v>
      </c>
      <c r="B244" s="12" t="s">
        <v>153</v>
      </c>
      <c r="C244" s="44" t="s">
        <v>1893</v>
      </c>
      <c r="D244" s="44" t="s">
        <v>1893</v>
      </c>
      <c r="E244" s="12" t="s">
        <v>171</v>
      </c>
      <c r="F244" s="13" t="s">
        <v>50</v>
      </c>
      <c r="G244" s="13" t="s">
        <v>51</v>
      </c>
      <c r="H244" s="13" t="s">
        <v>52</v>
      </c>
      <c r="I244" s="13" t="s">
        <v>156</v>
      </c>
      <c r="J244" s="14">
        <v>0.375</v>
      </c>
      <c r="K244" s="17"/>
      <c r="L244" s="14" t="s">
        <v>174</v>
      </c>
      <c r="M244" s="14" t="s">
        <v>175</v>
      </c>
      <c r="N244" s="14" t="s">
        <v>85</v>
      </c>
      <c r="O244" s="14" t="s">
        <v>86</v>
      </c>
      <c r="P244" s="14"/>
      <c r="Q244" s="14"/>
      <c r="R244" s="14"/>
      <c r="S244" s="14"/>
      <c r="T244" s="14"/>
      <c r="U244" s="19">
        <f>1.67/1.02</f>
        <v>1.6372549019607843</v>
      </c>
      <c r="V244" s="41">
        <f t="shared" si="19"/>
        <v>63.725490196078425</v>
      </c>
      <c r="W244" s="14"/>
      <c r="X244" s="14" t="s">
        <v>56</v>
      </c>
      <c r="Z244" s="14" t="s">
        <v>56</v>
      </c>
      <c r="AA244" s="14"/>
      <c r="AB244" s="14" t="s">
        <v>111</v>
      </c>
      <c r="AC244" s="14">
        <v>2009</v>
      </c>
      <c r="AD244" s="14">
        <v>1</v>
      </c>
      <c r="AE244" s="14"/>
      <c r="AF244" s="14"/>
      <c r="AG244" s="14">
        <v>1999</v>
      </c>
      <c r="AH244" s="14">
        <f t="shared" si="17"/>
        <v>10</v>
      </c>
      <c r="AI244" s="17">
        <f t="shared" si="18"/>
        <v>11</v>
      </c>
      <c r="AJ244" s="14"/>
      <c r="AK244" s="14" t="s">
        <v>58</v>
      </c>
      <c r="AL244" s="13" t="s">
        <v>112</v>
      </c>
      <c r="AM244" s="12">
        <v>2010</v>
      </c>
      <c r="AN244" s="12" t="s">
        <v>113</v>
      </c>
      <c r="AO244" s="12" t="s">
        <v>56</v>
      </c>
      <c r="AP244" s="12" t="s">
        <v>1897</v>
      </c>
      <c r="AQ244" s="12" t="s">
        <v>56</v>
      </c>
      <c r="AR244" s="12" t="s">
        <v>58</v>
      </c>
      <c r="AS244" s="12" t="s">
        <v>94</v>
      </c>
      <c r="AT244" s="12"/>
      <c r="AU244" s="45" t="s">
        <v>2857</v>
      </c>
      <c r="AV244" s="15"/>
      <c r="AW244" s="12" t="str">
        <f>B244&amp;C244&amp;L244&amp;M244&amp;O244&amp;U244&amp;AL244&amp;AM244</f>
        <v>PhilippinesSumilon Island ReserveScarus tricolorethree-color parrotfish (herbivore)density1.63725490196078Babcock2010</v>
      </c>
    </row>
    <row r="245" spans="1:49" ht="14.25" customHeight="1" x14ac:dyDescent="0.35">
      <c r="A245" s="12">
        <v>244</v>
      </c>
      <c r="B245" s="12" t="s">
        <v>153</v>
      </c>
      <c r="C245" s="44" t="s">
        <v>1893</v>
      </c>
      <c r="D245" s="44" t="s">
        <v>1893</v>
      </c>
      <c r="E245" s="12" t="s">
        <v>171</v>
      </c>
      <c r="F245" s="13" t="s">
        <v>50</v>
      </c>
      <c r="G245" s="13" t="s">
        <v>51</v>
      </c>
      <c r="H245" s="13" t="s">
        <v>52</v>
      </c>
      <c r="I245" s="13" t="s">
        <v>156</v>
      </c>
      <c r="J245" s="14">
        <v>0.375</v>
      </c>
      <c r="K245" s="17"/>
      <c r="L245" s="14" t="s">
        <v>176</v>
      </c>
      <c r="M245" s="14" t="s">
        <v>177</v>
      </c>
      <c r="N245" s="14" t="s">
        <v>85</v>
      </c>
      <c r="O245" s="14" t="s">
        <v>86</v>
      </c>
      <c r="P245" s="14"/>
      <c r="Q245" s="14"/>
      <c r="R245" s="14"/>
      <c r="S245" s="14"/>
      <c r="T245" s="14"/>
      <c r="U245" s="19">
        <f>0.97/0.98</f>
        <v>0.98979591836734693</v>
      </c>
      <c r="V245" s="41">
        <f t="shared" si="19"/>
        <v>-1.0204081632653073</v>
      </c>
      <c r="W245" s="14"/>
      <c r="X245" s="14" t="s">
        <v>56</v>
      </c>
      <c r="Z245" s="14" t="s">
        <v>56</v>
      </c>
      <c r="AA245" s="14"/>
      <c r="AB245" s="14" t="s">
        <v>111</v>
      </c>
      <c r="AC245" s="14">
        <v>2009</v>
      </c>
      <c r="AD245" s="14">
        <v>1</v>
      </c>
      <c r="AE245" s="14"/>
      <c r="AF245" s="14"/>
      <c r="AG245" s="14">
        <v>1999</v>
      </c>
      <c r="AH245" s="14">
        <f t="shared" si="17"/>
        <v>10</v>
      </c>
      <c r="AI245" s="17">
        <f t="shared" si="18"/>
        <v>11</v>
      </c>
      <c r="AJ245" s="14"/>
      <c r="AK245" s="14" t="s">
        <v>58</v>
      </c>
      <c r="AL245" s="13" t="s">
        <v>112</v>
      </c>
      <c r="AM245" s="12">
        <v>2010</v>
      </c>
      <c r="AN245" s="12" t="s">
        <v>113</v>
      </c>
      <c r="AO245" s="12" t="s">
        <v>56</v>
      </c>
      <c r="AP245" s="12" t="s">
        <v>1898</v>
      </c>
      <c r="AQ245" s="12" t="s">
        <v>56</v>
      </c>
      <c r="AR245" s="12" t="s">
        <v>58</v>
      </c>
      <c r="AS245" s="12" t="s">
        <v>94</v>
      </c>
      <c r="AT245" s="12"/>
      <c r="AU245" s="45" t="s">
        <v>2857</v>
      </c>
      <c r="AV245" s="15"/>
      <c r="AW245" s="12" t="str">
        <f>B245&amp;C245&amp;L245&amp;M245&amp;O245&amp;U245&amp;AL245&amp;AM245</f>
        <v>PhilippinesSumilon Island ReserveHemigymnus melapterusBlackeye thicklip wrasse (Omnivore) density0.989795918367347Babcock2010</v>
      </c>
    </row>
    <row r="246" spans="1:49" ht="14.25" customHeight="1" x14ac:dyDescent="0.35">
      <c r="A246" s="12">
        <v>245</v>
      </c>
      <c r="B246" s="12" t="s">
        <v>153</v>
      </c>
      <c r="C246" s="12" t="s">
        <v>154</v>
      </c>
      <c r="D246" s="12" t="s">
        <v>154</v>
      </c>
      <c r="E246" s="12" t="s">
        <v>171</v>
      </c>
      <c r="F246" s="13" t="s">
        <v>50</v>
      </c>
      <c r="G246" s="13" t="s">
        <v>51</v>
      </c>
      <c r="H246" s="13" t="s">
        <v>52</v>
      </c>
      <c r="I246" s="13" t="s">
        <v>156</v>
      </c>
      <c r="J246" s="14">
        <v>0.22500000000000001</v>
      </c>
      <c r="K246" s="17"/>
      <c r="L246" s="14" t="s">
        <v>172</v>
      </c>
      <c r="M246" s="14" t="s">
        <v>173</v>
      </c>
      <c r="N246" s="14" t="s">
        <v>170</v>
      </c>
      <c r="O246" s="14" t="s">
        <v>86</v>
      </c>
      <c r="P246" s="14"/>
      <c r="Q246" s="14"/>
      <c r="R246" s="14"/>
      <c r="S246" s="14"/>
      <c r="T246" s="14"/>
      <c r="U246" s="19">
        <f>5.18/2.33</f>
        <v>2.2231759656652357</v>
      </c>
      <c r="V246" s="41">
        <f t="shared" si="19"/>
        <v>122.31759656652356</v>
      </c>
      <c r="W246" s="14"/>
      <c r="X246" s="14" t="s">
        <v>56</v>
      </c>
      <c r="Z246" s="14" t="s">
        <v>56</v>
      </c>
      <c r="AA246" s="14"/>
      <c r="AB246" s="14" t="s">
        <v>111</v>
      </c>
      <c r="AC246" s="14">
        <v>2009</v>
      </c>
      <c r="AD246" s="14">
        <v>1</v>
      </c>
      <c r="AE246" s="14"/>
      <c r="AF246" s="14"/>
      <c r="AG246" s="14">
        <v>1982</v>
      </c>
      <c r="AH246" s="14">
        <f t="shared" si="17"/>
        <v>27</v>
      </c>
      <c r="AI246" s="17">
        <f t="shared" si="18"/>
        <v>28</v>
      </c>
      <c r="AJ246" s="14"/>
      <c r="AK246" s="14" t="s">
        <v>58</v>
      </c>
      <c r="AL246" s="13" t="s">
        <v>112</v>
      </c>
      <c r="AM246" s="12">
        <v>2010</v>
      </c>
      <c r="AN246" s="12" t="s">
        <v>113</v>
      </c>
      <c r="AO246" s="12" t="s">
        <v>56</v>
      </c>
      <c r="AP246" s="12"/>
      <c r="AQ246" s="12" t="s">
        <v>56</v>
      </c>
      <c r="AR246" s="12" t="s">
        <v>58</v>
      </c>
      <c r="AS246" s="12" t="s">
        <v>94</v>
      </c>
      <c r="AT246" s="12"/>
      <c r="AU246" s="45" t="s">
        <v>2854</v>
      </c>
      <c r="AV246" s="15"/>
      <c r="AW246" s="12" t="str">
        <f>B246&amp;C246&amp;L246&amp;M246&amp;O246&amp;U246&amp;AL246&amp;AM246</f>
        <v>PhilippinesApo Island ReserveSerranidae and Lutjanidaegroupers and snappers (Large predators)density2.22317596566524Babcock2010</v>
      </c>
    </row>
    <row r="247" spans="1:49" ht="14.25" customHeight="1" x14ac:dyDescent="0.35">
      <c r="A247" s="12">
        <v>246</v>
      </c>
      <c r="B247" s="12" t="s">
        <v>153</v>
      </c>
      <c r="C247" s="12" t="s">
        <v>154</v>
      </c>
      <c r="D247" s="12" t="s">
        <v>154</v>
      </c>
      <c r="E247" s="12" t="s">
        <v>171</v>
      </c>
      <c r="F247" s="13" t="s">
        <v>50</v>
      </c>
      <c r="G247" s="13" t="s">
        <v>51</v>
      </c>
      <c r="H247" s="13" t="s">
        <v>52</v>
      </c>
      <c r="I247" s="13" t="s">
        <v>156</v>
      </c>
      <c r="J247" s="14">
        <v>0.22500000000000001</v>
      </c>
      <c r="K247" s="14"/>
      <c r="L247" s="14" t="s">
        <v>174</v>
      </c>
      <c r="M247" s="14" t="s">
        <v>175</v>
      </c>
      <c r="N247" s="14" t="s">
        <v>85</v>
      </c>
      <c r="O247" s="17" t="s">
        <v>86</v>
      </c>
      <c r="P247" s="14"/>
      <c r="Q247" s="14"/>
      <c r="R247" s="14"/>
      <c r="S247" s="14"/>
      <c r="T247" s="14"/>
      <c r="U247" s="19">
        <f>1.2/0.91</f>
        <v>1.3186813186813187</v>
      </c>
      <c r="V247" s="41">
        <f t="shared" si="19"/>
        <v>31.868131868131865</v>
      </c>
      <c r="W247" s="14"/>
      <c r="X247" s="14" t="s">
        <v>56</v>
      </c>
      <c r="Z247" s="14" t="s">
        <v>56</v>
      </c>
      <c r="AA247" s="14"/>
      <c r="AB247" s="14" t="s">
        <v>111</v>
      </c>
      <c r="AC247" s="14">
        <v>2009</v>
      </c>
      <c r="AD247" s="14">
        <v>1</v>
      </c>
      <c r="AE247" s="14"/>
      <c r="AF247" s="14"/>
      <c r="AG247" s="14">
        <v>1982</v>
      </c>
      <c r="AH247" s="14">
        <f t="shared" si="17"/>
        <v>27</v>
      </c>
      <c r="AI247" s="17">
        <f t="shared" si="18"/>
        <v>28</v>
      </c>
      <c r="AJ247" s="14"/>
      <c r="AK247" s="14" t="s">
        <v>58</v>
      </c>
      <c r="AL247" s="13" t="s">
        <v>112</v>
      </c>
      <c r="AM247" s="12">
        <v>2010</v>
      </c>
      <c r="AN247" s="12" t="s">
        <v>113</v>
      </c>
      <c r="AO247" s="12" t="s">
        <v>56</v>
      </c>
      <c r="AP247" s="12"/>
      <c r="AQ247" s="12" t="s">
        <v>56</v>
      </c>
      <c r="AR247" s="12" t="s">
        <v>58</v>
      </c>
      <c r="AS247" s="12" t="s">
        <v>94</v>
      </c>
      <c r="AT247" s="12"/>
      <c r="AU247" s="45" t="s">
        <v>2854</v>
      </c>
      <c r="AV247" s="15"/>
      <c r="AW247" s="12" t="str">
        <f>B247&amp;C247&amp;L247&amp;M247&amp;O247&amp;U247&amp;AL247&amp;AM247</f>
        <v>PhilippinesApo Island ReserveScarus tricolorethree-color parrotfish (herbivore)density1.31868131868132Babcock2010</v>
      </c>
    </row>
    <row r="248" spans="1:49" ht="14.25" customHeight="1" x14ac:dyDescent="0.35">
      <c r="A248" s="12">
        <v>247</v>
      </c>
      <c r="B248" s="12" t="s">
        <v>153</v>
      </c>
      <c r="C248" s="12" t="s">
        <v>154</v>
      </c>
      <c r="D248" s="12" t="s">
        <v>154</v>
      </c>
      <c r="E248" s="12" t="s">
        <v>171</v>
      </c>
      <c r="F248" s="13" t="s">
        <v>50</v>
      </c>
      <c r="G248" s="13" t="s">
        <v>51</v>
      </c>
      <c r="H248" s="13" t="s">
        <v>52</v>
      </c>
      <c r="I248" s="13" t="s">
        <v>156</v>
      </c>
      <c r="J248" s="14">
        <v>0.22500000000000001</v>
      </c>
      <c r="K248" s="14"/>
      <c r="L248" s="14" t="s">
        <v>176</v>
      </c>
      <c r="M248" s="14" t="s">
        <v>177</v>
      </c>
      <c r="N248" s="14" t="s">
        <v>85</v>
      </c>
      <c r="O248" s="17" t="s">
        <v>86</v>
      </c>
      <c r="P248" s="14"/>
      <c r="Q248" s="14"/>
      <c r="R248" s="14"/>
      <c r="S248" s="14"/>
      <c r="T248" s="14"/>
      <c r="U248" s="19">
        <f>0.95/1.16</f>
        <v>0.81896551724137934</v>
      </c>
      <c r="V248" s="41">
        <f t="shared" si="19"/>
        <v>-18.103448275862068</v>
      </c>
      <c r="W248" s="14"/>
      <c r="X248" s="14" t="s">
        <v>56</v>
      </c>
      <c r="Z248" s="14" t="s">
        <v>56</v>
      </c>
      <c r="AA248" s="14"/>
      <c r="AB248" s="14" t="s">
        <v>111</v>
      </c>
      <c r="AC248" s="14">
        <v>2009</v>
      </c>
      <c r="AD248" s="14">
        <v>1</v>
      </c>
      <c r="AE248" s="14"/>
      <c r="AF248" s="14"/>
      <c r="AG248" s="14">
        <v>1982</v>
      </c>
      <c r="AH248" s="14">
        <f t="shared" si="17"/>
        <v>27</v>
      </c>
      <c r="AI248" s="17">
        <f t="shared" si="18"/>
        <v>28</v>
      </c>
      <c r="AJ248" s="14"/>
      <c r="AK248" s="14" t="s">
        <v>58</v>
      </c>
      <c r="AL248" s="13" t="s">
        <v>112</v>
      </c>
      <c r="AM248" s="12">
        <v>2010</v>
      </c>
      <c r="AN248" s="12" t="s">
        <v>113</v>
      </c>
      <c r="AO248" s="12" t="s">
        <v>56</v>
      </c>
      <c r="AP248" s="12"/>
      <c r="AQ248" s="12" t="s">
        <v>56</v>
      </c>
      <c r="AR248" s="12" t="s">
        <v>58</v>
      </c>
      <c r="AS248" s="12" t="s">
        <v>94</v>
      </c>
      <c r="AT248" s="12"/>
      <c r="AU248" s="45" t="s">
        <v>2854</v>
      </c>
      <c r="AV248" s="15"/>
      <c r="AW248" s="12" t="str">
        <f>B248&amp;C248&amp;L248&amp;M248&amp;O248&amp;U248&amp;AL248&amp;AM248</f>
        <v>PhilippinesApo Island ReserveHemigymnus melapterusBlackeye thicklip wrasse (Omnivore) density0.818965517241379Babcock2010</v>
      </c>
    </row>
    <row r="249" spans="1:49" ht="14.25" customHeight="1" x14ac:dyDescent="0.35">
      <c r="A249" s="12">
        <v>248</v>
      </c>
      <c r="B249" s="12" t="s">
        <v>153</v>
      </c>
      <c r="C249" s="12" t="s">
        <v>154</v>
      </c>
      <c r="D249" s="12" t="s">
        <v>154</v>
      </c>
      <c r="E249" s="12" t="s">
        <v>171</v>
      </c>
      <c r="F249" s="13" t="s">
        <v>50</v>
      </c>
      <c r="G249" s="13" t="s">
        <v>51</v>
      </c>
      <c r="H249" s="13" t="s">
        <v>52</v>
      </c>
      <c r="I249" s="13" t="s">
        <v>156</v>
      </c>
      <c r="J249" s="14">
        <v>0.22500000000000001</v>
      </c>
      <c r="K249" s="14"/>
      <c r="L249" s="14" t="s">
        <v>178</v>
      </c>
      <c r="M249" s="14" t="s">
        <v>179</v>
      </c>
      <c r="N249" s="17" t="s">
        <v>85</v>
      </c>
      <c r="O249" s="17" t="s">
        <v>86</v>
      </c>
      <c r="P249" s="14"/>
      <c r="Q249" s="14"/>
      <c r="R249" s="14"/>
      <c r="S249" s="14"/>
      <c r="T249" s="14"/>
      <c r="U249" s="19">
        <f>1.39/0.88</f>
        <v>1.5795454545454544</v>
      </c>
      <c r="V249" s="41">
        <f t="shared" si="19"/>
        <v>57.954545454545439</v>
      </c>
      <c r="W249" s="14"/>
      <c r="X249" s="14" t="s">
        <v>56</v>
      </c>
      <c r="Z249" s="14" t="s">
        <v>56</v>
      </c>
      <c r="AA249" s="14"/>
      <c r="AB249" s="14" t="s">
        <v>111</v>
      </c>
      <c r="AC249" s="14">
        <v>2009</v>
      </c>
      <c r="AD249" s="14">
        <v>1</v>
      </c>
      <c r="AE249" s="14"/>
      <c r="AF249" s="14"/>
      <c r="AG249" s="14">
        <v>1982</v>
      </c>
      <c r="AH249" s="14">
        <f t="shared" si="17"/>
        <v>27</v>
      </c>
      <c r="AI249" s="17">
        <f t="shared" si="18"/>
        <v>28</v>
      </c>
      <c r="AJ249" s="14"/>
      <c r="AK249" s="14" t="s">
        <v>58</v>
      </c>
      <c r="AL249" s="13" t="s">
        <v>112</v>
      </c>
      <c r="AM249" s="12">
        <v>2010</v>
      </c>
      <c r="AN249" s="12" t="s">
        <v>113</v>
      </c>
      <c r="AO249" s="12" t="s">
        <v>56</v>
      </c>
      <c r="AP249" s="12"/>
      <c r="AQ249" s="12" t="s">
        <v>56</v>
      </c>
      <c r="AR249" s="12" t="s">
        <v>58</v>
      </c>
      <c r="AS249" s="12" t="s">
        <v>94</v>
      </c>
      <c r="AT249" s="12"/>
      <c r="AU249" s="45" t="s">
        <v>2854</v>
      </c>
      <c r="AV249" s="15"/>
      <c r="AW249" s="12" t="str">
        <f>B249&amp;C249&amp;L249&amp;M249&amp;O249&amp;U249&amp;AL249&amp;AM249</f>
        <v>PhilippinesApo Island ReserveNaso vlamingibignose unicornfish (Planktivore)density1.57954545454545Babcock2010</v>
      </c>
    </row>
    <row r="250" spans="1:49" ht="14.25" customHeight="1" x14ac:dyDescent="0.35">
      <c r="A250" s="12">
        <v>249</v>
      </c>
      <c r="B250" s="12" t="s">
        <v>66</v>
      </c>
      <c r="C250" s="12" t="s">
        <v>2629</v>
      </c>
      <c r="D250" s="12" t="s">
        <v>888</v>
      </c>
      <c r="E250" s="12" t="s">
        <v>1069</v>
      </c>
      <c r="F250" s="13" t="s">
        <v>571</v>
      </c>
      <c r="G250" s="13" t="s">
        <v>51</v>
      </c>
      <c r="H250" s="13" t="s">
        <v>52</v>
      </c>
      <c r="I250" s="13" t="s">
        <v>156</v>
      </c>
      <c r="J250" s="14">
        <v>0.7</v>
      </c>
      <c r="K250" s="14"/>
      <c r="L250" s="14"/>
      <c r="M250" s="14" t="s">
        <v>463</v>
      </c>
      <c r="N250" s="17" t="s">
        <v>1070</v>
      </c>
      <c r="O250" s="17" t="s">
        <v>55</v>
      </c>
      <c r="P250" s="14"/>
      <c r="Q250" s="14"/>
      <c r="R250" s="14"/>
      <c r="S250" s="14">
        <v>20.87</v>
      </c>
      <c r="T250" s="14">
        <v>21.7</v>
      </c>
      <c r="U250" s="19">
        <f t="shared" ref="U250:U313" si="21">IFERROR(IF(AND(Q250="",R250="",S250="",T250=""),"",IF(AND(Q250&lt;&gt;"",R250&lt;&gt;"",S250&lt;&gt;"",T250&lt;&gt;""),(T250/R250)/(S250/Q250),IF(AND(Q250&lt;&gt;"",R250&lt;&gt;""),R250/Q250,IF(AND(S250&lt;&gt;"",T250&lt;&gt;""),T250/S250,IF(AND(Q250&lt;&gt;"",S250&lt;&gt;""),Q250/S250,IF(AND(R250&lt;&gt;"",T250&lt;&gt;""),T250/R250)))))), "N/A")</f>
        <v>1.0397700047915668</v>
      </c>
      <c r="V250" s="41">
        <f t="shared" si="19"/>
        <v>3.9770004791566782</v>
      </c>
      <c r="W250" s="14"/>
      <c r="X250" s="14" t="s">
        <v>58</v>
      </c>
      <c r="Y250" s="14">
        <v>28</v>
      </c>
      <c r="Z250" s="14" t="s">
        <v>58</v>
      </c>
      <c r="AA250" s="14"/>
      <c r="AB250" s="14" t="s">
        <v>57</v>
      </c>
      <c r="AC250" s="14">
        <v>2004</v>
      </c>
      <c r="AD250" s="14">
        <v>8</v>
      </c>
      <c r="AE250" s="14"/>
      <c r="AF250" s="14"/>
      <c r="AG250" s="14">
        <v>1987</v>
      </c>
      <c r="AH250" s="14">
        <f t="shared" si="17"/>
        <v>17</v>
      </c>
      <c r="AI250" s="17">
        <f t="shared" si="18"/>
        <v>25</v>
      </c>
      <c r="AJ250" s="14"/>
      <c r="AK250" s="14" t="s">
        <v>58</v>
      </c>
      <c r="AL250" s="13" t="s">
        <v>1071</v>
      </c>
      <c r="AM250" s="12">
        <v>2014</v>
      </c>
      <c r="AN250" s="12" t="s">
        <v>1072</v>
      </c>
      <c r="AO250" s="12" t="s">
        <v>56</v>
      </c>
      <c r="AP250" s="12"/>
      <c r="AQ250" s="12" t="s">
        <v>56</v>
      </c>
      <c r="AR250" s="12" t="s">
        <v>58</v>
      </c>
      <c r="AS250" s="12" t="s">
        <v>163</v>
      </c>
      <c r="AT250" s="12"/>
      <c r="AU250" s="45" t="s">
        <v>2631</v>
      </c>
      <c r="AV250" s="15"/>
      <c r="AW250" s="12" t="str">
        <f>B250&amp;C250&amp;L250&amp;M250&amp;O250&amp;U250&amp;AL250&amp;AM250</f>
        <v>AustraliaKeppel Island Group 1987 Reserve NetworkReef-associated Fishrichness1.03977000479157Williamson 2014</v>
      </c>
    </row>
    <row r="251" spans="1:49" ht="14.25" customHeight="1" x14ac:dyDescent="0.35">
      <c r="A251" s="12">
        <v>250</v>
      </c>
      <c r="B251" s="15" t="s">
        <v>66</v>
      </c>
      <c r="C251" s="12" t="s">
        <v>2630</v>
      </c>
      <c r="D251" s="12" t="s">
        <v>888</v>
      </c>
      <c r="E251" s="12" t="s">
        <v>1069</v>
      </c>
      <c r="F251" s="13" t="s">
        <v>571</v>
      </c>
      <c r="G251" s="13" t="s">
        <v>51</v>
      </c>
      <c r="H251" s="13" t="s">
        <v>52</v>
      </c>
      <c r="I251" s="13" t="s">
        <v>156</v>
      </c>
      <c r="J251" s="14">
        <v>1.96</v>
      </c>
      <c r="K251" s="14"/>
      <c r="L251" s="14"/>
      <c r="M251" s="14" t="s">
        <v>463</v>
      </c>
      <c r="N251" s="14" t="s">
        <v>1070</v>
      </c>
      <c r="O251" s="17" t="s">
        <v>55</v>
      </c>
      <c r="P251" s="14"/>
      <c r="Q251" s="14">
        <f>25.25</f>
        <v>25.25</v>
      </c>
      <c r="R251" s="14">
        <f>23.7</f>
        <v>23.7</v>
      </c>
      <c r="S251" s="14">
        <v>20.87</v>
      </c>
      <c r="T251" s="14">
        <f>16.41</f>
        <v>16.41</v>
      </c>
      <c r="U251" s="19">
        <f t="shared" si="21"/>
        <v>0.83772054854342426</v>
      </c>
      <c r="V251" s="41">
        <f t="shared" si="19"/>
        <v>-16.227945145657575</v>
      </c>
      <c r="W251" s="14"/>
      <c r="X251" s="14" t="s">
        <v>58</v>
      </c>
      <c r="Y251" s="14">
        <v>28</v>
      </c>
      <c r="Z251" s="14" t="s">
        <v>58</v>
      </c>
      <c r="AA251" s="14"/>
      <c r="AB251" s="14" t="s">
        <v>111</v>
      </c>
      <c r="AC251" s="14">
        <v>2004</v>
      </c>
      <c r="AD251" s="14">
        <v>8</v>
      </c>
      <c r="AE251" s="14"/>
      <c r="AF251" s="14"/>
      <c r="AG251" s="14">
        <v>2004</v>
      </c>
      <c r="AH251" s="14">
        <f t="shared" si="17"/>
        <v>0</v>
      </c>
      <c r="AI251" s="17">
        <f t="shared" si="18"/>
        <v>8</v>
      </c>
      <c r="AJ251" s="14"/>
      <c r="AK251" s="14" t="s">
        <v>58</v>
      </c>
      <c r="AL251" s="13" t="s">
        <v>1071</v>
      </c>
      <c r="AM251" s="12">
        <v>2014</v>
      </c>
      <c r="AN251" s="12" t="s">
        <v>1072</v>
      </c>
      <c r="AO251" s="12" t="s">
        <v>56</v>
      </c>
      <c r="AP251" s="12"/>
      <c r="AQ251" s="12" t="s">
        <v>56</v>
      </c>
      <c r="AR251" s="12" t="s">
        <v>58</v>
      </c>
      <c r="AS251" s="12" t="s">
        <v>163</v>
      </c>
      <c r="AT251" s="12"/>
      <c r="AU251" s="45" t="s">
        <v>2631</v>
      </c>
      <c r="AV251" s="15"/>
      <c r="AW251" s="12" t="str">
        <f>B251&amp;C251&amp;L251&amp;M251&amp;O251&amp;U251&amp;AL251&amp;AM251</f>
        <v>AustraliaKeppel Island Group 2004 Reserve NetowrkReef-associated Fishrichness0.837720548543424Williamson 2014</v>
      </c>
    </row>
    <row r="252" spans="1:49" ht="14.25" customHeight="1" x14ac:dyDescent="0.35">
      <c r="A252" s="12">
        <v>251</v>
      </c>
      <c r="B252" s="15" t="s">
        <v>66</v>
      </c>
      <c r="C252" s="12" t="s">
        <v>2629</v>
      </c>
      <c r="D252" s="12" t="s">
        <v>888</v>
      </c>
      <c r="E252" s="12" t="s">
        <v>1069</v>
      </c>
      <c r="F252" s="13" t="s">
        <v>571</v>
      </c>
      <c r="G252" s="13" t="s">
        <v>51</v>
      </c>
      <c r="H252" s="13" t="s">
        <v>52</v>
      </c>
      <c r="I252" s="13" t="s">
        <v>156</v>
      </c>
      <c r="J252" s="14">
        <v>0.7</v>
      </c>
      <c r="K252" s="14"/>
      <c r="L252" s="14"/>
      <c r="M252" s="14" t="s">
        <v>557</v>
      </c>
      <c r="N252" s="14" t="s">
        <v>407</v>
      </c>
      <c r="O252" s="17" t="s">
        <v>86</v>
      </c>
      <c r="P252" s="14"/>
      <c r="Q252" s="14"/>
      <c r="R252" s="14"/>
      <c r="S252" s="14">
        <f>231.51*1000</f>
        <v>231510</v>
      </c>
      <c r="T252" s="14">
        <f>192.32*1000</f>
        <v>192320</v>
      </c>
      <c r="U252" s="19">
        <f t="shared" si="21"/>
        <v>0.83072005528918835</v>
      </c>
      <c r="V252" s="41">
        <f t="shared" si="19"/>
        <v>-16.927994471081163</v>
      </c>
      <c r="W252" s="14"/>
      <c r="X252" s="14" t="s">
        <v>58</v>
      </c>
      <c r="Y252" s="14">
        <v>28</v>
      </c>
      <c r="Z252" s="14" t="s">
        <v>58</v>
      </c>
      <c r="AA252" s="14"/>
      <c r="AB252" s="14" t="s">
        <v>57</v>
      </c>
      <c r="AC252" s="14">
        <v>2004</v>
      </c>
      <c r="AD252" s="14">
        <v>8</v>
      </c>
      <c r="AE252" s="14"/>
      <c r="AF252" s="14"/>
      <c r="AG252" s="14">
        <v>1987</v>
      </c>
      <c r="AH252" s="14">
        <f t="shared" si="17"/>
        <v>17</v>
      </c>
      <c r="AI252" s="17">
        <f t="shared" si="18"/>
        <v>25</v>
      </c>
      <c r="AJ252" s="14"/>
      <c r="AK252" s="14" t="s">
        <v>58</v>
      </c>
      <c r="AL252" s="13" t="s">
        <v>1071</v>
      </c>
      <c r="AM252" s="12">
        <v>2014</v>
      </c>
      <c r="AN252" s="12" t="s">
        <v>1072</v>
      </c>
      <c r="AO252" s="12" t="s">
        <v>56</v>
      </c>
      <c r="AP252" s="12"/>
      <c r="AQ252" s="12" t="s">
        <v>56</v>
      </c>
      <c r="AR252" s="12" t="s">
        <v>58</v>
      </c>
      <c r="AS252" s="12" t="s">
        <v>163</v>
      </c>
      <c r="AT252" s="12"/>
      <c r="AU252" s="45" t="s">
        <v>2631</v>
      </c>
      <c r="AV252" s="15"/>
      <c r="AW252" s="12" t="str">
        <f>B252&amp;C252&amp;L252&amp;M252&amp;O252&amp;U252&amp;AL252&amp;AM252</f>
        <v>AustraliaKeppel Island Group 1987 Reserve NetworkBenthic carnivoresdensity0.830720055289188Williamson 2014</v>
      </c>
    </row>
    <row r="253" spans="1:49" ht="14.25" customHeight="1" x14ac:dyDescent="0.35">
      <c r="A253" s="12">
        <v>252</v>
      </c>
      <c r="B253" s="15" t="s">
        <v>66</v>
      </c>
      <c r="C253" s="12" t="s">
        <v>2630</v>
      </c>
      <c r="D253" s="12" t="s">
        <v>888</v>
      </c>
      <c r="E253" s="12" t="s">
        <v>1069</v>
      </c>
      <c r="F253" s="13" t="s">
        <v>571</v>
      </c>
      <c r="G253" s="13" t="s">
        <v>51</v>
      </c>
      <c r="H253" s="13" t="s">
        <v>52</v>
      </c>
      <c r="I253" s="13" t="s">
        <v>156</v>
      </c>
      <c r="J253" s="14">
        <v>1.96</v>
      </c>
      <c r="K253" s="14"/>
      <c r="L253" s="14"/>
      <c r="M253" s="14" t="s">
        <v>557</v>
      </c>
      <c r="N253" s="14" t="s">
        <v>407</v>
      </c>
      <c r="O253" s="17" t="s">
        <v>86</v>
      </c>
      <c r="P253" s="14"/>
      <c r="Q253" s="14">
        <f>206*1000</f>
        <v>206000</v>
      </c>
      <c r="R253" s="14">
        <f>169.53*1000</f>
        <v>169530</v>
      </c>
      <c r="S253" s="14">
        <f>231.51*1000</f>
        <v>231510</v>
      </c>
      <c r="T253" s="14">
        <f>296.22*1000</f>
        <v>296220</v>
      </c>
      <c r="U253" s="19">
        <f t="shared" si="21"/>
        <v>1.5547668813169304</v>
      </c>
      <c r="V253" s="41">
        <f t="shared" si="19"/>
        <v>55.476688131693038</v>
      </c>
      <c r="W253" s="14"/>
      <c r="X253" s="14" t="s">
        <v>58</v>
      </c>
      <c r="Y253" s="14">
        <v>28</v>
      </c>
      <c r="Z253" s="14" t="s">
        <v>58</v>
      </c>
      <c r="AA253" s="14"/>
      <c r="AB253" s="14" t="s">
        <v>111</v>
      </c>
      <c r="AC253" s="14">
        <v>2004</v>
      </c>
      <c r="AD253" s="14">
        <v>8</v>
      </c>
      <c r="AE253" s="14"/>
      <c r="AF253" s="14"/>
      <c r="AG253" s="14">
        <v>2004</v>
      </c>
      <c r="AH253" s="14">
        <f t="shared" si="17"/>
        <v>0</v>
      </c>
      <c r="AI253" s="17">
        <f t="shared" si="18"/>
        <v>8</v>
      </c>
      <c r="AJ253" s="14"/>
      <c r="AK253" s="14" t="s">
        <v>58</v>
      </c>
      <c r="AL253" s="13" t="s">
        <v>1071</v>
      </c>
      <c r="AM253" s="12">
        <v>2014</v>
      </c>
      <c r="AN253" s="12" t="s">
        <v>1072</v>
      </c>
      <c r="AO253" s="12" t="s">
        <v>56</v>
      </c>
      <c r="AP253" s="12"/>
      <c r="AQ253" s="12" t="s">
        <v>56</v>
      </c>
      <c r="AR253" s="12" t="s">
        <v>58</v>
      </c>
      <c r="AS253" s="12" t="s">
        <v>163</v>
      </c>
      <c r="AT253" s="12"/>
      <c r="AU253" s="45" t="s">
        <v>2631</v>
      </c>
      <c r="AV253" s="15"/>
      <c r="AW253" s="12" t="str">
        <f>B253&amp;C253&amp;L253&amp;M253&amp;O253&amp;U253&amp;AL253&amp;AM253</f>
        <v>AustraliaKeppel Island Group 2004 Reserve NetowrkBenthic carnivoresdensity1.55476688131693Williamson 2014</v>
      </c>
    </row>
    <row r="254" spans="1:49" ht="14.25" customHeight="1" x14ac:dyDescent="0.35">
      <c r="A254" s="12">
        <v>253</v>
      </c>
      <c r="B254" s="15" t="s">
        <v>66</v>
      </c>
      <c r="C254" s="12" t="s">
        <v>2629</v>
      </c>
      <c r="D254" s="12" t="s">
        <v>888</v>
      </c>
      <c r="E254" s="12" t="s">
        <v>1069</v>
      </c>
      <c r="F254" s="13" t="s">
        <v>571</v>
      </c>
      <c r="G254" s="13" t="s">
        <v>51</v>
      </c>
      <c r="H254" s="13" t="s">
        <v>52</v>
      </c>
      <c r="I254" s="13" t="s">
        <v>156</v>
      </c>
      <c r="J254" s="14">
        <v>0.7</v>
      </c>
      <c r="K254" s="17"/>
      <c r="L254" s="14"/>
      <c r="M254" s="14" t="s">
        <v>793</v>
      </c>
      <c r="N254" s="14" t="s">
        <v>407</v>
      </c>
      <c r="O254" s="17" t="s">
        <v>86</v>
      </c>
      <c r="P254" s="14"/>
      <c r="Q254" s="14"/>
      <c r="R254" s="14"/>
      <c r="S254" s="14">
        <f>1.64*1000</f>
        <v>1640</v>
      </c>
      <c r="T254" s="14">
        <f>7.32*1000</f>
        <v>7320</v>
      </c>
      <c r="U254" s="19">
        <f t="shared" si="21"/>
        <v>4.4634146341463419</v>
      </c>
      <c r="V254" s="41">
        <f t="shared" si="19"/>
        <v>346.34146341463418</v>
      </c>
      <c r="W254" s="14"/>
      <c r="X254" s="14" t="s">
        <v>58</v>
      </c>
      <c r="Y254" s="14">
        <v>28</v>
      </c>
      <c r="Z254" s="14" t="s">
        <v>58</v>
      </c>
      <c r="AA254" s="14"/>
      <c r="AB254" s="14" t="s">
        <v>57</v>
      </c>
      <c r="AC254" s="14">
        <v>2004</v>
      </c>
      <c r="AD254" s="14">
        <v>8</v>
      </c>
      <c r="AE254" s="14"/>
      <c r="AF254" s="14"/>
      <c r="AG254" s="14">
        <v>1987</v>
      </c>
      <c r="AH254" s="14">
        <f t="shared" si="17"/>
        <v>17</v>
      </c>
      <c r="AI254" s="17">
        <f t="shared" si="18"/>
        <v>25</v>
      </c>
      <c r="AJ254" s="14"/>
      <c r="AK254" s="14" t="s">
        <v>58</v>
      </c>
      <c r="AL254" s="13" t="s">
        <v>1071</v>
      </c>
      <c r="AM254" s="12">
        <v>2014</v>
      </c>
      <c r="AN254" s="12" t="s">
        <v>1072</v>
      </c>
      <c r="AO254" s="12" t="s">
        <v>56</v>
      </c>
      <c r="AP254" s="12"/>
      <c r="AQ254" s="12" t="s">
        <v>56</v>
      </c>
      <c r="AR254" s="12" t="s">
        <v>58</v>
      </c>
      <c r="AS254" s="12" t="s">
        <v>163</v>
      </c>
      <c r="AT254" s="12"/>
      <c r="AU254" s="45" t="s">
        <v>2631</v>
      </c>
      <c r="AV254" s="15"/>
      <c r="AW254" s="12" t="str">
        <f>B254&amp;C254&amp;L254&amp;M254&amp;O254&amp;U254&amp;AL254&amp;AM254</f>
        <v>AustraliaKeppel Island Group 1987 Reserve NetworkDetritivoresdensity4.46341463414634Williamson 2014</v>
      </c>
    </row>
    <row r="255" spans="1:49" ht="14.25" customHeight="1" x14ac:dyDescent="0.35">
      <c r="A255" s="12">
        <v>254</v>
      </c>
      <c r="B255" s="15" t="s">
        <v>66</v>
      </c>
      <c r="C255" s="12" t="s">
        <v>2630</v>
      </c>
      <c r="D255" s="12" t="s">
        <v>888</v>
      </c>
      <c r="E255" s="15" t="s">
        <v>1069</v>
      </c>
      <c r="F255" s="13" t="s">
        <v>571</v>
      </c>
      <c r="G255" s="13" t="s">
        <v>51</v>
      </c>
      <c r="H255" s="16" t="s">
        <v>52</v>
      </c>
      <c r="I255" s="16" t="s">
        <v>156</v>
      </c>
      <c r="J255" s="14">
        <v>1.96</v>
      </c>
      <c r="K255" s="17"/>
      <c r="L255" s="17"/>
      <c r="M255" s="17" t="s">
        <v>793</v>
      </c>
      <c r="N255" s="17" t="s">
        <v>407</v>
      </c>
      <c r="O255" s="17" t="s">
        <v>86</v>
      </c>
      <c r="P255" s="17"/>
      <c r="Q255" s="17">
        <f>7.95*1000</f>
        <v>7950</v>
      </c>
      <c r="R255" s="17">
        <f>9.12*1000</f>
        <v>9120</v>
      </c>
      <c r="S255" s="17">
        <f>1.64*1000</f>
        <v>1640</v>
      </c>
      <c r="T255" s="17">
        <f>0.24*1000</f>
        <v>240</v>
      </c>
      <c r="U255" s="20">
        <f t="shared" si="21"/>
        <v>0.12756739409499357</v>
      </c>
      <c r="V255" s="22">
        <f t="shared" si="19"/>
        <v>-87.243260590500654</v>
      </c>
      <c r="W255" s="17"/>
      <c r="X255" s="17" t="s">
        <v>58</v>
      </c>
      <c r="Y255" s="17">
        <v>28</v>
      </c>
      <c r="Z255" s="17" t="s">
        <v>58</v>
      </c>
      <c r="AA255" s="17"/>
      <c r="AB255" s="17" t="s">
        <v>111</v>
      </c>
      <c r="AC255" s="17">
        <v>2004</v>
      </c>
      <c r="AD255" s="17">
        <v>8</v>
      </c>
      <c r="AE255" s="17"/>
      <c r="AF255" s="17"/>
      <c r="AG255" s="14">
        <v>2004</v>
      </c>
      <c r="AH255" s="14">
        <f t="shared" si="17"/>
        <v>0</v>
      </c>
      <c r="AI255" s="17">
        <f t="shared" si="18"/>
        <v>8</v>
      </c>
      <c r="AJ255" s="17"/>
      <c r="AK255" s="17" t="s">
        <v>58</v>
      </c>
      <c r="AL255" s="16" t="s">
        <v>1071</v>
      </c>
      <c r="AM255" s="15">
        <v>2014</v>
      </c>
      <c r="AN255" s="15" t="s">
        <v>1072</v>
      </c>
      <c r="AO255" s="15" t="s">
        <v>56</v>
      </c>
      <c r="AP255" s="15"/>
      <c r="AQ255" s="15" t="s">
        <v>56</v>
      </c>
      <c r="AR255" s="15" t="s">
        <v>58</v>
      </c>
      <c r="AS255" s="15" t="s">
        <v>163</v>
      </c>
      <c r="AT255" s="15"/>
      <c r="AU255" s="45" t="s">
        <v>2631</v>
      </c>
      <c r="AV255" s="15"/>
      <c r="AW255" s="12" t="str">
        <f>B255&amp;C255&amp;L255&amp;M255&amp;O255&amp;U255&amp;AL255&amp;AM255</f>
        <v>AustraliaKeppel Island Group 2004 Reserve NetowrkDetritivoresdensity0.127567394094994Williamson 2014</v>
      </c>
    </row>
    <row r="256" spans="1:49" ht="14.25" customHeight="1" x14ac:dyDescent="0.35">
      <c r="A256" s="12">
        <v>255</v>
      </c>
      <c r="B256" s="15" t="s">
        <v>66</v>
      </c>
      <c r="C256" s="12" t="s">
        <v>2629</v>
      </c>
      <c r="D256" s="12" t="s">
        <v>888</v>
      </c>
      <c r="E256" s="12" t="s">
        <v>1069</v>
      </c>
      <c r="F256" s="13" t="s">
        <v>571</v>
      </c>
      <c r="G256" s="13" t="s">
        <v>51</v>
      </c>
      <c r="H256" s="16" t="s">
        <v>52</v>
      </c>
      <c r="I256" s="16" t="s">
        <v>156</v>
      </c>
      <c r="J256" s="14">
        <v>0.7</v>
      </c>
      <c r="K256" s="17"/>
      <c r="L256" s="17"/>
      <c r="M256" s="17" t="s">
        <v>1073</v>
      </c>
      <c r="N256" s="17" t="s">
        <v>407</v>
      </c>
      <c r="O256" s="17" t="s">
        <v>86</v>
      </c>
      <c r="P256" s="17"/>
      <c r="Q256" s="17"/>
      <c r="R256" s="17"/>
      <c r="S256" s="17">
        <f>53.84*1000</f>
        <v>53840</v>
      </c>
      <c r="T256" s="17">
        <f>11.15*1000</f>
        <v>11150</v>
      </c>
      <c r="U256" s="19">
        <f t="shared" si="21"/>
        <v>0.20709509658246658</v>
      </c>
      <c r="V256" s="41">
        <f t="shared" si="19"/>
        <v>-79.29049034175334</v>
      </c>
      <c r="W256" s="14"/>
      <c r="X256" s="17" t="s">
        <v>58</v>
      </c>
      <c r="Y256" s="17">
        <v>28</v>
      </c>
      <c r="Z256" s="17" t="s">
        <v>58</v>
      </c>
      <c r="AA256" s="17"/>
      <c r="AB256" s="17" t="s">
        <v>57</v>
      </c>
      <c r="AC256" s="17">
        <v>2004</v>
      </c>
      <c r="AD256" s="17">
        <v>8</v>
      </c>
      <c r="AE256" s="17"/>
      <c r="AF256" s="17"/>
      <c r="AG256" s="17">
        <v>1987</v>
      </c>
      <c r="AH256" s="14">
        <f t="shared" si="17"/>
        <v>17</v>
      </c>
      <c r="AI256" s="17">
        <f t="shared" si="18"/>
        <v>25</v>
      </c>
      <c r="AJ256" s="17"/>
      <c r="AK256" s="17" t="s">
        <v>58</v>
      </c>
      <c r="AL256" s="16" t="s">
        <v>1071</v>
      </c>
      <c r="AM256" s="15">
        <v>2014</v>
      </c>
      <c r="AN256" s="15" t="s">
        <v>1072</v>
      </c>
      <c r="AO256" s="15" t="s">
        <v>56</v>
      </c>
      <c r="AP256" s="15"/>
      <c r="AQ256" s="15" t="s">
        <v>56</v>
      </c>
      <c r="AR256" s="15" t="s">
        <v>58</v>
      </c>
      <c r="AS256" s="15" t="s">
        <v>163</v>
      </c>
      <c r="AT256" s="12"/>
      <c r="AU256" s="45" t="s">
        <v>2631</v>
      </c>
      <c r="AV256" s="15"/>
      <c r="AW256" s="12" t="str">
        <f>B256&amp;C256&amp;L256&amp;M256&amp;O256&amp;U256&amp;AL256&amp;AM256</f>
        <v>AustraliaKeppel Island Group 1987 Reserve NetworkGrazersdensity0.207095096582467Williamson 2014</v>
      </c>
    </row>
    <row r="257" spans="1:49" ht="14.25" customHeight="1" x14ac:dyDescent="0.35">
      <c r="A257" s="12">
        <v>256</v>
      </c>
      <c r="B257" s="12" t="s">
        <v>66</v>
      </c>
      <c r="C257" s="12" t="s">
        <v>2630</v>
      </c>
      <c r="D257" s="12" t="s">
        <v>888</v>
      </c>
      <c r="E257" s="12" t="s">
        <v>1069</v>
      </c>
      <c r="F257" s="13" t="s">
        <v>571</v>
      </c>
      <c r="G257" s="13" t="s">
        <v>51</v>
      </c>
      <c r="H257" s="13" t="s">
        <v>52</v>
      </c>
      <c r="I257" s="13" t="s">
        <v>156</v>
      </c>
      <c r="J257" s="14">
        <v>1.96</v>
      </c>
      <c r="K257" s="17"/>
      <c r="L257" s="14"/>
      <c r="M257" s="14" t="s">
        <v>1073</v>
      </c>
      <c r="N257" s="14" t="s">
        <v>407</v>
      </c>
      <c r="O257" s="17" t="s">
        <v>86</v>
      </c>
      <c r="P257" s="14"/>
      <c r="Q257" s="14">
        <f>86.15*1000</f>
        <v>86150</v>
      </c>
      <c r="R257" s="14">
        <f>18.46*1000</f>
        <v>18460</v>
      </c>
      <c r="S257" s="14">
        <f>53.84*1000</f>
        <v>53840</v>
      </c>
      <c r="T257" s="14">
        <f>36.54*1000</f>
        <v>36540</v>
      </c>
      <c r="U257" s="19">
        <f t="shared" si="21"/>
        <v>3.1672845105839054</v>
      </c>
      <c r="V257" s="41">
        <f t="shared" si="19"/>
        <v>216.72845105839053</v>
      </c>
      <c r="W257" s="14"/>
      <c r="X257" s="17" t="s">
        <v>58</v>
      </c>
      <c r="Y257" s="14">
        <v>28</v>
      </c>
      <c r="Z257" s="14" t="s">
        <v>58</v>
      </c>
      <c r="AA257" s="14"/>
      <c r="AB257" s="14" t="s">
        <v>111</v>
      </c>
      <c r="AC257" s="14">
        <v>2004</v>
      </c>
      <c r="AD257" s="14">
        <v>8</v>
      </c>
      <c r="AE257" s="14"/>
      <c r="AF257" s="14"/>
      <c r="AG257" s="14">
        <v>2004</v>
      </c>
      <c r="AH257" s="14">
        <f t="shared" si="17"/>
        <v>0</v>
      </c>
      <c r="AI257" s="17">
        <f t="shared" si="18"/>
        <v>8</v>
      </c>
      <c r="AJ257" s="14"/>
      <c r="AK257" s="14" t="s">
        <v>58</v>
      </c>
      <c r="AL257" s="13" t="s">
        <v>1071</v>
      </c>
      <c r="AM257" s="12">
        <v>2014</v>
      </c>
      <c r="AN257" s="12" t="s">
        <v>1072</v>
      </c>
      <c r="AO257" s="12" t="s">
        <v>56</v>
      </c>
      <c r="AP257" s="12"/>
      <c r="AQ257" s="12" t="s">
        <v>56</v>
      </c>
      <c r="AR257" s="12" t="s">
        <v>58</v>
      </c>
      <c r="AS257" s="12" t="s">
        <v>163</v>
      </c>
      <c r="AT257" s="12"/>
      <c r="AU257" s="45" t="s">
        <v>2631</v>
      </c>
      <c r="AV257" s="15"/>
      <c r="AW257" s="12" t="str">
        <f>B257&amp;C257&amp;L257&amp;M257&amp;O257&amp;U257&amp;AL257&amp;AM257</f>
        <v>AustraliaKeppel Island Group 2004 Reserve NetowrkGrazersdensity3.16728451058391Williamson 2014</v>
      </c>
    </row>
    <row r="258" spans="1:49" ht="14.25" customHeight="1" x14ac:dyDescent="0.35">
      <c r="A258" s="12">
        <v>257</v>
      </c>
      <c r="B258" s="12" t="s">
        <v>66</v>
      </c>
      <c r="C258" s="12" t="s">
        <v>2629</v>
      </c>
      <c r="D258" s="12" t="s">
        <v>888</v>
      </c>
      <c r="E258" s="12" t="s">
        <v>1069</v>
      </c>
      <c r="F258" s="13" t="s">
        <v>571</v>
      </c>
      <c r="G258" s="13" t="s">
        <v>51</v>
      </c>
      <c r="H258" s="13" t="s">
        <v>52</v>
      </c>
      <c r="I258" s="13" t="s">
        <v>156</v>
      </c>
      <c r="J258" s="14">
        <v>0.7</v>
      </c>
      <c r="K258" s="17"/>
      <c r="L258" s="14"/>
      <c r="M258" s="14" t="s">
        <v>1074</v>
      </c>
      <c r="N258" s="14" t="s">
        <v>407</v>
      </c>
      <c r="O258" s="17" t="s">
        <v>86</v>
      </c>
      <c r="P258" s="14"/>
      <c r="Q258" s="14"/>
      <c r="R258" s="14"/>
      <c r="S258" s="14">
        <f>39.78*1000</f>
        <v>39780</v>
      </c>
      <c r="T258" s="14">
        <f>36.3*1000</f>
        <v>36300</v>
      </c>
      <c r="U258" s="19">
        <f t="shared" si="21"/>
        <v>0.91251885369532426</v>
      </c>
      <c r="V258" s="41">
        <f t="shared" si="19"/>
        <v>-8.7481146304675743</v>
      </c>
      <c r="W258" s="14"/>
      <c r="X258" s="17" t="s">
        <v>58</v>
      </c>
      <c r="Y258" s="14">
        <v>28</v>
      </c>
      <c r="Z258" s="14" t="s">
        <v>58</v>
      </c>
      <c r="AA258" s="14"/>
      <c r="AB258" s="14" t="s">
        <v>57</v>
      </c>
      <c r="AC258" s="14">
        <v>2004</v>
      </c>
      <c r="AD258" s="14">
        <v>8</v>
      </c>
      <c r="AE258" s="14"/>
      <c r="AF258" s="14"/>
      <c r="AG258" s="14">
        <v>1987</v>
      </c>
      <c r="AH258" s="14">
        <f t="shared" ref="AH258:AH321" si="22">IF(OR(AG258="NA",AC258="NA"),"NA",IF(OR(AC258="",AG258=""), "", AC258-AG258))</f>
        <v>17</v>
      </c>
      <c r="AI258" s="17">
        <f t="shared" ref="AI258:AI321" si="23">IF(AH258="NA", "NA",IF(OR(AH258="",AND(AD258="",AE258="")), "",AH258+AD258+AE258/12))</f>
        <v>25</v>
      </c>
      <c r="AJ258" s="14"/>
      <c r="AK258" s="14" t="s">
        <v>58</v>
      </c>
      <c r="AL258" s="13" t="s">
        <v>1071</v>
      </c>
      <c r="AM258" s="12">
        <v>2014</v>
      </c>
      <c r="AN258" s="12" t="s">
        <v>1072</v>
      </c>
      <c r="AO258" s="12" t="s">
        <v>56</v>
      </c>
      <c r="AP258" s="12"/>
      <c r="AQ258" s="12" t="s">
        <v>56</v>
      </c>
      <c r="AR258" s="12" t="s">
        <v>58</v>
      </c>
      <c r="AS258" s="12" t="s">
        <v>163</v>
      </c>
      <c r="AT258" s="12"/>
      <c r="AU258" s="45" t="s">
        <v>2631</v>
      </c>
      <c r="AV258" s="15"/>
      <c r="AW258" s="12" t="str">
        <f>B258&amp;C258&amp;L258&amp;M258&amp;O258&amp;U258&amp;AL258&amp;AM258</f>
        <v>AustraliaKeppel Island Group 1987 Reserve NetworkCorallivoresdensity0.912518853695324Williamson 2014</v>
      </c>
    </row>
    <row r="259" spans="1:49" ht="14.25" customHeight="1" x14ac:dyDescent="0.35">
      <c r="A259" s="12">
        <v>258</v>
      </c>
      <c r="B259" s="12" t="s">
        <v>66</v>
      </c>
      <c r="C259" s="12" t="s">
        <v>2630</v>
      </c>
      <c r="D259" s="12" t="s">
        <v>888</v>
      </c>
      <c r="E259" s="12" t="s">
        <v>1069</v>
      </c>
      <c r="F259" s="13" t="s">
        <v>571</v>
      </c>
      <c r="G259" s="13" t="s">
        <v>51</v>
      </c>
      <c r="H259" s="13" t="s">
        <v>52</v>
      </c>
      <c r="I259" s="13" t="s">
        <v>156</v>
      </c>
      <c r="J259" s="14">
        <v>1.96</v>
      </c>
      <c r="K259" s="17"/>
      <c r="L259" s="14"/>
      <c r="M259" s="14" t="s">
        <v>1074</v>
      </c>
      <c r="N259" s="14" t="s">
        <v>407</v>
      </c>
      <c r="O259" s="17" t="s">
        <v>86</v>
      </c>
      <c r="P259" s="14"/>
      <c r="Q259" s="14">
        <f>69.35*1000</f>
        <v>69350</v>
      </c>
      <c r="R259" s="14">
        <f>39.13*1000</f>
        <v>39130</v>
      </c>
      <c r="S259" s="14">
        <f>39.78*1000</f>
        <v>39780</v>
      </c>
      <c r="T259" s="14">
        <f>26.96*1000</f>
        <v>26960</v>
      </c>
      <c r="U259" s="19">
        <f t="shared" si="21"/>
        <v>1.2011347358079969</v>
      </c>
      <c r="V259" s="41">
        <f t="shared" si="19"/>
        <v>20.113473580799692</v>
      </c>
      <c r="W259" s="14"/>
      <c r="X259" s="17" t="s">
        <v>58</v>
      </c>
      <c r="Y259" s="14">
        <v>28</v>
      </c>
      <c r="Z259" s="14" t="s">
        <v>58</v>
      </c>
      <c r="AA259" s="14"/>
      <c r="AB259" s="14" t="s">
        <v>111</v>
      </c>
      <c r="AC259" s="14">
        <v>2004</v>
      </c>
      <c r="AD259" s="14">
        <v>8</v>
      </c>
      <c r="AE259" s="14"/>
      <c r="AF259" s="14"/>
      <c r="AG259" s="14">
        <v>2004</v>
      </c>
      <c r="AH259" s="14">
        <f t="shared" si="22"/>
        <v>0</v>
      </c>
      <c r="AI259" s="17">
        <f t="shared" si="23"/>
        <v>8</v>
      </c>
      <c r="AJ259" s="14"/>
      <c r="AK259" s="14" t="s">
        <v>58</v>
      </c>
      <c r="AL259" s="13" t="s">
        <v>1071</v>
      </c>
      <c r="AM259" s="12">
        <v>2014</v>
      </c>
      <c r="AN259" s="12" t="s">
        <v>1072</v>
      </c>
      <c r="AO259" s="12" t="s">
        <v>56</v>
      </c>
      <c r="AP259" s="12"/>
      <c r="AQ259" s="12" t="s">
        <v>56</v>
      </c>
      <c r="AR259" s="12" t="s">
        <v>58</v>
      </c>
      <c r="AS259" s="12" t="s">
        <v>163</v>
      </c>
      <c r="AT259" s="12"/>
      <c r="AU259" s="45" t="s">
        <v>2631</v>
      </c>
      <c r="AV259" s="15"/>
      <c r="AW259" s="12" t="str">
        <f>B259&amp;C259&amp;L259&amp;M259&amp;O259&amp;U259&amp;AL259&amp;AM259</f>
        <v>AustraliaKeppel Island Group 2004 Reserve NetowrkCorallivoresdensity1.201134735808Williamson 2014</v>
      </c>
    </row>
    <row r="260" spans="1:49" ht="14.25" customHeight="1" x14ac:dyDescent="0.35">
      <c r="A260" s="12">
        <v>259</v>
      </c>
      <c r="B260" s="12" t="s">
        <v>66</v>
      </c>
      <c r="C260" s="12" t="s">
        <v>2629</v>
      </c>
      <c r="D260" s="12" t="s">
        <v>888</v>
      </c>
      <c r="E260" s="12" t="s">
        <v>1069</v>
      </c>
      <c r="F260" s="13" t="s">
        <v>571</v>
      </c>
      <c r="G260" s="13" t="s">
        <v>51</v>
      </c>
      <c r="H260" s="13" t="s">
        <v>52</v>
      </c>
      <c r="I260" s="13" t="s">
        <v>156</v>
      </c>
      <c r="J260" s="14">
        <v>0.7</v>
      </c>
      <c r="K260" s="17"/>
      <c r="L260" s="14"/>
      <c r="M260" s="14" t="s">
        <v>1075</v>
      </c>
      <c r="N260" s="14" t="s">
        <v>407</v>
      </c>
      <c r="O260" s="17" t="s">
        <v>86</v>
      </c>
      <c r="P260" s="14"/>
      <c r="Q260" s="14"/>
      <c r="R260" s="14"/>
      <c r="S260" s="14">
        <f>394.23*1000</f>
        <v>394230</v>
      </c>
      <c r="T260" s="14">
        <f>406.25*1000</f>
        <v>406250</v>
      </c>
      <c r="U260" s="19">
        <f t="shared" si="21"/>
        <v>1.0304898155898841</v>
      </c>
      <c r="V260" s="41">
        <f t="shared" ref="V260:V323" si="24">IFERROR(IF(U260 = "", "",(U260-1)*100),"N/A")</f>
        <v>3.0489815589884062</v>
      </c>
      <c r="W260" s="14"/>
      <c r="X260" s="17" t="s">
        <v>58</v>
      </c>
      <c r="Y260" s="14">
        <v>28</v>
      </c>
      <c r="Z260" s="14" t="s">
        <v>58</v>
      </c>
      <c r="AA260" s="14"/>
      <c r="AB260" s="14" t="s">
        <v>57</v>
      </c>
      <c r="AC260" s="14">
        <v>2004</v>
      </c>
      <c r="AD260" s="14">
        <v>8</v>
      </c>
      <c r="AE260" s="14"/>
      <c r="AF260" s="14"/>
      <c r="AG260" s="14">
        <v>1987</v>
      </c>
      <c r="AH260" s="14">
        <f t="shared" si="22"/>
        <v>17</v>
      </c>
      <c r="AI260" s="17">
        <f t="shared" si="23"/>
        <v>25</v>
      </c>
      <c r="AJ260" s="14"/>
      <c r="AK260" s="14" t="s">
        <v>58</v>
      </c>
      <c r="AL260" s="13" t="s">
        <v>1071</v>
      </c>
      <c r="AM260" s="12">
        <v>2014</v>
      </c>
      <c r="AN260" s="12" t="s">
        <v>1072</v>
      </c>
      <c r="AO260" s="12" t="s">
        <v>56</v>
      </c>
      <c r="AP260" s="12"/>
      <c r="AQ260" s="12" t="s">
        <v>56</v>
      </c>
      <c r="AR260" s="12" t="s">
        <v>58</v>
      </c>
      <c r="AS260" s="12" t="s">
        <v>163</v>
      </c>
      <c r="AT260" s="12"/>
      <c r="AU260" s="45" t="s">
        <v>2631</v>
      </c>
      <c r="AV260" s="15"/>
      <c r="AW260" s="12" t="str">
        <f>B260&amp;C260&amp;L260&amp;M260&amp;O260&amp;U260&amp;AL260&amp;AM260</f>
        <v>AustraliaKeppel Island Group 1987 Reserve NetworkOmnivorous pomacentridsdensity1.03048981558988Williamson 2014</v>
      </c>
    </row>
    <row r="261" spans="1:49" ht="14.25" customHeight="1" x14ac:dyDescent="0.35">
      <c r="A261" s="12">
        <v>260</v>
      </c>
      <c r="B261" s="12" t="s">
        <v>66</v>
      </c>
      <c r="C261" s="12" t="s">
        <v>2630</v>
      </c>
      <c r="D261" s="12" t="s">
        <v>888</v>
      </c>
      <c r="E261" s="12" t="s">
        <v>1069</v>
      </c>
      <c r="F261" s="13" t="s">
        <v>571</v>
      </c>
      <c r="G261" s="13" t="s">
        <v>51</v>
      </c>
      <c r="H261" s="13" t="s">
        <v>52</v>
      </c>
      <c r="I261" s="13" t="s">
        <v>156</v>
      </c>
      <c r="J261" s="14">
        <v>1.96</v>
      </c>
      <c r="K261" s="17"/>
      <c r="L261" s="14"/>
      <c r="M261" s="14" t="s">
        <v>1075</v>
      </c>
      <c r="N261" s="14" t="s">
        <v>407</v>
      </c>
      <c r="O261" s="17" t="s">
        <v>86</v>
      </c>
      <c r="P261" s="14"/>
      <c r="Q261" s="14">
        <f>439.9*1000</f>
        <v>439900</v>
      </c>
      <c r="R261" s="14">
        <f>610.58*1000</f>
        <v>610580</v>
      </c>
      <c r="S261" s="14">
        <f>394.23*1000</f>
        <v>394230</v>
      </c>
      <c r="T261" s="14">
        <f>307.69*1000</f>
        <v>307690</v>
      </c>
      <c r="U261" s="19">
        <f t="shared" si="21"/>
        <v>0.56230908359722032</v>
      </c>
      <c r="V261" s="41">
        <f t="shared" si="24"/>
        <v>-43.769091640277971</v>
      </c>
      <c r="W261" s="14"/>
      <c r="X261" s="17" t="s">
        <v>58</v>
      </c>
      <c r="Y261" s="14">
        <v>28</v>
      </c>
      <c r="Z261" s="14" t="s">
        <v>58</v>
      </c>
      <c r="AA261" s="14"/>
      <c r="AB261" s="14" t="s">
        <v>111</v>
      </c>
      <c r="AC261" s="14">
        <v>2004</v>
      </c>
      <c r="AD261" s="14">
        <v>8</v>
      </c>
      <c r="AE261" s="14"/>
      <c r="AF261" s="14"/>
      <c r="AG261" s="14">
        <v>2004</v>
      </c>
      <c r="AH261" s="14">
        <f t="shared" si="22"/>
        <v>0</v>
      </c>
      <c r="AI261" s="17">
        <f t="shared" si="23"/>
        <v>8</v>
      </c>
      <c r="AJ261" s="14"/>
      <c r="AK261" s="14" t="s">
        <v>58</v>
      </c>
      <c r="AL261" s="13" t="s">
        <v>1071</v>
      </c>
      <c r="AM261" s="12">
        <v>2014</v>
      </c>
      <c r="AN261" s="12" t="s">
        <v>1072</v>
      </c>
      <c r="AO261" s="12" t="s">
        <v>56</v>
      </c>
      <c r="AP261" s="12"/>
      <c r="AQ261" s="12" t="s">
        <v>56</v>
      </c>
      <c r="AR261" s="12" t="s">
        <v>58</v>
      </c>
      <c r="AS261" s="12" t="s">
        <v>163</v>
      </c>
      <c r="AT261" s="12"/>
      <c r="AU261" s="45" t="s">
        <v>2631</v>
      </c>
      <c r="AV261" s="15"/>
      <c r="AW261" s="12" t="str">
        <f>B261&amp;C261&amp;L261&amp;M261&amp;O261&amp;U261&amp;AL261&amp;AM261</f>
        <v>AustraliaKeppel Island Group 2004 Reserve NetowrkOmnivorous pomacentridsdensity0.56230908359722Williamson 2014</v>
      </c>
    </row>
    <row r="262" spans="1:49" ht="14.25" customHeight="1" x14ac:dyDescent="0.35">
      <c r="A262" s="12">
        <v>261</v>
      </c>
      <c r="B262" s="12" t="s">
        <v>66</v>
      </c>
      <c r="C262" s="12" t="s">
        <v>2629</v>
      </c>
      <c r="D262" s="12" t="s">
        <v>888</v>
      </c>
      <c r="E262" s="12" t="s">
        <v>1069</v>
      </c>
      <c r="F262" s="13" t="s">
        <v>571</v>
      </c>
      <c r="G262" s="13" t="s">
        <v>51</v>
      </c>
      <c r="H262" s="13" t="s">
        <v>52</v>
      </c>
      <c r="I262" s="13" t="s">
        <v>156</v>
      </c>
      <c r="J262" s="14">
        <v>0.7</v>
      </c>
      <c r="K262" s="17"/>
      <c r="L262" s="14"/>
      <c r="M262" s="14" t="s">
        <v>1076</v>
      </c>
      <c r="N262" s="14" t="s">
        <v>407</v>
      </c>
      <c r="O262" s="17" t="s">
        <v>86</v>
      </c>
      <c r="P262" s="14"/>
      <c r="Q262" s="14"/>
      <c r="R262" s="14"/>
      <c r="S262" s="14">
        <f>6582.1*1000</f>
        <v>6582100</v>
      </c>
      <c r="T262" s="14">
        <f>1872*1000</f>
        <v>1872000</v>
      </c>
      <c r="U262" s="19">
        <f t="shared" si="21"/>
        <v>0.2844077118244937</v>
      </c>
      <c r="V262" s="41">
        <f t="shared" si="24"/>
        <v>-71.559228817550633</v>
      </c>
      <c r="W262" s="14"/>
      <c r="X262" s="17" t="s">
        <v>58</v>
      </c>
      <c r="Y262" s="14">
        <v>28</v>
      </c>
      <c r="Z262" s="14" t="s">
        <v>58</v>
      </c>
      <c r="AA262" s="14"/>
      <c r="AB262" s="14" t="s">
        <v>57</v>
      </c>
      <c r="AC262" s="14">
        <v>2004</v>
      </c>
      <c r="AD262" s="14">
        <v>8</v>
      </c>
      <c r="AE262" s="14"/>
      <c r="AF262" s="14"/>
      <c r="AG262" s="14">
        <v>1987</v>
      </c>
      <c r="AH262" s="14">
        <f t="shared" si="22"/>
        <v>17</v>
      </c>
      <c r="AI262" s="17">
        <f t="shared" si="23"/>
        <v>25</v>
      </c>
      <c r="AJ262" s="14"/>
      <c r="AK262" s="14" t="s">
        <v>58</v>
      </c>
      <c r="AL262" s="13" t="s">
        <v>1071</v>
      </c>
      <c r="AM262" s="12">
        <v>2014</v>
      </c>
      <c r="AN262" s="12" t="s">
        <v>1072</v>
      </c>
      <c r="AO262" s="12" t="s">
        <v>56</v>
      </c>
      <c r="AP262" s="12"/>
      <c r="AQ262" s="12" t="s">
        <v>56</v>
      </c>
      <c r="AR262" s="12" t="s">
        <v>58</v>
      </c>
      <c r="AS262" s="12" t="s">
        <v>163</v>
      </c>
      <c r="AT262" s="12"/>
      <c r="AU262" s="45" t="s">
        <v>2631</v>
      </c>
      <c r="AV262" s="15"/>
      <c r="AW262" s="12" t="str">
        <f>B262&amp;C262&amp;L262&amp;M262&amp;O262&amp;U262&amp;AL262&amp;AM262</f>
        <v>AustraliaKeppel Island Group 1987 Reserve NetworkPlanktivorous pomacentridsdensity0.284407711824494Williamson 2014</v>
      </c>
    </row>
    <row r="263" spans="1:49" ht="14.25" customHeight="1" x14ac:dyDescent="0.35">
      <c r="A263" s="12">
        <v>262</v>
      </c>
      <c r="B263" s="12" t="s">
        <v>66</v>
      </c>
      <c r="C263" s="12" t="s">
        <v>2630</v>
      </c>
      <c r="D263" s="12" t="s">
        <v>888</v>
      </c>
      <c r="E263" s="12" t="s">
        <v>1069</v>
      </c>
      <c r="F263" s="13" t="s">
        <v>571</v>
      </c>
      <c r="G263" s="13" t="s">
        <v>51</v>
      </c>
      <c r="H263" s="13" t="s">
        <v>52</v>
      </c>
      <c r="I263" s="13" t="s">
        <v>156</v>
      </c>
      <c r="J263" s="14">
        <v>1.96</v>
      </c>
      <c r="K263" s="17"/>
      <c r="L263" s="14"/>
      <c r="M263" s="14" t="s">
        <v>1076</v>
      </c>
      <c r="N263" s="14" t="s">
        <v>407</v>
      </c>
      <c r="O263" s="17" t="s">
        <v>86</v>
      </c>
      <c r="P263" s="14"/>
      <c r="Q263" s="14">
        <f>18659*1000</f>
        <v>18659000</v>
      </c>
      <c r="R263" s="14">
        <f>12198*1000</f>
        <v>12198000</v>
      </c>
      <c r="S263" s="14">
        <f>6582.1*1000</f>
        <v>6582100</v>
      </c>
      <c r="T263" s="14">
        <f>7367.1*1000</f>
        <v>7367100</v>
      </c>
      <c r="U263" s="19">
        <f t="shared" si="21"/>
        <v>1.7121106332200751</v>
      </c>
      <c r="V263" s="41">
        <f t="shared" si="24"/>
        <v>71.211063322007504</v>
      </c>
      <c r="W263" s="14"/>
      <c r="X263" s="17" t="s">
        <v>58</v>
      </c>
      <c r="Y263" s="14">
        <v>28</v>
      </c>
      <c r="Z263" s="14" t="s">
        <v>58</v>
      </c>
      <c r="AA263" s="14"/>
      <c r="AB263" s="14" t="s">
        <v>111</v>
      </c>
      <c r="AC263" s="14">
        <v>2004</v>
      </c>
      <c r="AD263" s="14">
        <v>8</v>
      </c>
      <c r="AE263" s="14"/>
      <c r="AF263" s="14"/>
      <c r="AG263" s="14">
        <v>2004</v>
      </c>
      <c r="AH263" s="14">
        <f t="shared" si="22"/>
        <v>0</v>
      </c>
      <c r="AI263" s="17">
        <f t="shared" si="23"/>
        <v>8</v>
      </c>
      <c r="AJ263" s="14"/>
      <c r="AK263" s="14" t="s">
        <v>58</v>
      </c>
      <c r="AL263" s="13" t="s">
        <v>1071</v>
      </c>
      <c r="AM263" s="12">
        <v>2014</v>
      </c>
      <c r="AN263" s="12" t="s">
        <v>1072</v>
      </c>
      <c r="AO263" s="12" t="s">
        <v>56</v>
      </c>
      <c r="AP263" s="12"/>
      <c r="AQ263" s="12" t="s">
        <v>56</v>
      </c>
      <c r="AR263" s="12" t="s">
        <v>58</v>
      </c>
      <c r="AS263" s="12" t="s">
        <v>163</v>
      </c>
      <c r="AT263" s="12"/>
      <c r="AU263" s="45" t="s">
        <v>2631</v>
      </c>
      <c r="AV263" s="15"/>
      <c r="AW263" s="12" t="str">
        <f>B263&amp;C263&amp;L263&amp;M263&amp;O263&amp;U263&amp;AL263&amp;AM263</f>
        <v>AustraliaKeppel Island Group 2004 Reserve NetowrkPlanktivorous pomacentridsdensity1.71211063322008Williamson 2014</v>
      </c>
    </row>
    <row r="264" spans="1:49" ht="14.25" customHeight="1" x14ac:dyDescent="0.35">
      <c r="A264" s="12">
        <v>263</v>
      </c>
      <c r="B264" s="12" t="s">
        <v>66</v>
      </c>
      <c r="C264" s="12" t="s">
        <v>2629</v>
      </c>
      <c r="D264" s="12" t="s">
        <v>888</v>
      </c>
      <c r="E264" s="12" t="s">
        <v>1069</v>
      </c>
      <c r="F264" s="13" t="s">
        <v>571</v>
      </c>
      <c r="G264" s="13" t="s">
        <v>51</v>
      </c>
      <c r="H264" s="13" t="s">
        <v>52</v>
      </c>
      <c r="I264" s="13" t="s">
        <v>156</v>
      </c>
      <c r="J264" s="14">
        <v>0.7</v>
      </c>
      <c r="K264" s="17"/>
      <c r="L264" s="14"/>
      <c r="M264" s="14" t="s">
        <v>1077</v>
      </c>
      <c r="N264" s="14" t="s">
        <v>407</v>
      </c>
      <c r="O264" s="17" t="s">
        <v>86</v>
      </c>
      <c r="P264" s="14"/>
      <c r="Q264" s="14"/>
      <c r="R264" s="14"/>
      <c r="S264" s="14">
        <f>295.84*1000</f>
        <v>295840</v>
      </c>
      <c r="T264" s="14">
        <f>316.86*1000</f>
        <v>316860</v>
      </c>
      <c r="U264" s="19">
        <f t="shared" si="21"/>
        <v>1.0710519199567334</v>
      </c>
      <c r="V264" s="41">
        <f t="shared" si="24"/>
        <v>7.1051919956733434</v>
      </c>
      <c r="W264" s="14"/>
      <c r="X264" s="17" t="s">
        <v>58</v>
      </c>
      <c r="Y264" s="14">
        <v>28</v>
      </c>
      <c r="Z264" s="14" t="s">
        <v>58</v>
      </c>
      <c r="AA264" s="14"/>
      <c r="AB264" s="14" t="s">
        <v>57</v>
      </c>
      <c r="AC264" s="14">
        <v>2004</v>
      </c>
      <c r="AD264" s="14">
        <v>8</v>
      </c>
      <c r="AE264" s="14"/>
      <c r="AF264" s="14"/>
      <c r="AG264" s="14">
        <v>1987</v>
      </c>
      <c r="AH264" s="14">
        <f t="shared" si="22"/>
        <v>17</v>
      </c>
      <c r="AI264" s="17">
        <f t="shared" si="23"/>
        <v>25</v>
      </c>
      <c r="AJ264" s="14"/>
      <c r="AK264" s="14" t="s">
        <v>58</v>
      </c>
      <c r="AL264" s="13" t="s">
        <v>1071</v>
      </c>
      <c r="AM264" s="12">
        <v>2014</v>
      </c>
      <c r="AN264" s="12" t="s">
        <v>1072</v>
      </c>
      <c r="AO264" s="12" t="s">
        <v>56</v>
      </c>
      <c r="AP264" s="12"/>
      <c r="AQ264" s="12" t="s">
        <v>56</v>
      </c>
      <c r="AR264" s="12" t="s">
        <v>58</v>
      </c>
      <c r="AS264" s="12" t="s">
        <v>163</v>
      </c>
      <c r="AT264" s="12"/>
      <c r="AU264" s="45" t="s">
        <v>2631</v>
      </c>
      <c r="AV264" s="15"/>
      <c r="AW264" s="12" t="str">
        <f>B264&amp;C264&amp;L264&amp;M264&amp;O264&amp;U264&amp;AL264&amp;AM264</f>
        <v>AustraliaKeppel Island Group 1987 Reserve NetworkTerritorial pomacentridsdensity1.07105191995673Williamson 2014</v>
      </c>
    </row>
    <row r="265" spans="1:49" ht="14.25" customHeight="1" x14ac:dyDescent="0.35">
      <c r="A265" s="12">
        <v>264</v>
      </c>
      <c r="B265" s="15" t="s">
        <v>66</v>
      </c>
      <c r="C265" s="15" t="s">
        <v>2630</v>
      </c>
      <c r="D265" s="12" t="s">
        <v>888</v>
      </c>
      <c r="E265" s="12" t="s">
        <v>1069</v>
      </c>
      <c r="F265" s="13" t="s">
        <v>571</v>
      </c>
      <c r="G265" s="13" t="s">
        <v>51</v>
      </c>
      <c r="H265" s="16" t="s">
        <v>52</v>
      </c>
      <c r="I265" s="16" t="s">
        <v>156</v>
      </c>
      <c r="J265" s="17">
        <v>1.96</v>
      </c>
      <c r="K265" s="17"/>
      <c r="L265" s="17"/>
      <c r="M265" s="17" t="s">
        <v>1077</v>
      </c>
      <c r="N265" s="17" t="s">
        <v>407</v>
      </c>
      <c r="O265" s="17" t="s">
        <v>86</v>
      </c>
      <c r="P265" s="17"/>
      <c r="Q265" s="17">
        <f>232.79*1000</f>
        <v>232790</v>
      </c>
      <c r="R265" s="17">
        <f>520.55*1000</f>
        <v>520549.99999999994</v>
      </c>
      <c r="S265" s="17">
        <f>295.84*1000</f>
        <v>295840</v>
      </c>
      <c r="T265" s="17">
        <f>451.04*1000</f>
        <v>451040</v>
      </c>
      <c r="U265" s="19">
        <f t="shared" si="21"/>
        <v>0.68180476831640868</v>
      </c>
      <c r="V265" s="41">
        <f t="shared" si="24"/>
        <v>-31.819523168359133</v>
      </c>
      <c r="W265" s="14"/>
      <c r="X265" s="17" t="s">
        <v>58</v>
      </c>
      <c r="Y265" s="14">
        <v>28</v>
      </c>
      <c r="Z265" s="17" t="s">
        <v>58</v>
      </c>
      <c r="AA265" s="17"/>
      <c r="AB265" s="17" t="s">
        <v>111</v>
      </c>
      <c r="AC265" s="17">
        <v>2004</v>
      </c>
      <c r="AD265" s="17">
        <v>8</v>
      </c>
      <c r="AE265" s="17"/>
      <c r="AF265" s="17"/>
      <c r="AG265" s="17">
        <v>2004</v>
      </c>
      <c r="AH265" s="14">
        <f t="shared" si="22"/>
        <v>0</v>
      </c>
      <c r="AI265" s="17">
        <f t="shared" si="23"/>
        <v>8</v>
      </c>
      <c r="AJ265" s="17"/>
      <c r="AK265" s="17" t="s">
        <v>58</v>
      </c>
      <c r="AL265" s="16" t="s">
        <v>1071</v>
      </c>
      <c r="AM265" s="15">
        <v>2014</v>
      </c>
      <c r="AN265" s="15" t="s">
        <v>1072</v>
      </c>
      <c r="AO265" s="15" t="s">
        <v>56</v>
      </c>
      <c r="AP265" s="15"/>
      <c r="AQ265" s="15" t="s">
        <v>56</v>
      </c>
      <c r="AR265" s="15" t="s">
        <v>58</v>
      </c>
      <c r="AS265" s="15" t="s">
        <v>163</v>
      </c>
      <c r="AT265" s="12"/>
      <c r="AU265" s="45" t="s">
        <v>2631</v>
      </c>
      <c r="AV265" s="15"/>
      <c r="AW265" s="12" t="str">
        <f>B265&amp;C265&amp;L265&amp;M265&amp;O265&amp;U265&amp;AL265&amp;AM265</f>
        <v>AustraliaKeppel Island Group 2004 Reserve NetowrkTerritorial pomacentridsdensity0.681804768316409Williamson 2014</v>
      </c>
    </row>
    <row r="266" spans="1:49" ht="14.25" customHeight="1" x14ac:dyDescent="0.35">
      <c r="A266" s="12">
        <v>265</v>
      </c>
      <c r="B266" s="12" t="s">
        <v>66</v>
      </c>
      <c r="C266" s="12" t="s">
        <v>2629</v>
      </c>
      <c r="D266" s="12" t="s">
        <v>888</v>
      </c>
      <c r="E266" s="12" t="s">
        <v>1069</v>
      </c>
      <c r="F266" s="13" t="s">
        <v>571</v>
      </c>
      <c r="G266" s="13" t="s">
        <v>51</v>
      </c>
      <c r="H266" s="13" t="s">
        <v>52</v>
      </c>
      <c r="I266" s="13" t="s">
        <v>156</v>
      </c>
      <c r="J266" s="14">
        <v>0.7</v>
      </c>
      <c r="K266" s="17"/>
      <c r="L266" s="14"/>
      <c r="M266" s="14" t="s">
        <v>1078</v>
      </c>
      <c r="N266" s="14" t="s">
        <v>407</v>
      </c>
      <c r="O266" s="17" t="s">
        <v>86</v>
      </c>
      <c r="P266" s="14"/>
      <c r="Q266" s="14"/>
      <c r="R266" s="14"/>
      <c r="S266" s="14">
        <f>55.83*1000</f>
        <v>55830</v>
      </c>
      <c r="T266" s="14">
        <f>40*1000</f>
        <v>40000</v>
      </c>
      <c r="U266" s="19">
        <f t="shared" si="21"/>
        <v>0.71646068421995346</v>
      </c>
      <c r="V266" s="41">
        <f t="shared" si="24"/>
        <v>-28.353931578004655</v>
      </c>
      <c r="W266" s="14"/>
      <c r="X266" s="14" t="s">
        <v>58</v>
      </c>
      <c r="Y266" s="14">
        <v>28</v>
      </c>
      <c r="Z266" s="14" t="s">
        <v>58</v>
      </c>
      <c r="AA266" s="14"/>
      <c r="AB266" s="14" t="s">
        <v>57</v>
      </c>
      <c r="AC266" s="14">
        <v>2004</v>
      </c>
      <c r="AD266" s="14">
        <v>8</v>
      </c>
      <c r="AE266" s="14"/>
      <c r="AF266" s="14"/>
      <c r="AG266" s="14">
        <v>1987</v>
      </c>
      <c r="AH266" s="14">
        <f t="shared" si="22"/>
        <v>17</v>
      </c>
      <c r="AI266" s="17">
        <f t="shared" si="23"/>
        <v>25</v>
      </c>
      <c r="AJ266" s="14"/>
      <c r="AK266" s="14" t="s">
        <v>58</v>
      </c>
      <c r="AL266" s="13" t="s">
        <v>1071</v>
      </c>
      <c r="AM266" s="12">
        <v>2014</v>
      </c>
      <c r="AN266" s="12" t="s">
        <v>1072</v>
      </c>
      <c r="AO266" s="12" t="s">
        <v>56</v>
      </c>
      <c r="AP266" s="12"/>
      <c r="AQ266" s="12" t="s">
        <v>56</v>
      </c>
      <c r="AR266" s="12" t="s">
        <v>58</v>
      </c>
      <c r="AS266" s="12" t="s">
        <v>163</v>
      </c>
      <c r="AT266" s="12"/>
      <c r="AU266" s="45" t="s">
        <v>2631</v>
      </c>
      <c r="AV266" s="15"/>
      <c r="AW266" s="12" t="str">
        <f>B266&amp;C266&amp;L266&amp;M266&amp;O266&amp;U266&amp;AL266&amp;AM266</f>
        <v>AustraliaKeppel Island Group 1987 Reserve NetworkIntermediate predatorsdensity0.716460684219953Williamson 2014</v>
      </c>
    </row>
    <row r="267" spans="1:49" ht="14.25" customHeight="1" x14ac:dyDescent="0.35">
      <c r="A267" s="12">
        <v>266</v>
      </c>
      <c r="B267" s="15" t="s">
        <v>66</v>
      </c>
      <c r="C267" s="15" t="s">
        <v>2630</v>
      </c>
      <c r="D267" s="15" t="s">
        <v>888</v>
      </c>
      <c r="E267" s="15" t="s">
        <v>1069</v>
      </c>
      <c r="F267" s="13" t="s">
        <v>571</v>
      </c>
      <c r="G267" s="13" t="s">
        <v>51</v>
      </c>
      <c r="H267" s="16" t="s">
        <v>52</v>
      </c>
      <c r="I267" s="16" t="s">
        <v>156</v>
      </c>
      <c r="J267" s="17">
        <v>1.96</v>
      </c>
      <c r="K267" s="17"/>
      <c r="L267" s="17"/>
      <c r="M267" s="17" t="s">
        <v>1078</v>
      </c>
      <c r="N267" s="17" t="s">
        <v>407</v>
      </c>
      <c r="O267" s="17" t="s">
        <v>86</v>
      </c>
      <c r="P267" s="17"/>
      <c r="Q267" s="17">
        <f>87.92*1000</f>
        <v>87920</v>
      </c>
      <c r="R267" s="17">
        <f>35*1000</f>
        <v>35000</v>
      </c>
      <c r="S267" s="17">
        <f>55.83*1000</f>
        <v>55830</v>
      </c>
      <c r="T267" s="17">
        <f>24.17*1000</f>
        <v>24170</v>
      </c>
      <c r="U267" s="20">
        <f t="shared" si="21"/>
        <v>1.0874984775210461</v>
      </c>
      <c r="V267" s="22">
        <f t="shared" si="24"/>
        <v>8.7498477521046105</v>
      </c>
      <c r="W267" s="17"/>
      <c r="X267" s="14" t="s">
        <v>58</v>
      </c>
      <c r="Y267" s="14">
        <v>28</v>
      </c>
      <c r="Z267" s="17" t="s">
        <v>58</v>
      </c>
      <c r="AA267" s="17"/>
      <c r="AB267" s="17" t="s">
        <v>111</v>
      </c>
      <c r="AC267" s="17">
        <v>2004</v>
      </c>
      <c r="AD267" s="17">
        <v>8</v>
      </c>
      <c r="AE267" s="17"/>
      <c r="AF267" s="17"/>
      <c r="AG267" s="17">
        <v>2004</v>
      </c>
      <c r="AH267" s="14">
        <f t="shared" si="22"/>
        <v>0</v>
      </c>
      <c r="AI267" s="17">
        <f t="shared" si="23"/>
        <v>8</v>
      </c>
      <c r="AJ267" s="17"/>
      <c r="AK267" s="17" t="s">
        <v>58</v>
      </c>
      <c r="AL267" s="16" t="s">
        <v>1071</v>
      </c>
      <c r="AM267" s="15">
        <v>2014</v>
      </c>
      <c r="AN267" s="15" t="s">
        <v>1072</v>
      </c>
      <c r="AO267" s="15" t="s">
        <v>56</v>
      </c>
      <c r="AP267" s="15"/>
      <c r="AQ267" s="15" t="s">
        <v>56</v>
      </c>
      <c r="AR267" s="15" t="s">
        <v>58</v>
      </c>
      <c r="AS267" s="15" t="s">
        <v>163</v>
      </c>
      <c r="AT267" s="15"/>
      <c r="AU267" s="45" t="s">
        <v>2631</v>
      </c>
      <c r="AV267" s="15"/>
      <c r="AW267" s="12" t="str">
        <f>B267&amp;C267&amp;L267&amp;M267&amp;O267&amp;U267&amp;AL267&amp;AM267</f>
        <v>AustraliaKeppel Island Group 2004 Reserve NetowrkIntermediate predatorsdensity1.08749847752105Williamson 2014</v>
      </c>
    </row>
    <row r="268" spans="1:49" ht="14.25" customHeight="1" x14ac:dyDescent="0.35">
      <c r="A268" s="12">
        <v>267</v>
      </c>
      <c r="B268" s="12" t="s">
        <v>66</v>
      </c>
      <c r="C268" s="12" t="s">
        <v>2629</v>
      </c>
      <c r="D268" s="15" t="s">
        <v>888</v>
      </c>
      <c r="E268" s="12" t="s">
        <v>1069</v>
      </c>
      <c r="F268" s="13" t="s">
        <v>571</v>
      </c>
      <c r="G268" s="13" t="s">
        <v>51</v>
      </c>
      <c r="H268" s="13" t="s">
        <v>52</v>
      </c>
      <c r="I268" s="13" t="s">
        <v>156</v>
      </c>
      <c r="J268" s="14">
        <v>0.7</v>
      </c>
      <c r="K268" s="17"/>
      <c r="L268" s="14"/>
      <c r="M268" s="14" t="s">
        <v>1079</v>
      </c>
      <c r="N268" s="14" t="s">
        <v>407</v>
      </c>
      <c r="O268" s="17" t="s">
        <v>86</v>
      </c>
      <c r="P268" s="14"/>
      <c r="Q268" s="14"/>
      <c r="R268" s="14"/>
      <c r="S268" s="14">
        <f>7.36*1000</f>
        <v>7360</v>
      </c>
      <c r="T268" s="14">
        <f>11.68*1000</f>
        <v>11680</v>
      </c>
      <c r="U268" s="19">
        <f t="shared" si="21"/>
        <v>1.5869565217391304</v>
      </c>
      <c r="V268" s="41">
        <f t="shared" si="24"/>
        <v>58.695652173913039</v>
      </c>
      <c r="W268" s="14"/>
      <c r="X268" s="14" t="s">
        <v>58</v>
      </c>
      <c r="Y268" s="14">
        <v>28</v>
      </c>
      <c r="Z268" s="14" t="s">
        <v>58</v>
      </c>
      <c r="AA268" s="14"/>
      <c r="AB268" s="14" t="s">
        <v>57</v>
      </c>
      <c r="AC268" s="14">
        <v>2004</v>
      </c>
      <c r="AD268" s="14">
        <v>8</v>
      </c>
      <c r="AE268" s="14"/>
      <c r="AF268" s="14"/>
      <c r="AG268" s="14">
        <v>1987</v>
      </c>
      <c r="AH268" s="14">
        <f t="shared" si="22"/>
        <v>17</v>
      </c>
      <c r="AI268" s="17">
        <f t="shared" si="23"/>
        <v>25</v>
      </c>
      <c r="AJ268" s="14"/>
      <c r="AK268" s="14" t="s">
        <v>58</v>
      </c>
      <c r="AL268" s="13" t="s">
        <v>1071</v>
      </c>
      <c r="AM268" s="12">
        <v>2014</v>
      </c>
      <c r="AN268" s="12" t="s">
        <v>1072</v>
      </c>
      <c r="AO268" s="12" t="s">
        <v>56</v>
      </c>
      <c r="AP268" s="12"/>
      <c r="AQ268" s="12" t="s">
        <v>56</v>
      </c>
      <c r="AR268" s="12" t="s">
        <v>58</v>
      </c>
      <c r="AS268" s="12" t="s">
        <v>163</v>
      </c>
      <c r="AT268" s="12"/>
      <c r="AU268" s="45" t="s">
        <v>2631</v>
      </c>
      <c r="AV268" s="15"/>
      <c r="AW268" s="12" t="str">
        <f>B268&amp;C268&amp;L268&amp;M268&amp;O268&amp;U268&amp;AL268&amp;AM268</f>
        <v>AustraliaKeppel Island Group 1987 Reserve NetworkLarge predatorsdensity1.58695652173913Williamson 2014</v>
      </c>
    </row>
    <row r="269" spans="1:49" ht="14.25" customHeight="1" x14ac:dyDescent="0.35">
      <c r="A269" s="12">
        <v>268</v>
      </c>
      <c r="B269" s="15" t="s">
        <v>66</v>
      </c>
      <c r="C269" s="15" t="s">
        <v>2630</v>
      </c>
      <c r="D269" s="15" t="s">
        <v>888</v>
      </c>
      <c r="E269" s="15" t="s">
        <v>1069</v>
      </c>
      <c r="F269" s="16" t="s">
        <v>571</v>
      </c>
      <c r="G269" s="16" t="s">
        <v>51</v>
      </c>
      <c r="H269" s="16" t="s">
        <v>52</v>
      </c>
      <c r="I269" s="16" t="s">
        <v>156</v>
      </c>
      <c r="J269" s="17">
        <v>1.96</v>
      </c>
      <c r="K269" s="17"/>
      <c r="L269" s="17"/>
      <c r="M269" s="17" t="s">
        <v>1079</v>
      </c>
      <c r="N269" s="17" t="s">
        <v>407</v>
      </c>
      <c r="O269" s="17" t="s">
        <v>86</v>
      </c>
      <c r="P269" s="17"/>
      <c r="Q269" s="17">
        <f>15.45*1000</f>
        <v>15450</v>
      </c>
      <c r="R269" s="17">
        <f>30.35*1000</f>
        <v>30350</v>
      </c>
      <c r="S269" s="17">
        <f>7.36*1000</f>
        <v>7360</v>
      </c>
      <c r="T269" s="17">
        <f>22.35*1000</f>
        <v>22350</v>
      </c>
      <c r="U269" s="20">
        <f t="shared" si="21"/>
        <v>1.5458576570446243</v>
      </c>
      <c r="V269" s="22">
        <f t="shared" si="24"/>
        <v>54.585765704462432</v>
      </c>
      <c r="W269" s="17"/>
      <c r="X269" s="17" t="s">
        <v>58</v>
      </c>
      <c r="Y269" s="17">
        <v>28</v>
      </c>
      <c r="Z269" s="17" t="s">
        <v>58</v>
      </c>
      <c r="AA269" s="17"/>
      <c r="AB269" s="17" t="s">
        <v>111</v>
      </c>
      <c r="AC269" s="17">
        <v>2004</v>
      </c>
      <c r="AD269" s="17">
        <v>8</v>
      </c>
      <c r="AE269" s="17"/>
      <c r="AF269" s="17"/>
      <c r="AG269" s="17">
        <v>2004</v>
      </c>
      <c r="AH269" s="14">
        <f t="shared" si="22"/>
        <v>0</v>
      </c>
      <c r="AI269" s="17">
        <f t="shared" si="23"/>
        <v>8</v>
      </c>
      <c r="AJ269" s="17"/>
      <c r="AK269" s="17" t="s">
        <v>58</v>
      </c>
      <c r="AL269" s="16" t="s">
        <v>1071</v>
      </c>
      <c r="AM269" s="15">
        <v>2014</v>
      </c>
      <c r="AN269" s="15" t="s">
        <v>1072</v>
      </c>
      <c r="AO269" s="15" t="s">
        <v>56</v>
      </c>
      <c r="AP269" s="15"/>
      <c r="AQ269" s="15" t="s">
        <v>56</v>
      </c>
      <c r="AR269" s="15" t="s">
        <v>58</v>
      </c>
      <c r="AS269" s="15" t="s">
        <v>163</v>
      </c>
      <c r="AT269" s="15"/>
      <c r="AU269" s="45" t="s">
        <v>2631</v>
      </c>
      <c r="AV269" s="15"/>
      <c r="AW269" s="12" t="str">
        <f>B269&amp;C269&amp;L269&amp;M269&amp;O269&amp;U269&amp;AL269&amp;AM269</f>
        <v>AustraliaKeppel Island Group 2004 Reserve NetowrkLarge predatorsdensity1.54585765704462Williamson 2014</v>
      </c>
    </row>
    <row r="270" spans="1:49" ht="14.25" customHeight="1" x14ac:dyDescent="0.35">
      <c r="A270" s="12">
        <v>269</v>
      </c>
      <c r="B270" s="12" t="s">
        <v>66</v>
      </c>
      <c r="C270" s="12" t="s">
        <v>2629</v>
      </c>
      <c r="D270" s="12" t="s">
        <v>888</v>
      </c>
      <c r="E270" s="12" t="s">
        <v>1069</v>
      </c>
      <c r="F270" s="13" t="s">
        <v>571</v>
      </c>
      <c r="G270" s="13" t="s">
        <v>51</v>
      </c>
      <c r="H270" s="13" t="s">
        <v>52</v>
      </c>
      <c r="I270" s="13" t="s">
        <v>156</v>
      </c>
      <c r="J270" s="14">
        <v>0.7</v>
      </c>
      <c r="K270" s="17"/>
      <c r="L270" s="14" t="s">
        <v>185</v>
      </c>
      <c r="M270" s="14" t="s">
        <v>582</v>
      </c>
      <c r="N270" s="14" t="s">
        <v>288</v>
      </c>
      <c r="O270" s="17" t="s">
        <v>101</v>
      </c>
      <c r="P270" s="14"/>
      <c r="Q270" s="14"/>
      <c r="R270" s="14"/>
      <c r="S270" s="14">
        <v>43</v>
      </c>
      <c r="T270" s="14">
        <v>36</v>
      </c>
      <c r="U270" s="19">
        <f t="shared" si="21"/>
        <v>0.83720930232558144</v>
      </c>
      <c r="V270" s="41">
        <f t="shared" si="24"/>
        <v>-16.279069767441857</v>
      </c>
      <c r="W270" s="14"/>
      <c r="X270" s="14" t="s">
        <v>58</v>
      </c>
      <c r="Y270" s="14">
        <v>28</v>
      </c>
      <c r="Z270" s="14" t="s">
        <v>58</v>
      </c>
      <c r="AA270" s="14"/>
      <c r="AB270" s="14" t="s">
        <v>57</v>
      </c>
      <c r="AC270" s="14">
        <v>2004</v>
      </c>
      <c r="AD270" s="14">
        <v>8</v>
      </c>
      <c r="AE270" s="14"/>
      <c r="AF270" s="14"/>
      <c r="AG270" s="14">
        <v>1987</v>
      </c>
      <c r="AH270" s="14">
        <f t="shared" si="22"/>
        <v>17</v>
      </c>
      <c r="AI270" s="17">
        <f t="shared" si="23"/>
        <v>25</v>
      </c>
      <c r="AJ270" s="14"/>
      <c r="AK270" s="14" t="s">
        <v>58</v>
      </c>
      <c r="AL270" s="13" t="s">
        <v>1071</v>
      </c>
      <c r="AM270" s="12">
        <v>2014</v>
      </c>
      <c r="AN270" s="12" t="s">
        <v>1072</v>
      </c>
      <c r="AO270" s="12" t="s">
        <v>56</v>
      </c>
      <c r="AP270" s="12"/>
      <c r="AQ270" s="12" t="s">
        <v>56</v>
      </c>
      <c r="AR270" s="12" t="s">
        <v>58</v>
      </c>
      <c r="AS270" s="12" t="s">
        <v>163</v>
      </c>
      <c r="AT270" s="12"/>
      <c r="AU270" s="45" t="s">
        <v>2631</v>
      </c>
      <c r="AV270" s="15"/>
      <c r="AW270" s="12" t="str">
        <f>B270&amp;C270&amp;L270&amp;M270&amp;O270&amp;U270&amp;AL270&amp;AM270</f>
        <v>AustraliaKeppel Island Group 1987 Reserve NetworkScleractiniaLive hard coralcover0.837209302325581Williamson 2014</v>
      </c>
    </row>
    <row r="271" spans="1:49" ht="14.25" customHeight="1" x14ac:dyDescent="0.35">
      <c r="A271" s="12">
        <v>270</v>
      </c>
      <c r="B271" s="12" t="s">
        <v>66</v>
      </c>
      <c r="C271" s="12" t="s">
        <v>2630</v>
      </c>
      <c r="D271" s="12" t="s">
        <v>888</v>
      </c>
      <c r="E271" s="12" t="s">
        <v>1069</v>
      </c>
      <c r="F271" s="13" t="s">
        <v>571</v>
      </c>
      <c r="G271" s="13" t="s">
        <v>51</v>
      </c>
      <c r="H271" s="13" t="s">
        <v>52</v>
      </c>
      <c r="I271" s="13" t="s">
        <v>156</v>
      </c>
      <c r="J271" s="14">
        <v>1.96</v>
      </c>
      <c r="K271" s="17"/>
      <c r="L271" s="17" t="s">
        <v>185</v>
      </c>
      <c r="M271" s="14" t="s">
        <v>582</v>
      </c>
      <c r="N271" s="14" t="s">
        <v>288</v>
      </c>
      <c r="O271" s="17" t="s">
        <v>101</v>
      </c>
      <c r="P271" s="14"/>
      <c r="Q271" s="14">
        <v>64</v>
      </c>
      <c r="R271" s="14">
        <v>61</v>
      </c>
      <c r="S271" s="14">
        <v>43</v>
      </c>
      <c r="T271" s="14">
        <v>33</v>
      </c>
      <c r="U271" s="19">
        <f t="shared" si="21"/>
        <v>0.80518490278307286</v>
      </c>
      <c r="V271" s="41">
        <f t="shared" si="24"/>
        <v>-19.481509721692714</v>
      </c>
      <c r="W271" s="14"/>
      <c r="X271" s="14" t="s">
        <v>58</v>
      </c>
      <c r="Y271" s="14">
        <v>28</v>
      </c>
      <c r="Z271" s="14" t="s">
        <v>58</v>
      </c>
      <c r="AA271" s="14"/>
      <c r="AB271" s="14" t="s">
        <v>111</v>
      </c>
      <c r="AC271" s="14">
        <v>2004</v>
      </c>
      <c r="AD271" s="14">
        <v>8</v>
      </c>
      <c r="AE271" s="14"/>
      <c r="AF271" s="14"/>
      <c r="AG271" s="14">
        <v>2004</v>
      </c>
      <c r="AH271" s="14">
        <f t="shared" si="22"/>
        <v>0</v>
      </c>
      <c r="AI271" s="17">
        <f t="shared" si="23"/>
        <v>8</v>
      </c>
      <c r="AJ271" s="14"/>
      <c r="AK271" s="14" t="s">
        <v>58</v>
      </c>
      <c r="AL271" s="13" t="s">
        <v>1071</v>
      </c>
      <c r="AM271" s="12">
        <v>2014</v>
      </c>
      <c r="AN271" s="12" t="s">
        <v>1072</v>
      </c>
      <c r="AO271" s="12" t="s">
        <v>56</v>
      </c>
      <c r="AP271" s="12"/>
      <c r="AQ271" s="12" t="s">
        <v>56</v>
      </c>
      <c r="AR271" s="12" t="s">
        <v>58</v>
      </c>
      <c r="AS271" s="12" t="s">
        <v>163</v>
      </c>
      <c r="AT271" s="12"/>
      <c r="AU271" s="45" t="s">
        <v>2631</v>
      </c>
      <c r="AV271" s="15"/>
      <c r="AW271" s="12" t="str">
        <f>B271&amp;C271&amp;L271&amp;M271&amp;O271&amp;U271&amp;AL271&amp;AM271</f>
        <v>AustraliaKeppel Island Group 2004 Reserve NetowrkScleractiniaLive hard coralcover0.805184902783073Williamson 2014</v>
      </c>
    </row>
    <row r="272" spans="1:49" ht="14.25" customHeight="1" x14ac:dyDescent="0.35">
      <c r="A272" s="12">
        <v>271</v>
      </c>
      <c r="B272" s="12" t="s">
        <v>66</v>
      </c>
      <c r="C272" s="12" t="s">
        <v>1298</v>
      </c>
      <c r="D272" s="12" t="s">
        <v>1298</v>
      </c>
      <c r="E272" s="12" t="s">
        <v>1326</v>
      </c>
      <c r="F272" s="13" t="s">
        <v>50</v>
      </c>
      <c r="G272" s="13" t="s">
        <v>51</v>
      </c>
      <c r="H272" s="13" t="s">
        <v>52</v>
      </c>
      <c r="I272" s="13" t="s">
        <v>53</v>
      </c>
      <c r="K272" s="14">
        <v>12</v>
      </c>
      <c r="L272" s="14" t="s">
        <v>1062</v>
      </c>
      <c r="M272" s="14" t="s">
        <v>876</v>
      </c>
      <c r="N272" s="14" t="s">
        <v>85</v>
      </c>
      <c r="O272" s="17" t="s">
        <v>86</v>
      </c>
      <c r="P272" s="14"/>
      <c r="Q272" s="14">
        <v>1.1499999999999999</v>
      </c>
      <c r="R272" s="14">
        <v>1</v>
      </c>
      <c r="S272" s="14">
        <v>1.1499999999999999</v>
      </c>
      <c r="T272" s="14">
        <v>2.35</v>
      </c>
      <c r="U272" s="19">
        <f t="shared" si="21"/>
        <v>2.35</v>
      </c>
      <c r="V272" s="41">
        <f t="shared" si="24"/>
        <v>135</v>
      </c>
      <c r="W272" s="14"/>
      <c r="X272" s="14" t="s">
        <v>56</v>
      </c>
      <c r="Z272" s="14" t="s">
        <v>56</v>
      </c>
      <c r="AA272" s="14"/>
      <c r="AB272" s="14" t="s">
        <v>111</v>
      </c>
      <c r="AC272" s="14">
        <v>1992</v>
      </c>
      <c r="AD272" s="14">
        <v>10</v>
      </c>
      <c r="AE272" s="14"/>
      <c r="AF272" s="14"/>
      <c r="AG272" s="14">
        <v>1992</v>
      </c>
      <c r="AH272" s="14">
        <f t="shared" si="22"/>
        <v>0</v>
      </c>
      <c r="AI272" s="17">
        <f t="shared" si="23"/>
        <v>10</v>
      </c>
      <c r="AJ272" s="14"/>
      <c r="AK272" s="14" t="s">
        <v>58</v>
      </c>
      <c r="AL272" s="13" t="s">
        <v>859</v>
      </c>
      <c r="AM272" s="12">
        <v>2007</v>
      </c>
      <c r="AN272" s="12" t="s">
        <v>860</v>
      </c>
      <c r="AO272" s="12" t="s">
        <v>56</v>
      </c>
      <c r="AP272" s="12"/>
      <c r="AQ272" s="12" t="s">
        <v>56</v>
      </c>
      <c r="AR272" s="12" t="s">
        <v>58</v>
      </c>
      <c r="AS272" s="12" t="s">
        <v>94</v>
      </c>
      <c r="AT272" s="12"/>
      <c r="AU272" s="45"/>
      <c r="AV272" s="15"/>
      <c r="AW272" s="12" t="str">
        <f>B272&amp;C272&amp;L272&amp;M272&amp;O272&amp;U272&amp;AL272&amp;AM272</f>
        <v>AustraliaMaria Island Marine Nature ReserveCheilodactylus spectabilisAustralian banded morwongdensity2.35Barrett2007</v>
      </c>
    </row>
    <row r="273" spans="1:49" ht="14.25" customHeight="1" x14ac:dyDescent="0.35">
      <c r="A273" s="12">
        <v>272</v>
      </c>
      <c r="B273" s="15" t="s">
        <v>66</v>
      </c>
      <c r="C273" s="15" t="s">
        <v>1298</v>
      </c>
      <c r="D273" s="15" t="s">
        <v>1298</v>
      </c>
      <c r="E273" s="15" t="s">
        <v>1326</v>
      </c>
      <c r="F273" s="16" t="s">
        <v>50</v>
      </c>
      <c r="G273" s="16" t="s">
        <v>51</v>
      </c>
      <c r="H273" s="16" t="s">
        <v>52</v>
      </c>
      <c r="I273" s="16" t="s">
        <v>53</v>
      </c>
      <c r="J273" s="17"/>
      <c r="K273" s="17">
        <v>12</v>
      </c>
      <c r="L273" s="17" t="s">
        <v>1331</v>
      </c>
      <c r="M273" s="17" t="s">
        <v>1332</v>
      </c>
      <c r="N273" s="17" t="s">
        <v>85</v>
      </c>
      <c r="O273" s="17" t="s">
        <v>86</v>
      </c>
      <c r="P273" s="17"/>
      <c r="Q273" s="17">
        <v>0.16</v>
      </c>
      <c r="R273" s="17">
        <v>0.48</v>
      </c>
      <c r="S273" s="17">
        <v>0.34</v>
      </c>
      <c r="T273" s="17">
        <v>1.34</v>
      </c>
      <c r="U273" s="20">
        <f t="shared" si="21"/>
        <v>1.3137254901960786</v>
      </c>
      <c r="V273" s="22">
        <f t="shared" si="24"/>
        <v>31.372549019607867</v>
      </c>
      <c r="W273" s="17"/>
      <c r="X273" s="17" t="s">
        <v>56</v>
      </c>
      <c r="Z273" s="17" t="s">
        <v>56</v>
      </c>
      <c r="AA273" s="17"/>
      <c r="AB273" s="17" t="s">
        <v>111</v>
      </c>
      <c r="AC273" s="17">
        <v>1992</v>
      </c>
      <c r="AD273" s="17">
        <v>8</v>
      </c>
      <c r="AE273" s="17"/>
      <c r="AF273" s="17"/>
      <c r="AG273" s="17">
        <v>1992</v>
      </c>
      <c r="AH273" s="14">
        <f t="shared" si="22"/>
        <v>0</v>
      </c>
      <c r="AI273" s="17">
        <f t="shared" si="23"/>
        <v>8</v>
      </c>
      <c r="AJ273" s="17"/>
      <c r="AK273" s="17" t="s">
        <v>58</v>
      </c>
      <c r="AL273" s="16" t="s">
        <v>859</v>
      </c>
      <c r="AM273" s="15">
        <v>2007</v>
      </c>
      <c r="AN273" s="12" t="s">
        <v>860</v>
      </c>
      <c r="AO273" s="15" t="s">
        <v>56</v>
      </c>
      <c r="AP273" s="15"/>
      <c r="AQ273" s="15" t="s">
        <v>56</v>
      </c>
      <c r="AR273" s="15" t="s">
        <v>58</v>
      </c>
      <c r="AS273" s="15" t="s">
        <v>94</v>
      </c>
      <c r="AT273" s="15"/>
      <c r="AU273" s="45"/>
      <c r="AV273" s="15"/>
      <c r="AW273" s="12" t="str">
        <f>B273&amp;C273&amp;L273&amp;M273&amp;O273&amp;U273&amp;AL273&amp;AM273</f>
        <v>AustraliaMaria Island Marine Nature ReserveAplodactylus arctidensmarblefishdensity1.31372549019608Barrett2007</v>
      </c>
    </row>
    <row r="274" spans="1:49" ht="14.25" customHeight="1" x14ac:dyDescent="0.35">
      <c r="A274" s="12">
        <v>273</v>
      </c>
      <c r="B274" s="15" t="s">
        <v>66</v>
      </c>
      <c r="C274" s="12" t="s">
        <v>1298</v>
      </c>
      <c r="D274" s="12" t="s">
        <v>1298</v>
      </c>
      <c r="E274" s="15" t="s">
        <v>1326</v>
      </c>
      <c r="F274" s="13" t="s">
        <v>50</v>
      </c>
      <c r="G274" s="13" t="s">
        <v>51</v>
      </c>
      <c r="H274" s="16" t="s">
        <v>52</v>
      </c>
      <c r="I274" s="16" t="s">
        <v>53</v>
      </c>
      <c r="K274" s="17">
        <v>12</v>
      </c>
      <c r="L274" s="17" t="s">
        <v>877</v>
      </c>
      <c r="M274" s="17" t="s">
        <v>878</v>
      </c>
      <c r="N274" s="17" t="s">
        <v>85</v>
      </c>
      <c r="O274" s="17" t="s">
        <v>86</v>
      </c>
      <c r="P274" s="17"/>
      <c r="Q274" s="17">
        <v>1.01</v>
      </c>
      <c r="R274" s="17">
        <v>0.65</v>
      </c>
      <c r="S274" s="17">
        <v>1.34</v>
      </c>
      <c r="T274" s="17">
        <v>1.48</v>
      </c>
      <c r="U274" s="20">
        <f t="shared" si="21"/>
        <v>1.7161882893226175</v>
      </c>
      <c r="V274" s="22">
        <f t="shared" si="24"/>
        <v>71.618828932261749</v>
      </c>
      <c r="W274" s="17"/>
      <c r="X274" s="17" t="s">
        <v>56</v>
      </c>
      <c r="Y274" s="17"/>
      <c r="Z274" s="17" t="s">
        <v>56</v>
      </c>
      <c r="AA274" s="17"/>
      <c r="AB274" s="17" t="s">
        <v>111</v>
      </c>
      <c r="AC274" s="17">
        <v>1992</v>
      </c>
      <c r="AD274" s="17">
        <v>10</v>
      </c>
      <c r="AE274" s="17"/>
      <c r="AF274" s="17"/>
      <c r="AG274" s="17">
        <v>1992</v>
      </c>
      <c r="AH274" s="14">
        <f t="shared" si="22"/>
        <v>0</v>
      </c>
      <c r="AI274" s="17">
        <f t="shared" si="23"/>
        <v>10</v>
      </c>
      <c r="AJ274" s="17"/>
      <c r="AK274" s="17" t="s">
        <v>58</v>
      </c>
      <c r="AL274" s="16" t="s">
        <v>859</v>
      </c>
      <c r="AM274" s="15">
        <v>2007</v>
      </c>
      <c r="AN274" s="15" t="s">
        <v>860</v>
      </c>
      <c r="AO274" s="15" t="s">
        <v>56</v>
      </c>
      <c r="AP274" s="15"/>
      <c r="AQ274" s="15" t="s">
        <v>56</v>
      </c>
      <c r="AR274" s="15" t="s">
        <v>58</v>
      </c>
      <c r="AS274" s="15" t="s">
        <v>94</v>
      </c>
      <c r="AT274" s="15"/>
      <c r="AU274" s="45"/>
      <c r="AV274" s="15"/>
      <c r="AW274" s="12" t="str">
        <f>B274&amp;C274&amp;L274&amp;M274&amp;O274&amp;U274&amp;AL274&amp;AM274</f>
        <v>AustraliaMaria Island Marine Nature ReserveOdax cyanomelasherring caledensity1.71618828932262Barrett2007</v>
      </c>
    </row>
    <row r="275" spans="1:49" ht="14.25" customHeight="1" x14ac:dyDescent="0.35">
      <c r="A275" s="12">
        <v>274</v>
      </c>
      <c r="B275" s="15" t="s">
        <v>66</v>
      </c>
      <c r="C275" s="12" t="s">
        <v>1298</v>
      </c>
      <c r="D275" s="12" t="s">
        <v>1298</v>
      </c>
      <c r="E275" s="15" t="s">
        <v>1326</v>
      </c>
      <c r="F275" s="13" t="s">
        <v>50</v>
      </c>
      <c r="G275" s="13" t="s">
        <v>51</v>
      </c>
      <c r="H275" s="16" t="s">
        <v>52</v>
      </c>
      <c r="I275" s="16" t="s">
        <v>53</v>
      </c>
      <c r="K275" s="17">
        <v>12</v>
      </c>
      <c r="L275" s="17" t="s">
        <v>1333</v>
      </c>
      <c r="M275" s="17" t="s">
        <v>1334</v>
      </c>
      <c r="N275" s="17" t="s">
        <v>85</v>
      </c>
      <c r="O275" s="17" t="s">
        <v>86</v>
      </c>
      <c r="P275" s="17"/>
      <c r="Q275" s="17">
        <v>1</v>
      </c>
      <c r="R275" s="17">
        <v>0</v>
      </c>
      <c r="S275" s="17">
        <v>0.44</v>
      </c>
      <c r="T275" s="17">
        <v>7.49</v>
      </c>
      <c r="U275" s="20" t="str">
        <f t="shared" si="21"/>
        <v>N/A</v>
      </c>
      <c r="V275" s="22" t="str">
        <f t="shared" si="24"/>
        <v>N/A</v>
      </c>
      <c r="W275" s="17"/>
      <c r="X275" s="17" t="s">
        <v>56</v>
      </c>
      <c r="Y275" s="17"/>
      <c r="Z275" s="17" t="s">
        <v>56</v>
      </c>
      <c r="AA275" s="17"/>
      <c r="AB275" s="17" t="s">
        <v>111</v>
      </c>
      <c r="AC275" s="17">
        <v>1992</v>
      </c>
      <c r="AD275" s="17">
        <v>10</v>
      </c>
      <c r="AE275" s="17"/>
      <c r="AF275" s="17"/>
      <c r="AG275" s="17">
        <v>1992</v>
      </c>
      <c r="AH275" s="14">
        <f t="shared" si="22"/>
        <v>0</v>
      </c>
      <c r="AI275" s="17">
        <f t="shared" si="23"/>
        <v>10</v>
      </c>
      <c r="AJ275" s="17"/>
      <c r="AK275" s="17" t="s">
        <v>58</v>
      </c>
      <c r="AL275" s="16" t="s">
        <v>859</v>
      </c>
      <c r="AM275" s="15">
        <v>2007</v>
      </c>
      <c r="AN275" s="15" t="s">
        <v>860</v>
      </c>
      <c r="AO275" s="15" t="s">
        <v>56</v>
      </c>
      <c r="AP275" s="15"/>
      <c r="AQ275" s="15" t="s">
        <v>56</v>
      </c>
      <c r="AR275" s="15" t="s">
        <v>58</v>
      </c>
      <c r="AS275" s="15" t="s">
        <v>94</v>
      </c>
      <c r="AT275" s="15"/>
      <c r="AU275" s="45"/>
      <c r="AV275" s="15"/>
      <c r="AW275" s="12" t="str">
        <f>B275&amp;C275&amp;L275&amp;M275&amp;O275&amp;U275&amp;AL275&amp;AM275</f>
        <v>AustraliaMaria Island Marine Nature ReserveLatridopsis forsteribastard trumpeterdensityN/ABarrett2007</v>
      </c>
    </row>
    <row r="276" spans="1:49" ht="14.15" customHeight="1" x14ac:dyDescent="0.35">
      <c r="A276" s="12">
        <v>275</v>
      </c>
      <c r="B276" s="15" t="s">
        <v>66</v>
      </c>
      <c r="C276" s="15" t="s">
        <v>1298</v>
      </c>
      <c r="D276" s="15" t="s">
        <v>1298</v>
      </c>
      <c r="E276" s="15" t="s">
        <v>1326</v>
      </c>
      <c r="F276" s="16" t="s">
        <v>50</v>
      </c>
      <c r="G276" s="16" t="s">
        <v>51</v>
      </c>
      <c r="H276" s="16" t="s">
        <v>52</v>
      </c>
      <c r="I276" s="16" t="s">
        <v>53</v>
      </c>
      <c r="J276" s="17"/>
      <c r="K276" s="17">
        <v>12</v>
      </c>
      <c r="L276" s="17" t="s">
        <v>879</v>
      </c>
      <c r="M276" s="17" t="s">
        <v>880</v>
      </c>
      <c r="N276" s="17" t="s">
        <v>85</v>
      </c>
      <c r="O276" s="17" t="s">
        <v>86</v>
      </c>
      <c r="P276" s="17"/>
      <c r="Q276" s="17">
        <v>46</v>
      </c>
      <c r="R276" s="17">
        <v>130</v>
      </c>
      <c r="S276" s="17">
        <v>46</v>
      </c>
      <c r="T276" s="17">
        <v>157</v>
      </c>
      <c r="U276" s="20">
        <f t="shared" si="21"/>
        <v>1.2076923076923076</v>
      </c>
      <c r="V276" s="22">
        <f t="shared" si="24"/>
        <v>20.769230769230763</v>
      </c>
      <c r="W276" s="17"/>
      <c r="X276" s="17" t="s">
        <v>56</v>
      </c>
      <c r="Y276" s="17"/>
      <c r="Z276" s="17" t="s">
        <v>56</v>
      </c>
      <c r="AA276" s="17"/>
      <c r="AB276" s="17" t="s">
        <v>111</v>
      </c>
      <c r="AC276" s="17">
        <v>1992</v>
      </c>
      <c r="AD276" s="17">
        <v>10</v>
      </c>
      <c r="AE276" s="17"/>
      <c r="AF276" s="17"/>
      <c r="AG276" s="17">
        <v>1992</v>
      </c>
      <c r="AH276" s="14">
        <f t="shared" si="22"/>
        <v>0</v>
      </c>
      <c r="AI276" s="17">
        <f t="shared" si="23"/>
        <v>10</v>
      </c>
      <c r="AJ276" s="17"/>
      <c r="AK276" s="17" t="s">
        <v>58</v>
      </c>
      <c r="AL276" s="16" t="s">
        <v>859</v>
      </c>
      <c r="AM276" s="15">
        <v>2007</v>
      </c>
      <c r="AN276" s="15" t="s">
        <v>860</v>
      </c>
      <c r="AO276" s="15" t="s">
        <v>56</v>
      </c>
      <c r="AP276" s="15"/>
      <c r="AQ276" s="15" t="s">
        <v>56</v>
      </c>
      <c r="AR276" s="15" t="s">
        <v>58</v>
      </c>
      <c r="AS276" s="15" t="s">
        <v>94</v>
      </c>
      <c r="AT276" s="15"/>
      <c r="AU276" s="45"/>
      <c r="AV276" s="15"/>
      <c r="AW276" s="12" t="str">
        <f>B276&amp;C276&amp;L276&amp;M276&amp;O276&amp;U276&amp;AL276&amp;AM276</f>
        <v>AustraliaMaria Island Marine Nature ReserveNotolabrus tetricusblue-throated wrassedensity1.20769230769231Barrett2007</v>
      </c>
    </row>
    <row r="277" spans="1:49" ht="14.25" customHeight="1" x14ac:dyDescent="0.35">
      <c r="A277" s="12">
        <v>276</v>
      </c>
      <c r="B277" s="15" t="s">
        <v>66</v>
      </c>
      <c r="C277" s="12" t="s">
        <v>1298</v>
      </c>
      <c r="D277" s="12" t="s">
        <v>1298</v>
      </c>
      <c r="E277" s="15" t="s">
        <v>1326</v>
      </c>
      <c r="F277" s="13" t="s">
        <v>50</v>
      </c>
      <c r="G277" s="13" t="s">
        <v>51</v>
      </c>
      <c r="H277" s="16" t="s">
        <v>52</v>
      </c>
      <c r="I277" s="16" t="s">
        <v>53</v>
      </c>
      <c r="K277" s="17">
        <v>12</v>
      </c>
      <c r="L277" s="17" t="s">
        <v>1335</v>
      </c>
      <c r="M277" s="17" t="s">
        <v>1336</v>
      </c>
      <c r="N277" s="17" t="s">
        <v>120</v>
      </c>
      <c r="O277" s="17" t="s">
        <v>86</v>
      </c>
      <c r="P277" s="17"/>
      <c r="Q277" s="17">
        <v>0.28999999999999998</v>
      </c>
      <c r="R277" s="17">
        <v>4.3</v>
      </c>
      <c r="S277" s="17">
        <v>0.14000000000000001</v>
      </c>
      <c r="T277" s="17">
        <v>0.5</v>
      </c>
      <c r="U277" s="20">
        <f t="shared" si="21"/>
        <v>0.24086378737541525</v>
      </c>
      <c r="V277" s="22">
        <f t="shared" si="24"/>
        <v>-75.913621262458477</v>
      </c>
      <c r="W277" s="17"/>
      <c r="X277" s="17" t="s">
        <v>56</v>
      </c>
      <c r="Y277" s="17"/>
      <c r="Z277" s="17" t="s">
        <v>56</v>
      </c>
      <c r="AA277" s="17"/>
      <c r="AB277" s="17" t="s">
        <v>111</v>
      </c>
      <c r="AC277" s="17">
        <v>1992</v>
      </c>
      <c r="AD277" s="17">
        <v>8</v>
      </c>
      <c r="AE277" s="17"/>
      <c r="AF277" s="17"/>
      <c r="AG277" s="17">
        <v>1992</v>
      </c>
      <c r="AH277" s="14">
        <f t="shared" si="22"/>
        <v>0</v>
      </c>
      <c r="AI277" s="17">
        <f t="shared" si="23"/>
        <v>8</v>
      </c>
      <c r="AJ277" s="17"/>
      <c r="AK277" s="17" t="s">
        <v>58</v>
      </c>
      <c r="AL277" s="16" t="s">
        <v>859</v>
      </c>
      <c r="AM277" s="15">
        <v>2007</v>
      </c>
      <c r="AN277" s="15" t="s">
        <v>860</v>
      </c>
      <c r="AO277" s="15" t="s">
        <v>56</v>
      </c>
      <c r="AP277" s="15"/>
      <c r="AQ277" s="15" t="s">
        <v>56</v>
      </c>
      <c r="AR277" s="15" t="s">
        <v>58</v>
      </c>
      <c r="AS277" s="15" t="s">
        <v>94</v>
      </c>
      <c r="AT277" s="15"/>
      <c r="AU277" s="45"/>
      <c r="AV277" s="15"/>
      <c r="AW277" s="12" t="str">
        <f>B277&amp;C277&amp;L277&amp;M277&amp;O277&amp;U277&amp;AL277&amp;AM277</f>
        <v>AustraliaMaria Island Marine Nature ReservePseudophycis spp.codlingsdensity0.240863787375415Barrett2007</v>
      </c>
    </row>
    <row r="278" spans="1:49" ht="14.15" customHeight="1" x14ac:dyDescent="0.35">
      <c r="A278" s="12">
        <v>277</v>
      </c>
      <c r="B278" s="15" t="s">
        <v>66</v>
      </c>
      <c r="C278" s="12" t="s">
        <v>1298</v>
      </c>
      <c r="D278" s="12" t="s">
        <v>1298</v>
      </c>
      <c r="E278" s="15" t="s">
        <v>1326</v>
      </c>
      <c r="F278" s="13" t="s">
        <v>50</v>
      </c>
      <c r="G278" s="13" t="s">
        <v>51</v>
      </c>
      <c r="H278" s="16" t="s">
        <v>52</v>
      </c>
      <c r="I278" s="16" t="s">
        <v>53</v>
      </c>
      <c r="K278" s="17">
        <v>12</v>
      </c>
      <c r="L278" s="17" t="s">
        <v>881</v>
      </c>
      <c r="M278" s="17" t="s">
        <v>882</v>
      </c>
      <c r="N278" s="17" t="s">
        <v>85</v>
      </c>
      <c r="O278" s="17" t="s">
        <v>86</v>
      </c>
      <c r="P278" s="17"/>
      <c r="Q278" s="17">
        <v>9.42</v>
      </c>
      <c r="R278" s="17">
        <v>19.73</v>
      </c>
      <c r="S278" s="17">
        <v>6.93</v>
      </c>
      <c r="T278" s="17">
        <v>9.42</v>
      </c>
      <c r="U278" s="20">
        <f t="shared" si="21"/>
        <v>0.64899520145338696</v>
      </c>
      <c r="V278" s="22">
        <f t="shared" si="24"/>
        <v>-35.100479854661302</v>
      </c>
      <c r="W278" s="17"/>
      <c r="X278" s="17" t="s">
        <v>56</v>
      </c>
      <c r="Y278" s="17"/>
      <c r="Z278" s="17" t="s">
        <v>56</v>
      </c>
      <c r="AA278" s="17"/>
      <c r="AB278" s="17" t="s">
        <v>111</v>
      </c>
      <c r="AC278" s="17">
        <v>1992</v>
      </c>
      <c r="AD278" s="17">
        <v>10</v>
      </c>
      <c r="AE278" s="17"/>
      <c r="AF278" s="17"/>
      <c r="AG278" s="17">
        <v>1992</v>
      </c>
      <c r="AH278" s="14">
        <f t="shared" si="22"/>
        <v>0</v>
      </c>
      <c r="AI278" s="17">
        <f t="shared" si="23"/>
        <v>10</v>
      </c>
      <c r="AJ278" s="17"/>
      <c r="AK278" s="17" t="s">
        <v>58</v>
      </c>
      <c r="AL278" s="16" t="s">
        <v>859</v>
      </c>
      <c r="AM278" s="15">
        <v>2007</v>
      </c>
      <c r="AN278" s="15" t="s">
        <v>860</v>
      </c>
      <c r="AO278" s="15" t="s">
        <v>56</v>
      </c>
      <c r="AP278" s="15"/>
      <c r="AQ278" s="15" t="s">
        <v>56</v>
      </c>
      <c r="AR278" s="15" t="s">
        <v>58</v>
      </c>
      <c r="AS278" s="15" t="s">
        <v>94</v>
      </c>
      <c r="AT278" s="15"/>
      <c r="AU278" s="45"/>
      <c r="AV278" s="15"/>
      <c r="AW278" s="12" t="str">
        <f>B278&amp;C278&amp;L278&amp;M278&amp;O278&amp;U278&amp;AL278&amp;AM278</f>
        <v>AustraliaMaria Island Marine Nature ReserveNotolabrus fucicolabanded parrotfishdensity0.648995201453387Barrett2007</v>
      </c>
    </row>
    <row r="279" spans="1:49" ht="14.25" customHeight="1" x14ac:dyDescent="0.35">
      <c r="A279" s="12">
        <v>278</v>
      </c>
      <c r="B279" s="15" t="s">
        <v>66</v>
      </c>
      <c r="C279" s="12" t="s">
        <v>1298</v>
      </c>
      <c r="D279" s="12" t="s">
        <v>1298</v>
      </c>
      <c r="E279" s="15" t="s">
        <v>1326</v>
      </c>
      <c r="F279" s="13" t="s">
        <v>50</v>
      </c>
      <c r="G279" s="13" t="s">
        <v>51</v>
      </c>
      <c r="H279" s="16" t="s">
        <v>52</v>
      </c>
      <c r="I279" s="16" t="s">
        <v>53</v>
      </c>
      <c r="K279" s="17">
        <v>12</v>
      </c>
      <c r="L279" s="17" t="s">
        <v>883</v>
      </c>
      <c r="M279" s="17" t="s">
        <v>884</v>
      </c>
      <c r="N279" s="17" t="s">
        <v>85</v>
      </c>
      <c r="O279" s="17" t="s">
        <v>86</v>
      </c>
      <c r="P279" s="17"/>
      <c r="Q279" s="17">
        <v>50.44</v>
      </c>
      <c r="R279" s="17">
        <v>96.46</v>
      </c>
      <c r="S279" s="17">
        <v>45.13</v>
      </c>
      <c r="T279" s="17">
        <v>6.19</v>
      </c>
      <c r="U279" s="20">
        <f t="shared" si="21"/>
        <v>7.1722122911767924E-2</v>
      </c>
      <c r="V279" s="22">
        <f t="shared" si="24"/>
        <v>-92.827787708823209</v>
      </c>
      <c r="W279" s="17"/>
      <c r="X279" s="17" t="s">
        <v>56</v>
      </c>
      <c r="Y279" s="17"/>
      <c r="Z279" s="17" t="s">
        <v>56</v>
      </c>
      <c r="AA279" s="17"/>
      <c r="AB279" s="17" t="s">
        <v>111</v>
      </c>
      <c r="AC279" s="17">
        <v>1992</v>
      </c>
      <c r="AD279" s="17">
        <v>10</v>
      </c>
      <c r="AE279" s="17"/>
      <c r="AF279" s="17"/>
      <c r="AG279" s="17">
        <v>1992</v>
      </c>
      <c r="AH279" s="14">
        <f t="shared" si="22"/>
        <v>0</v>
      </c>
      <c r="AI279" s="17">
        <f t="shared" si="23"/>
        <v>10</v>
      </c>
      <c r="AJ279" s="17"/>
      <c r="AK279" s="17" t="s">
        <v>58</v>
      </c>
      <c r="AL279" s="16" t="s">
        <v>859</v>
      </c>
      <c r="AM279" s="15">
        <v>2007</v>
      </c>
      <c r="AN279" s="15" t="s">
        <v>860</v>
      </c>
      <c r="AO279" s="15" t="s">
        <v>56</v>
      </c>
      <c r="AP279" s="15"/>
      <c r="AQ279" s="15" t="s">
        <v>56</v>
      </c>
      <c r="AR279" s="15" t="s">
        <v>58</v>
      </c>
      <c r="AS279" s="15" t="s">
        <v>94</v>
      </c>
      <c r="AT279" s="15"/>
      <c r="AU279" s="45"/>
      <c r="AV279" s="15"/>
      <c r="AW279" s="12" t="str">
        <f>B279&amp;C279&amp;L279&amp;M279&amp;O279&amp;U279&amp;AL279&amp;AM279</f>
        <v>AustraliaMaria Island Marine Nature ReserveAcanthaluterus vittigertoothbrush leatherjacketdensity0.0717221229117679Barrett2007</v>
      </c>
    </row>
    <row r="280" spans="1:49" ht="14.25" customHeight="1" x14ac:dyDescent="0.35">
      <c r="A280" s="12">
        <v>279</v>
      </c>
      <c r="B280" s="15" t="s">
        <v>66</v>
      </c>
      <c r="C280" s="12" t="s">
        <v>1298</v>
      </c>
      <c r="D280" s="12" t="s">
        <v>1298</v>
      </c>
      <c r="E280" s="15" t="s">
        <v>1326</v>
      </c>
      <c r="F280" s="13" t="s">
        <v>50</v>
      </c>
      <c r="G280" s="13" t="s">
        <v>51</v>
      </c>
      <c r="H280" s="16" t="s">
        <v>52</v>
      </c>
      <c r="I280" s="16" t="s">
        <v>53</v>
      </c>
      <c r="K280" s="17">
        <v>12</v>
      </c>
      <c r="L280" s="17" t="s">
        <v>1337</v>
      </c>
      <c r="M280" s="17" t="s">
        <v>1338</v>
      </c>
      <c r="N280" s="17" t="s">
        <v>85</v>
      </c>
      <c r="O280" s="17" t="s">
        <v>86</v>
      </c>
      <c r="P280" s="17"/>
      <c r="Q280" s="17">
        <v>1.33</v>
      </c>
      <c r="R280" s="17">
        <v>2.65</v>
      </c>
      <c r="S280" s="17">
        <v>1.06</v>
      </c>
      <c r="T280" s="17">
        <v>1.06</v>
      </c>
      <c r="U280" s="20">
        <f t="shared" si="21"/>
        <v>0.5018867924528303</v>
      </c>
      <c r="V280" s="22">
        <f t="shared" si="24"/>
        <v>-49.811320754716974</v>
      </c>
      <c r="W280" s="17"/>
      <c r="X280" s="17" t="s">
        <v>56</v>
      </c>
      <c r="Y280" s="17"/>
      <c r="Z280" s="17" t="s">
        <v>56</v>
      </c>
      <c r="AA280" s="17"/>
      <c r="AB280" s="17" t="s">
        <v>111</v>
      </c>
      <c r="AC280" s="17">
        <v>1992</v>
      </c>
      <c r="AD280" s="17">
        <v>10</v>
      </c>
      <c r="AE280" s="17"/>
      <c r="AF280" s="17"/>
      <c r="AG280" s="17">
        <v>1992</v>
      </c>
      <c r="AH280" s="14">
        <f t="shared" si="22"/>
        <v>0</v>
      </c>
      <c r="AI280" s="17">
        <f t="shared" si="23"/>
        <v>10</v>
      </c>
      <c r="AJ280" s="17"/>
      <c r="AK280" s="17" t="s">
        <v>58</v>
      </c>
      <c r="AL280" s="16" t="s">
        <v>859</v>
      </c>
      <c r="AM280" s="15">
        <v>2007</v>
      </c>
      <c r="AN280" s="15" t="s">
        <v>860</v>
      </c>
      <c r="AO280" s="15" t="s">
        <v>56</v>
      </c>
      <c r="AP280" s="15"/>
      <c r="AQ280" s="15" t="s">
        <v>56</v>
      </c>
      <c r="AR280" s="15" t="s">
        <v>58</v>
      </c>
      <c r="AS280" s="15" t="s">
        <v>94</v>
      </c>
      <c r="AT280" s="15"/>
      <c r="AU280" s="45"/>
      <c r="AV280" s="15"/>
      <c r="AW280" s="12" t="str">
        <f>B280&amp;C280&amp;L280&amp;M280&amp;O280&amp;U280&amp;AL280&amp;AM280</f>
        <v>AustraliaMaria Island Marine Nature ReserveMeuschenia australisbrownstriped leatherjacketdensity0.50188679245283Barrett2007</v>
      </c>
    </row>
    <row r="281" spans="1:49" ht="14.25" customHeight="1" x14ac:dyDescent="0.35">
      <c r="A281" s="12">
        <v>280</v>
      </c>
      <c r="B281" s="15" t="s">
        <v>66</v>
      </c>
      <c r="C281" s="15" t="s">
        <v>1298</v>
      </c>
      <c r="D281" s="15" t="s">
        <v>1298</v>
      </c>
      <c r="E281" s="15" t="s">
        <v>1326</v>
      </c>
      <c r="F281" s="16" t="s">
        <v>50</v>
      </c>
      <c r="G281" s="16" t="s">
        <v>51</v>
      </c>
      <c r="H281" s="16" t="s">
        <v>52</v>
      </c>
      <c r="I281" s="16" t="s">
        <v>53</v>
      </c>
      <c r="J281" s="17"/>
      <c r="K281" s="17">
        <v>12</v>
      </c>
      <c r="L281" s="17" t="s">
        <v>1339</v>
      </c>
      <c r="M281" s="17" t="s">
        <v>1340</v>
      </c>
      <c r="N281" s="17" t="s">
        <v>85</v>
      </c>
      <c r="O281" s="14" t="s">
        <v>86</v>
      </c>
      <c r="P281" s="17"/>
      <c r="Q281" s="17">
        <v>0.68</v>
      </c>
      <c r="R281" s="17">
        <v>2.04</v>
      </c>
      <c r="S281" s="17">
        <v>0.18</v>
      </c>
      <c r="T281" s="17">
        <v>0.68</v>
      </c>
      <c r="U281" s="20">
        <f t="shared" si="21"/>
        <v>1.2592592592592597</v>
      </c>
      <c r="V281" s="22">
        <f t="shared" si="24"/>
        <v>25.925925925925974</v>
      </c>
      <c r="W281" s="17"/>
      <c r="X281" s="17" t="s">
        <v>56</v>
      </c>
      <c r="Y281" s="17"/>
      <c r="Z281" s="17" t="s">
        <v>56</v>
      </c>
      <c r="AA281" s="17"/>
      <c r="AB281" s="17" t="s">
        <v>111</v>
      </c>
      <c r="AC281" s="17">
        <v>1992</v>
      </c>
      <c r="AD281" s="17">
        <v>10</v>
      </c>
      <c r="AE281" s="17"/>
      <c r="AF281" s="17"/>
      <c r="AG281" s="17">
        <v>1992</v>
      </c>
      <c r="AH281" s="14">
        <f t="shared" si="22"/>
        <v>0</v>
      </c>
      <c r="AI281" s="17">
        <f t="shared" si="23"/>
        <v>10</v>
      </c>
      <c r="AJ281" s="17"/>
      <c r="AK281" s="17" t="s">
        <v>58</v>
      </c>
      <c r="AL281" s="16" t="s">
        <v>859</v>
      </c>
      <c r="AM281" s="15">
        <v>2007</v>
      </c>
      <c r="AN281" s="15" t="s">
        <v>860</v>
      </c>
      <c r="AO281" s="15" t="s">
        <v>56</v>
      </c>
      <c r="AP281" s="15"/>
      <c r="AQ281" s="15" t="s">
        <v>56</v>
      </c>
      <c r="AR281" s="15" t="s">
        <v>58</v>
      </c>
      <c r="AS281" s="15" t="s">
        <v>94</v>
      </c>
      <c r="AT281" s="15"/>
      <c r="AU281" s="45"/>
      <c r="AV281" s="15"/>
      <c r="AW281" s="12" t="str">
        <f>B281&amp;C281&amp;L281&amp;M281&amp;O281&amp;U281&amp;AL281&amp;AM281</f>
        <v>AustraliaMaria Island Marine Nature ReserveDiodon nichthemerusslender-spined porcupine fishdensity1.25925925925926Barrett2007</v>
      </c>
    </row>
    <row r="282" spans="1:49" ht="14.25" customHeight="1" x14ac:dyDescent="0.35">
      <c r="A282" s="12">
        <v>281</v>
      </c>
      <c r="B282" s="12" t="s">
        <v>66</v>
      </c>
      <c r="C282" s="12" t="s">
        <v>1298</v>
      </c>
      <c r="D282" s="12" t="s">
        <v>1298</v>
      </c>
      <c r="E282" s="12" t="s">
        <v>1326</v>
      </c>
      <c r="F282" s="13" t="s">
        <v>50</v>
      </c>
      <c r="G282" s="13" t="s">
        <v>51</v>
      </c>
      <c r="H282" s="13" t="s">
        <v>52</v>
      </c>
      <c r="I282" s="13" t="s">
        <v>53</v>
      </c>
      <c r="K282" s="17">
        <v>12</v>
      </c>
      <c r="L282" s="14" t="s">
        <v>1341</v>
      </c>
      <c r="M282" s="14" t="s">
        <v>1342</v>
      </c>
      <c r="N282" s="14" t="s">
        <v>85</v>
      </c>
      <c r="O282" s="14" t="s">
        <v>86</v>
      </c>
      <c r="P282" s="14"/>
      <c r="Q282" s="14">
        <v>12.86</v>
      </c>
      <c r="R282" s="14">
        <v>25.9</v>
      </c>
      <c r="S282" s="14">
        <v>9.69</v>
      </c>
      <c r="T282" s="14">
        <v>17.8</v>
      </c>
      <c r="U282" s="19">
        <f t="shared" si="21"/>
        <v>0.91208944459718466</v>
      </c>
      <c r="V282" s="41">
        <f t="shared" si="24"/>
        <v>-8.7910555402815334</v>
      </c>
      <c r="W282" s="14"/>
      <c r="X282" s="14" t="s">
        <v>56</v>
      </c>
      <c r="Z282" s="14" t="s">
        <v>56</v>
      </c>
      <c r="AA282" s="14"/>
      <c r="AB282" s="14" t="s">
        <v>111</v>
      </c>
      <c r="AC282" s="14">
        <v>1992</v>
      </c>
      <c r="AD282" s="14">
        <v>10</v>
      </c>
      <c r="AE282" s="14"/>
      <c r="AF282" s="14"/>
      <c r="AG282" s="14">
        <v>1992</v>
      </c>
      <c r="AH282" s="14">
        <f t="shared" si="22"/>
        <v>0</v>
      </c>
      <c r="AI282" s="17">
        <f t="shared" si="23"/>
        <v>10</v>
      </c>
      <c r="AJ282" s="14"/>
      <c r="AK282" s="14" t="s">
        <v>58</v>
      </c>
      <c r="AL282" s="13" t="s">
        <v>859</v>
      </c>
      <c r="AM282" s="12">
        <v>2007</v>
      </c>
      <c r="AN282" s="12" t="s">
        <v>860</v>
      </c>
      <c r="AO282" s="12" t="s">
        <v>56</v>
      </c>
      <c r="AP282" s="12"/>
      <c r="AQ282" s="12" t="s">
        <v>56</v>
      </c>
      <c r="AR282" s="12" t="s">
        <v>58</v>
      </c>
      <c r="AS282" s="12" t="s">
        <v>94</v>
      </c>
      <c r="AT282" s="12"/>
      <c r="AU282" s="45"/>
      <c r="AV282" s="15"/>
      <c r="AW282" s="12" t="str">
        <f>B282&amp;C282&amp;L282&amp;M282&amp;O282&amp;U282&amp;AL282&amp;AM282</f>
        <v>AustraliaMaria Island Marine Nature ReservePictilabrus laticlaviuspatrician wrassedensity0.912089444597185Barrett2007</v>
      </c>
    </row>
    <row r="283" spans="1:49" ht="14.25" customHeight="1" x14ac:dyDescent="0.35">
      <c r="A283" s="12">
        <v>282</v>
      </c>
      <c r="B283" s="12" t="s">
        <v>66</v>
      </c>
      <c r="C283" s="12" t="s">
        <v>1298</v>
      </c>
      <c r="D283" s="12" t="s">
        <v>1298</v>
      </c>
      <c r="E283" s="12" t="s">
        <v>1326</v>
      </c>
      <c r="F283" s="13" t="s">
        <v>50</v>
      </c>
      <c r="G283" s="13" t="s">
        <v>51</v>
      </c>
      <c r="H283" s="13" t="s">
        <v>52</v>
      </c>
      <c r="I283" s="13" t="s">
        <v>53</v>
      </c>
      <c r="K283" s="17">
        <v>12</v>
      </c>
      <c r="L283" s="14" t="s">
        <v>885</v>
      </c>
      <c r="M283" s="14" t="s">
        <v>886</v>
      </c>
      <c r="N283" s="14" t="s">
        <v>85</v>
      </c>
      <c r="O283" s="14" t="s">
        <v>86</v>
      </c>
      <c r="P283" s="14"/>
      <c r="Q283" s="14">
        <v>2.75</v>
      </c>
      <c r="R283" s="14">
        <v>5.0199999999999996</v>
      </c>
      <c r="S283" s="14">
        <v>1</v>
      </c>
      <c r="T283" s="14">
        <v>2.0499999999999998</v>
      </c>
      <c r="U283" s="19">
        <f t="shared" si="21"/>
        <v>1.12300796812749</v>
      </c>
      <c r="V283" s="41">
        <f t="shared" si="24"/>
        <v>12.300796812749004</v>
      </c>
      <c r="W283" s="14"/>
      <c r="X283" s="14" t="s">
        <v>56</v>
      </c>
      <c r="Z283" s="14" t="s">
        <v>56</v>
      </c>
      <c r="AA283" s="14"/>
      <c r="AB283" s="14" t="s">
        <v>111</v>
      </c>
      <c r="AC283" s="14">
        <v>1992</v>
      </c>
      <c r="AD283" s="14">
        <v>10</v>
      </c>
      <c r="AE283" s="14"/>
      <c r="AF283" s="14"/>
      <c r="AG283" s="14">
        <v>1992</v>
      </c>
      <c r="AH283" s="14">
        <f t="shared" si="22"/>
        <v>0</v>
      </c>
      <c r="AI283" s="17">
        <f t="shared" si="23"/>
        <v>10</v>
      </c>
      <c r="AJ283" s="14"/>
      <c r="AK283" s="14" t="s">
        <v>58</v>
      </c>
      <c r="AL283" s="13" t="s">
        <v>859</v>
      </c>
      <c r="AM283" s="12">
        <v>2007</v>
      </c>
      <c r="AN283" s="12" t="s">
        <v>860</v>
      </c>
      <c r="AO283" s="12" t="s">
        <v>56</v>
      </c>
      <c r="AP283" s="12"/>
      <c r="AQ283" s="12" t="s">
        <v>56</v>
      </c>
      <c r="AR283" s="12" t="s">
        <v>58</v>
      </c>
      <c r="AS283" s="12" t="s">
        <v>94</v>
      </c>
      <c r="AT283" s="12"/>
      <c r="AU283" s="45" t="s">
        <v>1343</v>
      </c>
      <c r="AV283" s="15"/>
      <c r="AW283" s="12" t="str">
        <f>B283&amp;C283&amp;L283&amp;M283&amp;O283&amp;U283&amp;AL283&amp;AM283</f>
        <v>AustraliaMaria Island Marine Nature ReservePseudolabrus psittaculusrosy wrassedensity1.12300796812749Barrett2007</v>
      </c>
    </row>
    <row r="284" spans="1:49" ht="14.25" customHeight="1" x14ac:dyDescent="0.35">
      <c r="A284" s="12">
        <v>283</v>
      </c>
      <c r="B284" s="12" t="s">
        <v>66</v>
      </c>
      <c r="C284" s="12" t="s">
        <v>1298</v>
      </c>
      <c r="D284" s="12" t="s">
        <v>1298</v>
      </c>
      <c r="E284" s="12" t="s">
        <v>1326</v>
      </c>
      <c r="F284" s="13" t="s">
        <v>50</v>
      </c>
      <c r="G284" s="13" t="s">
        <v>51</v>
      </c>
      <c r="H284" s="13" t="s">
        <v>52</v>
      </c>
      <c r="I284" s="13" t="s">
        <v>53</v>
      </c>
      <c r="K284" s="17">
        <v>12</v>
      </c>
      <c r="L284" s="14" t="s">
        <v>1344</v>
      </c>
      <c r="M284" s="14" t="s">
        <v>1345</v>
      </c>
      <c r="N284" s="14" t="s">
        <v>85</v>
      </c>
      <c r="O284" s="14" t="s">
        <v>86</v>
      </c>
      <c r="P284" s="14"/>
      <c r="Q284" s="14">
        <v>6.41</v>
      </c>
      <c r="R284" s="14">
        <v>87.61</v>
      </c>
      <c r="S284" s="14">
        <v>4.2300000000000004</v>
      </c>
      <c r="T284" s="14">
        <v>12.82</v>
      </c>
      <c r="U284" s="19">
        <f t="shared" si="21"/>
        <v>0.22174406615607589</v>
      </c>
      <c r="V284" s="41">
        <f t="shared" si="24"/>
        <v>-77.825593384392405</v>
      </c>
      <c r="W284" s="14"/>
      <c r="X284" s="14" t="s">
        <v>56</v>
      </c>
      <c r="Z284" s="14" t="s">
        <v>56</v>
      </c>
      <c r="AA284" s="14"/>
      <c r="AB284" s="14" t="s">
        <v>111</v>
      </c>
      <c r="AC284" s="14">
        <v>1992</v>
      </c>
      <c r="AD284" s="14">
        <v>10</v>
      </c>
      <c r="AE284" s="14"/>
      <c r="AF284" s="14"/>
      <c r="AG284" s="14">
        <v>1992</v>
      </c>
      <c r="AH284" s="14">
        <f t="shared" si="22"/>
        <v>0</v>
      </c>
      <c r="AI284" s="17">
        <f t="shared" si="23"/>
        <v>10</v>
      </c>
      <c r="AJ284" s="14"/>
      <c r="AK284" s="14" t="s">
        <v>58</v>
      </c>
      <c r="AL284" s="13" t="s">
        <v>859</v>
      </c>
      <c r="AM284" s="12">
        <v>2007</v>
      </c>
      <c r="AN284" s="12" t="s">
        <v>860</v>
      </c>
      <c r="AO284" s="12" t="s">
        <v>56</v>
      </c>
      <c r="AP284" s="12"/>
      <c r="AQ284" s="12" t="s">
        <v>56</v>
      </c>
      <c r="AR284" s="12" t="s">
        <v>58</v>
      </c>
      <c r="AS284" s="12" t="s">
        <v>94</v>
      </c>
      <c r="AT284" s="12"/>
      <c r="AU284" s="45"/>
      <c r="AV284" s="15"/>
      <c r="AW284" s="12" t="str">
        <f>B284&amp;C284&amp;L284&amp;M284&amp;O284&amp;U284&amp;AL284&amp;AM284</f>
        <v>AustraliaMaria Island Marine Nature ReserveNeoodax balteutuslittle weed whitingdensity0.221744066156076Barrett2007</v>
      </c>
    </row>
    <row r="285" spans="1:49" ht="14.25" customHeight="1" x14ac:dyDescent="0.35">
      <c r="A285" s="12">
        <v>284</v>
      </c>
      <c r="B285" s="15" t="s">
        <v>66</v>
      </c>
      <c r="C285" s="15" t="s">
        <v>1298</v>
      </c>
      <c r="D285" s="15" t="s">
        <v>1298</v>
      </c>
      <c r="E285" s="15" t="s">
        <v>1326</v>
      </c>
      <c r="F285" s="16" t="s">
        <v>50</v>
      </c>
      <c r="G285" s="16" t="s">
        <v>51</v>
      </c>
      <c r="H285" s="16" t="s">
        <v>52</v>
      </c>
      <c r="I285" s="16" t="s">
        <v>53</v>
      </c>
      <c r="J285" s="17"/>
      <c r="K285" s="17">
        <v>12</v>
      </c>
      <c r="L285" s="17" t="s">
        <v>1346</v>
      </c>
      <c r="M285" s="17" t="s">
        <v>1347</v>
      </c>
      <c r="N285" s="17" t="s">
        <v>85</v>
      </c>
      <c r="O285" s="14" t="s">
        <v>86</v>
      </c>
      <c r="P285" s="17"/>
      <c r="Q285" s="17">
        <v>128.76</v>
      </c>
      <c r="R285" s="17">
        <v>103</v>
      </c>
      <c r="S285" s="17">
        <v>128.76</v>
      </c>
      <c r="T285" s="17">
        <v>257.51</v>
      </c>
      <c r="U285" s="20">
        <f t="shared" si="21"/>
        <v>2.5000970873786406</v>
      </c>
      <c r="V285" s="22">
        <f t="shared" si="24"/>
        <v>150.00970873786406</v>
      </c>
      <c r="W285" s="17"/>
      <c r="X285" s="17" t="s">
        <v>56</v>
      </c>
      <c r="Y285" s="17"/>
      <c r="Z285" s="17" t="s">
        <v>56</v>
      </c>
      <c r="AA285" s="17"/>
      <c r="AB285" s="17" t="s">
        <v>111</v>
      </c>
      <c r="AC285" s="17">
        <v>1992</v>
      </c>
      <c r="AD285" s="17">
        <v>10</v>
      </c>
      <c r="AE285" s="17"/>
      <c r="AF285" s="17"/>
      <c r="AG285" s="17">
        <v>1992</v>
      </c>
      <c r="AH285" s="14">
        <f t="shared" si="22"/>
        <v>0</v>
      </c>
      <c r="AI285" s="17">
        <f t="shared" si="23"/>
        <v>10</v>
      </c>
      <c r="AJ285" s="17"/>
      <c r="AK285" s="17" t="s">
        <v>58</v>
      </c>
      <c r="AL285" s="16" t="s">
        <v>859</v>
      </c>
      <c r="AM285" s="15">
        <v>2007</v>
      </c>
      <c r="AN285" s="15" t="s">
        <v>860</v>
      </c>
      <c r="AO285" s="15" t="s">
        <v>56</v>
      </c>
      <c r="AP285" s="15"/>
      <c r="AQ285" s="15" t="s">
        <v>56</v>
      </c>
      <c r="AR285" s="15" t="s">
        <v>58</v>
      </c>
      <c r="AS285" s="15" t="s">
        <v>94</v>
      </c>
      <c r="AT285" s="15"/>
      <c r="AU285" s="45"/>
      <c r="AV285" s="15"/>
      <c r="AW285" s="12" t="str">
        <f>B285&amp;C285&amp;L285&amp;M285&amp;O285&amp;U285&amp;AL285&amp;AM285</f>
        <v>AustraliaMaria Island Marine Nature ReserveTrachinops caudimaculatussouthern hulafishdensity2.50009708737864Barrett2007</v>
      </c>
    </row>
    <row r="286" spans="1:49" ht="14.25" customHeight="1" x14ac:dyDescent="0.35">
      <c r="A286" s="12">
        <v>285</v>
      </c>
      <c r="B286" s="12" t="s">
        <v>66</v>
      </c>
      <c r="C286" s="12" t="s">
        <v>1298</v>
      </c>
      <c r="D286" s="15" t="s">
        <v>1298</v>
      </c>
      <c r="E286" s="12" t="s">
        <v>1326</v>
      </c>
      <c r="F286" s="13" t="s">
        <v>50</v>
      </c>
      <c r="G286" s="13" t="s">
        <v>51</v>
      </c>
      <c r="H286" s="13" t="s">
        <v>52</v>
      </c>
      <c r="I286" s="13" t="s">
        <v>53</v>
      </c>
      <c r="K286" s="17">
        <v>12</v>
      </c>
      <c r="L286" s="14" t="s">
        <v>1348</v>
      </c>
      <c r="M286" s="14" t="s">
        <v>1349</v>
      </c>
      <c r="N286" s="17" t="s">
        <v>85</v>
      </c>
      <c r="O286" s="17" t="s">
        <v>86</v>
      </c>
      <c r="P286" s="14"/>
      <c r="Q286" s="14">
        <v>59.57</v>
      </c>
      <c r="R286" s="14">
        <v>8.52</v>
      </c>
      <c r="S286" s="14">
        <v>4.26</v>
      </c>
      <c r="T286" s="14">
        <v>8.51</v>
      </c>
      <c r="U286" s="19">
        <f t="shared" si="21"/>
        <v>13.967155436531552</v>
      </c>
      <c r="V286" s="41">
        <f t="shared" si="24"/>
        <v>1296.7155436531552</v>
      </c>
      <c r="W286" s="14"/>
      <c r="X286" s="14" t="s">
        <v>56</v>
      </c>
      <c r="Z286" s="14" t="s">
        <v>56</v>
      </c>
      <c r="AA286" s="14"/>
      <c r="AB286" s="14" t="s">
        <v>111</v>
      </c>
      <c r="AC286" s="14">
        <v>1992</v>
      </c>
      <c r="AD286" s="14">
        <v>10</v>
      </c>
      <c r="AE286" s="14"/>
      <c r="AF286" s="14"/>
      <c r="AG286" s="14">
        <v>1992</v>
      </c>
      <c r="AH286" s="14">
        <f t="shared" si="22"/>
        <v>0</v>
      </c>
      <c r="AI286" s="17">
        <f t="shared" si="23"/>
        <v>10</v>
      </c>
      <c r="AJ286" s="14"/>
      <c r="AK286" s="14" t="s">
        <v>58</v>
      </c>
      <c r="AL286" s="13" t="s">
        <v>859</v>
      </c>
      <c r="AM286" s="12">
        <v>2007</v>
      </c>
      <c r="AN286" s="12" t="s">
        <v>860</v>
      </c>
      <c r="AO286" s="12" t="s">
        <v>56</v>
      </c>
      <c r="AP286" s="12"/>
      <c r="AQ286" s="12" t="s">
        <v>56</v>
      </c>
      <c r="AR286" s="12" t="s">
        <v>58</v>
      </c>
      <c r="AS286" s="12" t="s">
        <v>94</v>
      </c>
      <c r="AT286" s="12"/>
      <c r="AU286" s="45"/>
      <c r="AV286" s="15"/>
      <c r="AW286" s="12" t="str">
        <f>B286&amp;C286&amp;L286&amp;M286&amp;O286&amp;U286&amp;AL286&amp;AM286</f>
        <v>AustraliaMaria Island Marine Nature ReservePempheris multiradiatuscommon bullseyedensity13.9671554365316Barrett2007</v>
      </c>
    </row>
    <row r="287" spans="1:49" ht="14.25" customHeight="1" x14ac:dyDescent="0.35">
      <c r="A287" s="12">
        <v>286</v>
      </c>
      <c r="B287" s="15" t="s">
        <v>66</v>
      </c>
      <c r="C287" s="15" t="s">
        <v>1298</v>
      </c>
      <c r="D287" s="15" t="s">
        <v>1298</v>
      </c>
      <c r="E287" s="15" t="s">
        <v>1326</v>
      </c>
      <c r="F287" s="13" t="s">
        <v>50</v>
      </c>
      <c r="G287" s="16" t="s">
        <v>51</v>
      </c>
      <c r="H287" s="16" t="s">
        <v>52</v>
      </c>
      <c r="I287" s="16" t="s">
        <v>53</v>
      </c>
      <c r="J287" s="17"/>
      <c r="K287" s="17">
        <v>12</v>
      </c>
      <c r="L287" s="17"/>
      <c r="M287" s="17" t="s">
        <v>1350</v>
      </c>
      <c r="N287" s="53" t="s">
        <v>98</v>
      </c>
      <c r="O287" s="17" t="s">
        <v>86</v>
      </c>
      <c r="P287" s="17"/>
      <c r="Q287" s="17">
        <v>5.54</v>
      </c>
      <c r="R287" s="17">
        <v>10.210000000000001</v>
      </c>
      <c r="S287" s="17">
        <v>4.1399999999999997</v>
      </c>
      <c r="T287" s="17">
        <v>22.82</v>
      </c>
      <c r="U287" s="20">
        <f t="shared" si="21"/>
        <v>2.9908822931009191</v>
      </c>
      <c r="V287" s="22">
        <f t="shared" si="24"/>
        <v>199.08822931009192</v>
      </c>
      <c r="W287" s="17"/>
      <c r="X287" s="14" t="s">
        <v>56</v>
      </c>
      <c r="Z287" s="17" t="s">
        <v>56</v>
      </c>
      <c r="AA287" s="17"/>
      <c r="AB287" s="17" t="s">
        <v>111</v>
      </c>
      <c r="AC287" s="17">
        <v>1992</v>
      </c>
      <c r="AD287" s="17">
        <v>10</v>
      </c>
      <c r="AE287" s="17"/>
      <c r="AF287" s="17"/>
      <c r="AG287" s="17">
        <v>1992</v>
      </c>
      <c r="AH287" s="14">
        <f t="shared" si="22"/>
        <v>0</v>
      </c>
      <c r="AI287" s="17">
        <f t="shared" si="23"/>
        <v>10</v>
      </c>
      <c r="AJ287" s="17"/>
      <c r="AK287" s="17" t="s">
        <v>58</v>
      </c>
      <c r="AL287" s="16" t="s">
        <v>859</v>
      </c>
      <c r="AM287" s="15">
        <v>2007</v>
      </c>
      <c r="AN287" s="15" t="s">
        <v>860</v>
      </c>
      <c r="AO287" s="15" t="s">
        <v>56</v>
      </c>
      <c r="AP287" s="15"/>
      <c r="AQ287" s="15" t="s">
        <v>56</v>
      </c>
      <c r="AR287" s="15" t="s">
        <v>58</v>
      </c>
      <c r="AS287" s="15" t="s">
        <v>94</v>
      </c>
      <c r="AT287" s="15"/>
      <c r="AU287" s="45"/>
      <c r="AV287" s="15"/>
      <c r="AW287" s="12" t="str">
        <f>B287&amp;C287&amp;L287&amp;M287&amp;O287&amp;U287&amp;AL287&amp;AM287</f>
        <v>AustraliaMaria Island Marine Nature Reservefishes &gt; 300 mmdensity2.99088229310092Barrett2007</v>
      </c>
    </row>
    <row r="288" spans="1:49" ht="14.25" customHeight="1" x14ac:dyDescent="0.35">
      <c r="A288" s="12">
        <v>287</v>
      </c>
      <c r="B288" s="15" t="s">
        <v>66</v>
      </c>
      <c r="C288" s="15" t="s">
        <v>1298</v>
      </c>
      <c r="D288" s="15" t="s">
        <v>1298</v>
      </c>
      <c r="E288" s="12" t="s">
        <v>1326</v>
      </c>
      <c r="F288" s="13" t="s">
        <v>50</v>
      </c>
      <c r="G288" s="13" t="s">
        <v>51</v>
      </c>
      <c r="H288" s="16" t="s">
        <v>52</v>
      </c>
      <c r="I288" s="16" t="s">
        <v>53</v>
      </c>
      <c r="J288" s="17"/>
      <c r="K288" s="17">
        <v>12</v>
      </c>
      <c r="L288" s="17"/>
      <c r="M288" s="17" t="s">
        <v>1351</v>
      </c>
      <c r="N288" s="53" t="s">
        <v>98</v>
      </c>
      <c r="O288" s="17" t="s">
        <v>86</v>
      </c>
      <c r="P288" s="17"/>
      <c r="Q288" s="17">
        <v>5.07</v>
      </c>
      <c r="R288" s="17">
        <v>9.98</v>
      </c>
      <c r="S288" s="17">
        <v>3.75</v>
      </c>
      <c r="T288" s="17">
        <v>15.23</v>
      </c>
      <c r="U288" s="19">
        <f t="shared" si="21"/>
        <v>2.0632224448897794</v>
      </c>
      <c r="V288" s="41">
        <f t="shared" si="24"/>
        <v>106.32224448897793</v>
      </c>
      <c r="W288" s="14"/>
      <c r="X288" s="17" t="s">
        <v>56</v>
      </c>
      <c r="Y288" s="17"/>
      <c r="Z288" s="17" t="s">
        <v>56</v>
      </c>
      <c r="AA288" s="17"/>
      <c r="AB288" s="17" t="s">
        <v>111</v>
      </c>
      <c r="AC288" s="17">
        <v>1992</v>
      </c>
      <c r="AD288" s="17">
        <v>10</v>
      </c>
      <c r="AE288" s="17"/>
      <c r="AF288" s="17"/>
      <c r="AG288" s="17">
        <v>1992</v>
      </c>
      <c r="AH288" s="14">
        <f t="shared" si="22"/>
        <v>0</v>
      </c>
      <c r="AI288" s="17">
        <f t="shared" si="23"/>
        <v>10</v>
      </c>
      <c r="AJ288" s="17"/>
      <c r="AK288" s="17" t="s">
        <v>58</v>
      </c>
      <c r="AL288" s="16" t="s">
        <v>859</v>
      </c>
      <c r="AM288" s="15">
        <v>2007</v>
      </c>
      <c r="AN288" s="15" t="s">
        <v>860</v>
      </c>
      <c r="AO288" s="15" t="s">
        <v>56</v>
      </c>
      <c r="AP288" s="15"/>
      <c r="AQ288" s="15" t="s">
        <v>56</v>
      </c>
      <c r="AR288" s="15" t="s">
        <v>58</v>
      </c>
      <c r="AS288" s="15" t="s">
        <v>94</v>
      </c>
      <c r="AT288" s="12"/>
      <c r="AU288" s="45"/>
      <c r="AV288" s="15"/>
      <c r="AW288" s="12" t="str">
        <f>B288&amp;C288&amp;L288&amp;M288&amp;O288&amp;U288&amp;AL288&amp;AM288</f>
        <v>AustraliaMaria Island Marine Nature Reservefishes &gt; 300 mm, excluding Latridopsisdensity2.06322244488978Barrett2007</v>
      </c>
    </row>
    <row r="289" spans="1:49" ht="14.25" customHeight="1" x14ac:dyDescent="0.35">
      <c r="A289" s="12">
        <v>288</v>
      </c>
      <c r="B289" s="15" t="s">
        <v>66</v>
      </c>
      <c r="C289" s="15" t="s">
        <v>1298</v>
      </c>
      <c r="D289" s="15" t="s">
        <v>1298</v>
      </c>
      <c r="E289" s="12" t="s">
        <v>1326</v>
      </c>
      <c r="F289" s="13" t="s">
        <v>50</v>
      </c>
      <c r="G289" s="13" t="s">
        <v>51</v>
      </c>
      <c r="H289" s="16" t="s">
        <v>52</v>
      </c>
      <c r="I289" s="16" t="s">
        <v>53</v>
      </c>
      <c r="J289" s="17"/>
      <c r="K289" s="17">
        <v>12</v>
      </c>
      <c r="L289" s="17"/>
      <c r="M289" s="17" t="s">
        <v>1350</v>
      </c>
      <c r="N289" s="53" t="s">
        <v>98</v>
      </c>
      <c r="O289" s="17" t="s">
        <v>55</v>
      </c>
      <c r="P289" s="17"/>
      <c r="Q289" s="17">
        <v>3.31</v>
      </c>
      <c r="R289" s="17">
        <v>2.84</v>
      </c>
      <c r="S289" s="17">
        <v>2.1</v>
      </c>
      <c r="T289" s="17">
        <v>3.98</v>
      </c>
      <c r="U289" s="19">
        <f t="shared" si="21"/>
        <v>2.2088866532528506</v>
      </c>
      <c r="V289" s="41">
        <f t="shared" si="24"/>
        <v>120.88866532528506</v>
      </c>
      <c r="W289" s="14"/>
      <c r="X289" s="17" t="s">
        <v>56</v>
      </c>
      <c r="Y289" s="17"/>
      <c r="Z289" s="17" t="s">
        <v>56</v>
      </c>
      <c r="AA289" s="17"/>
      <c r="AB289" s="17" t="s">
        <v>111</v>
      </c>
      <c r="AC289" s="17">
        <v>1992</v>
      </c>
      <c r="AD289" s="17">
        <v>10</v>
      </c>
      <c r="AE289" s="17"/>
      <c r="AF289" s="17"/>
      <c r="AG289" s="17">
        <v>1992</v>
      </c>
      <c r="AH289" s="14">
        <f t="shared" si="22"/>
        <v>0</v>
      </c>
      <c r="AI289" s="17">
        <f t="shared" si="23"/>
        <v>10</v>
      </c>
      <c r="AJ289" s="17"/>
      <c r="AK289" s="17" t="s">
        <v>58</v>
      </c>
      <c r="AL289" s="16" t="s">
        <v>859</v>
      </c>
      <c r="AM289" s="15">
        <v>2007</v>
      </c>
      <c r="AN289" s="15" t="s">
        <v>860</v>
      </c>
      <c r="AO289" s="15" t="s">
        <v>56</v>
      </c>
      <c r="AP289" s="15"/>
      <c r="AQ289" s="15" t="s">
        <v>56</v>
      </c>
      <c r="AR289" s="15" t="s">
        <v>58</v>
      </c>
      <c r="AS289" s="15" t="s">
        <v>94</v>
      </c>
      <c r="AT289" s="12"/>
      <c r="AU289" s="45"/>
      <c r="AV289" s="15"/>
      <c r="AW289" s="12" t="str">
        <f>B289&amp;C289&amp;L289&amp;M289&amp;O289&amp;U289&amp;AL289&amp;AM289</f>
        <v>AustraliaMaria Island Marine Nature Reservefishes &gt; 300 mmrichness2.20888665325285Barrett2007</v>
      </c>
    </row>
    <row r="290" spans="1:49" ht="14.25" customHeight="1" x14ac:dyDescent="0.35">
      <c r="A290" s="12">
        <v>289</v>
      </c>
      <c r="B290" s="15" t="s">
        <v>66</v>
      </c>
      <c r="C290" s="15" t="s">
        <v>1298</v>
      </c>
      <c r="D290" s="15" t="s">
        <v>1298</v>
      </c>
      <c r="E290" s="12" t="s">
        <v>1326</v>
      </c>
      <c r="F290" s="13" t="s">
        <v>50</v>
      </c>
      <c r="G290" s="13" t="s">
        <v>51</v>
      </c>
      <c r="H290" s="16" t="s">
        <v>52</v>
      </c>
      <c r="I290" s="16" t="s">
        <v>53</v>
      </c>
      <c r="J290" s="17"/>
      <c r="K290" s="17">
        <v>12</v>
      </c>
      <c r="L290" s="17"/>
      <c r="M290" s="17" t="s">
        <v>1352</v>
      </c>
      <c r="N290" s="53" t="s">
        <v>98</v>
      </c>
      <c r="O290" s="17" t="s">
        <v>55</v>
      </c>
      <c r="P290" s="17"/>
      <c r="Q290" s="17">
        <v>1.54</v>
      </c>
      <c r="R290" s="17">
        <v>1.49</v>
      </c>
      <c r="S290" s="17">
        <v>1.37</v>
      </c>
      <c r="T290" s="17">
        <v>1.32</v>
      </c>
      <c r="U290" s="19">
        <f t="shared" si="21"/>
        <v>0.99583598687111163</v>
      </c>
      <c r="V290" s="41">
        <f t="shared" si="24"/>
        <v>-0.41640131288883664</v>
      </c>
      <c r="W290" s="14"/>
      <c r="X290" s="17" t="s">
        <v>56</v>
      </c>
      <c r="Y290" s="17"/>
      <c r="Z290" s="17" t="s">
        <v>56</v>
      </c>
      <c r="AA290" s="17"/>
      <c r="AB290" s="17" t="s">
        <v>111</v>
      </c>
      <c r="AC290" s="17">
        <v>1992</v>
      </c>
      <c r="AD290" s="17">
        <v>10</v>
      </c>
      <c r="AE290" s="17"/>
      <c r="AF290" s="17"/>
      <c r="AG290" s="17">
        <v>1992</v>
      </c>
      <c r="AH290" s="14">
        <f t="shared" si="22"/>
        <v>0</v>
      </c>
      <c r="AI290" s="17">
        <f t="shared" si="23"/>
        <v>10</v>
      </c>
      <c r="AJ290" s="17"/>
      <c r="AK290" s="17" t="s">
        <v>58</v>
      </c>
      <c r="AL290" s="16" t="s">
        <v>859</v>
      </c>
      <c r="AM290" s="15">
        <v>2007</v>
      </c>
      <c r="AN290" s="15" t="s">
        <v>860</v>
      </c>
      <c r="AO290" s="15" t="s">
        <v>56</v>
      </c>
      <c r="AP290" s="15"/>
      <c r="AQ290" s="15" t="s">
        <v>56</v>
      </c>
      <c r="AR290" s="15" t="s">
        <v>58</v>
      </c>
      <c r="AS290" s="15" t="s">
        <v>94</v>
      </c>
      <c r="AT290" s="12"/>
      <c r="AU290" s="45"/>
      <c r="AV290" s="15"/>
      <c r="AW290" s="12" t="str">
        <f>B290&amp;C290&amp;L290&amp;M290&amp;O290&amp;U290&amp;AL290&amp;AM290</f>
        <v>AustraliaMaria Island Marine Nature Reservefishesrichness0.995835986871112Barrett2007</v>
      </c>
    </row>
    <row r="291" spans="1:49" ht="14.25" customHeight="1" x14ac:dyDescent="0.35">
      <c r="A291" s="12">
        <v>290</v>
      </c>
      <c r="B291" s="15" t="s">
        <v>66</v>
      </c>
      <c r="C291" s="15" t="s">
        <v>853</v>
      </c>
      <c r="D291" s="15" t="s">
        <v>853</v>
      </c>
      <c r="E291" s="12" t="s">
        <v>875</v>
      </c>
      <c r="F291" s="13" t="s">
        <v>50</v>
      </c>
      <c r="G291" s="13" t="s">
        <v>51</v>
      </c>
      <c r="H291" s="16" t="s">
        <v>52</v>
      </c>
      <c r="I291" s="16" t="s">
        <v>53</v>
      </c>
      <c r="J291" s="17"/>
      <c r="K291" s="17">
        <v>1</v>
      </c>
      <c r="L291" s="17" t="s">
        <v>1062</v>
      </c>
      <c r="M291" s="17" t="s">
        <v>876</v>
      </c>
      <c r="N291" s="17" t="s">
        <v>85</v>
      </c>
      <c r="O291" s="17" t="s">
        <v>86</v>
      </c>
      <c r="P291" s="17"/>
      <c r="Q291" s="17">
        <v>2.68</v>
      </c>
      <c r="R291" s="17">
        <v>2.68</v>
      </c>
      <c r="S291" s="17">
        <v>1.27</v>
      </c>
      <c r="T291" s="17">
        <v>5.01</v>
      </c>
      <c r="U291" s="19">
        <f t="shared" si="21"/>
        <v>3.9448818897637796</v>
      </c>
      <c r="V291" s="41">
        <f t="shared" si="24"/>
        <v>294.48818897637796</v>
      </c>
      <c r="W291" s="14"/>
      <c r="X291" s="17" t="s">
        <v>56</v>
      </c>
      <c r="Y291" s="17"/>
      <c r="Z291" s="17" t="s">
        <v>56</v>
      </c>
      <c r="AA291" s="17"/>
      <c r="AB291" s="17" t="s">
        <v>111</v>
      </c>
      <c r="AC291" s="17">
        <v>1992</v>
      </c>
      <c r="AD291" s="17">
        <v>10</v>
      </c>
      <c r="AE291" s="17"/>
      <c r="AF291" s="17"/>
      <c r="AG291" s="17">
        <v>1992</v>
      </c>
      <c r="AH291" s="14">
        <f t="shared" si="22"/>
        <v>0</v>
      </c>
      <c r="AI291" s="17">
        <f t="shared" si="23"/>
        <v>10</v>
      </c>
      <c r="AJ291" s="17"/>
      <c r="AK291" s="17" t="s">
        <v>58</v>
      </c>
      <c r="AL291" s="16" t="s">
        <v>859</v>
      </c>
      <c r="AM291" s="15">
        <v>2007</v>
      </c>
      <c r="AN291" s="15" t="s">
        <v>860</v>
      </c>
      <c r="AO291" s="15" t="s">
        <v>56</v>
      </c>
      <c r="AP291" s="15"/>
      <c r="AQ291" s="15" t="s">
        <v>56</v>
      </c>
      <c r="AR291" s="15" t="s">
        <v>58</v>
      </c>
      <c r="AS291" s="15" t="s">
        <v>94</v>
      </c>
      <c r="AT291" s="12"/>
      <c r="AU291" s="45" t="s">
        <v>2573</v>
      </c>
      <c r="AV291" s="15"/>
      <c r="AW291" s="12" t="str">
        <f>B291&amp;C291&amp;L291&amp;M291&amp;O291&amp;U291&amp;AL291&amp;AM291</f>
        <v>AustraliaGovernor Island Marine Nature ReserveCheilodactylus spectabilisAustralian banded morwongdensity3.94488188976378Barrett2007</v>
      </c>
    </row>
    <row r="292" spans="1:49" ht="14.25" customHeight="1" x14ac:dyDescent="0.35">
      <c r="A292" s="12">
        <v>291</v>
      </c>
      <c r="B292" s="15" t="s">
        <v>66</v>
      </c>
      <c r="C292" s="15" t="s">
        <v>853</v>
      </c>
      <c r="D292" s="15" t="s">
        <v>853</v>
      </c>
      <c r="E292" s="12" t="s">
        <v>875</v>
      </c>
      <c r="F292" s="13" t="s">
        <v>50</v>
      </c>
      <c r="G292" s="13" t="s">
        <v>51</v>
      </c>
      <c r="H292" s="16" t="s">
        <v>52</v>
      </c>
      <c r="I292" s="16" t="s">
        <v>53</v>
      </c>
      <c r="J292" s="17"/>
      <c r="K292" s="17">
        <v>1</v>
      </c>
      <c r="L292" s="17" t="s">
        <v>877</v>
      </c>
      <c r="M292" s="17" t="s">
        <v>878</v>
      </c>
      <c r="N292" s="17" t="s">
        <v>85</v>
      </c>
      <c r="O292" s="17" t="s">
        <v>86</v>
      </c>
      <c r="P292" s="17"/>
      <c r="Q292" s="17">
        <v>1.03</v>
      </c>
      <c r="R292" s="17">
        <v>1.99</v>
      </c>
      <c r="S292" s="17">
        <v>6.33</v>
      </c>
      <c r="T292" s="17">
        <v>6.02</v>
      </c>
      <c r="U292" s="19">
        <f t="shared" si="21"/>
        <v>0.49224003111926146</v>
      </c>
      <c r="V292" s="41">
        <f t="shared" si="24"/>
        <v>-50.775996888073863</v>
      </c>
      <c r="W292" s="14"/>
      <c r="X292" s="17" t="s">
        <v>56</v>
      </c>
      <c r="Y292" s="17"/>
      <c r="Z292" s="17" t="s">
        <v>56</v>
      </c>
      <c r="AA292" s="17"/>
      <c r="AB292" s="17" t="s">
        <v>111</v>
      </c>
      <c r="AC292" s="17">
        <v>1992</v>
      </c>
      <c r="AD292" s="17">
        <v>10</v>
      </c>
      <c r="AE292" s="17"/>
      <c r="AF292" s="17"/>
      <c r="AG292" s="17">
        <v>1992</v>
      </c>
      <c r="AH292" s="14">
        <f t="shared" si="22"/>
        <v>0</v>
      </c>
      <c r="AI292" s="17">
        <f t="shared" si="23"/>
        <v>10</v>
      </c>
      <c r="AJ292" s="17"/>
      <c r="AK292" s="17" t="s">
        <v>58</v>
      </c>
      <c r="AL292" s="16" t="s">
        <v>859</v>
      </c>
      <c r="AM292" s="15">
        <v>2007</v>
      </c>
      <c r="AN292" s="15" t="s">
        <v>860</v>
      </c>
      <c r="AO292" s="15" t="s">
        <v>56</v>
      </c>
      <c r="AP292" s="15"/>
      <c r="AQ292" s="15" t="s">
        <v>56</v>
      </c>
      <c r="AR292" s="15" t="s">
        <v>58</v>
      </c>
      <c r="AS292" s="15" t="s">
        <v>94</v>
      </c>
      <c r="AT292" s="12"/>
      <c r="AU292" s="45" t="s">
        <v>2573</v>
      </c>
      <c r="AV292" s="15"/>
      <c r="AW292" s="12" t="str">
        <f>B292&amp;C292&amp;L292&amp;M292&amp;O292&amp;U292&amp;AL292&amp;AM292</f>
        <v>AustraliaGovernor Island Marine Nature ReserveOdax cyanomelasherring caledensity0.492240031119261Barrett2007</v>
      </c>
    </row>
    <row r="293" spans="1:49" ht="14.25" customHeight="1" x14ac:dyDescent="0.35">
      <c r="A293" s="12">
        <v>292</v>
      </c>
      <c r="B293" s="15" t="s">
        <v>66</v>
      </c>
      <c r="C293" s="15" t="s">
        <v>853</v>
      </c>
      <c r="D293" s="15" t="s">
        <v>853</v>
      </c>
      <c r="E293" s="15" t="s">
        <v>875</v>
      </c>
      <c r="F293" s="16" t="s">
        <v>50</v>
      </c>
      <c r="G293" s="16" t="s">
        <v>51</v>
      </c>
      <c r="H293" s="16" t="s">
        <v>52</v>
      </c>
      <c r="I293" s="16" t="s">
        <v>53</v>
      </c>
      <c r="J293" s="17"/>
      <c r="K293" s="17">
        <v>1</v>
      </c>
      <c r="L293" s="17" t="s">
        <v>879</v>
      </c>
      <c r="M293" s="17" t="s">
        <v>880</v>
      </c>
      <c r="N293" s="17" t="s">
        <v>85</v>
      </c>
      <c r="O293" s="17" t="s">
        <v>86</v>
      </c>
      <c r="P293" s="17"/>
      <c r="Q293" s="17">
        <v>0.99</v>
      </c>
      <c r="R293" s="17">
        <v>2.97</v>
      </c>
      <c r="S293" s="17">
        <v>3.4</v>
      </c>
      <c r="T293" s="17">
        <v>0.35</v>
      </c>
      <c r="U293" s="20">
        <f t="shared" si="21"/>
        <v>3.4313725490196074E-2</v>
      </c>
      <c r="V293" s="22">
        <f t="shared" si="24"/>
        <v>-96.568627450980387</v>
      </c>
      <c r="W293" s="17"/>
      <c r="X293" s="17" t="s">
        <v>56</v>
      </c>
      <c r="Y293" s="17"/>
      <c r="Z293" s="17" t="s">
        <v>56</v>
      </c>
      <c r="AA293" s="17"/>
      <c r="AB293" s="17" t="s">
        <v>111</v>
      </c>
      <c r="AC293" s="17">
        <v>1992</v>
      </c>
      <c r="AD293" s="17">
        <v>10</v>
      </c>
      <c r="AE293" s="17"/>
      <c r="AF293" s="17"/>
      <c r="AG293" s="17">
        <v>1992</v>
      </c>
      <c r="AH293" s="14">
        <f t="shared" si="22"/>
        <v>0</v>
      </c>
      <c r="AI293" s="17">
        <f t="shared" si="23"/>
        <v>10</v>
      </c>
      <c r="AJ293" s="17"/>
      <c r="AK293" s="17" t="s">
        <v>58</v>
      </c>
      <c r="AL293" s="16" t="s">
        <v>859</v>
      </c>
      <c r="AM293" s="15">
        <v>2007</v>
      </c>
      <c r="AN293" s="15" t="s">
        <v>860</v>
      </c>
      <c r="AO293" s="15" t="s">
        <v>56</v>
      </c>
      <c r="AP293" s="15"/>
      <c r="AQ293" s="15" t="s">
        <v>56</v>
      </c>
      <c r="AR293" s="15" t="s">
        <v>58</v>
      </c>
      <c r="AS293" s="15" t="s">
        <v>94</v>
      </c>
      <c r="AT293" s="15"/>
      <c r="AU293" s="45" t="s">
        <v>2573</v>
      </c>
      <c r="AV293" s="15"/>
      <c r="AW293" s="12" t="str">
        <f>B293&amp;C293&amp;L293&amp;M293&amp;O293&amp;U293&amp;AL293&amp;AM293</f>
        <v>AustraliaGovernor Island Marine Nature ReserveNotolabrus tetricusblue-throated wrassedensity0.0343137254901961Barrett2007</v>
      </c>
    </row>
    <row r="294" spans="1:49" ht="14.25" customHeight="1" x14ac:dyDescent="0.35">
      <c r="A294" s="12">
        <v>293</v>
      </c>
      <c r="B294" s="12" t="s">
        <v>66</v>
      </c>
      <c r="C294" s="12" t="s">
        <v>853</v>
      </c>
      <c r="D294" s="15" t="s">
        <v>853</v>
      </c>
      <c r="E294" s="12" t="s">
        <v>875</v>
      </c>
      <c r="F294" s="13" t="s">
        <v>50</v>
      </c>
      <c r="G294" s="13" t="s">
        <v>51</v>
      </c>
      <c r="H294" s="13" t="s">
        <v>52</v>
      </c>
      <c r="I294" s="13" t="s">
        <v>53</v>
      </c>
      <c r="K294" s="17">
        <v>1</v>
      </c>
      <c r="L294" s="14" t="s">
        <v>881</v>
      </c>
      <c r="M294" s="14" t="s">
        <v>882</v>
      </c>
      <c r="N294" s="14" t="s">
        <v>85</v>
      </c>
      <c r="O294" s="17" t="s">
        <v>86</v>
      </c>
      <c r="P294" s="14"/>
      <c r="Q294" s="14">
        <v>4.4400000000000004</v>
      </c>
      <c r="R294" s="14">
        <v>9.11</v>
      </c>
      <c r="S294" s="14">
        <v>3.04</v>
      </c>
      <c r="T294" s="14">
        <v>17.510000000000002</v>
      </c>
      <c r="U294" s="19">
        <f t="shared" si="21"/>
        <v>2.80722456525507</v>
      </c>
      <c r="V294" s="41">
        <f t="shared" si="24"/>
        <v>180.722456525507</v>
      </c>
      <c r="W294" s="14"/>
      <c r="X294" s="14" t="s">
        <v>56</v>
      </c>
      <c r="Z294" s="14" t="s">
        <v>56</v>
      </c>
      <c r="AA294" s="14"/>
      <c r="AB294" s="14" t="s">
        <v>111</v>
      </c>
      <c r="AC294" s="14">
        <v>1992</v>
      </c>
      <c r="AD294" s="14">
        <v>10</v>
      </c>
      <c r="AE294" s="14"/>
      <c r="AF294" s="14"/>
      <c r="AG294" s="14">
        <v>1992</v>
      </c>
      <c r="AH294" s="14">
        <f t="shared" si="22"/>
        <v>0</v>
      </c>
      <c r="AI294" s="17">
        <f t="shared" si="23"/>
        <v>10</v>
      </c>
      <c r="AJ294" s="14"/>
      <c r="AK294" s="14" t="s">
        <v>58</v>
      </c>
      <c r="AL294" s="13" t="s">
        <v>859</v>
      </c>
      <c r="AM294" s="12">
        <v>2007</v>
      </c>
      <c r="AN294" s="12" t="s">
        <v>860</v>
      </c>
      <c r="AO294" s="12" t="s">
        <v>56</v>
      </c>
      <c r="AP294" s="12"/>
      <c r="AQ294" s="12" t="s">
        <v>56</v>
      </c>
      <c r="AR294" s="12" t="s">
        <v>58</v>
      </c>
      <c r="AS294" s="12" t="s">
        <v>94</v>
      </c>
      <c r="AT294" s="12"/>
      <c r="AU294" s="45" t="s">
        <v>2573</v>
      </c>
      <c r="AV294" s="15"/>
      <c r="AW294" s="12" t="str">
        <f>B294&amp;C294&amp;L294&amp;M294&amp;O294&amp;U294&amp;AL294&amp;AM294</f>
        <v>AustraliaGovernor Island Marine Nature ReserveNotolabrus fucicolabanded parrotfishdensity2.80722456525507Barrett2007</v>
      </c>
    </row>
    <row r="295" spans="1:49" ht="14.25" customHeight="1" x14ac:dyDescent="0.35">
      <c r="A295" s="12">
        <v>294</v>
      </c>
      <c r="B295" s="15" t="s">
        <v>66</v>
      </c>
      <c r="C295" s="15" t="s">
        <v>853</v>
      </c>
      <c r="D295" s="15" t="s">
        <v>853</v>
      </c>
      <c r="E295" s="15" t="s">
        <v>875</v>
      </c>
      <c r="F295" s="16" t="s">
        <v>50</v>
      </c>
      <c r="G295" s="16" t="s">
        <v>51</v>
      </c>
      <c r="H295" s="16" t="s">
        <v>52</v>
      </c>
      <c r="I295" s="16" t="s">
        <v>53</v>
      </c>
      <c r="J295" s="17"/>
      <c r="K295" s="17">
        <v>1</v>
      </c>
      <c r="L295" s="17" t="s">
        <v>883</v>
      </c>
      <c r="M295" s="17" t="s">
        <v>884</v>
      </c>
      <c r="N295" s="17" t="s">
        <v>85</v>
      </c>
      <c r="O295" s="17" t="s">
        <v>86</v>
      </c>
      <c r="P295" s="17"/>
      <c r="Q295" s="17">
        <v>1.62</v>
      </c>
      <c r="R295" s="17">
        <v>4.3899999999999997</v>
      </c>
      <c r="S295" s="17">
        <v>5.01</v>
      </c>
      <c r="T295" s="17">
        <v>10.41</v>
      </c>
      <c r="U295" s="20">
        <f t="shared" si="21"/>
        <v>0.76676714907315224</v>
      </c>
      <c r="V295" s="22">
        <f t="shared" si="24"/>
        <v>-23.323285092684777</v>
      </c>
      <c r="W295" s="17"/>
      <c r="X295" s="17" t="s">
        <v>56</v>
      </c>
      <c r="Y295" s="17"/>
      <c r="Z295" s="17" t="s">
        <v>56</v>
      </c>
      <c r="AA295" s="17"/>
      <c r="AB295" s="17" t="s">
        <v>111</v>
      </c>
      <c r="AC295" s="17">
        <v>1992</v>
      </c>
      <c r="AD295" s="17">
        <v>10</v>
      </c>
      <c r="AE295" s="17"/>
      <c r="AF295" s="17"/>
      <c r="AG295" s="17">
        <v>1992</v>
      </c>
      <c r="AH295" s="14">
        <f t="shared" si="22"/>
        <v>0</v>
      </c>
      <c r="AI295" s="17">
        <f t="shared" si="23"/>
        <v>10</v>
      </c>
      <c r="AJ295" s="17"/>
      <c r="AK295" s="17" t="s">
        <v>58</v>
      </c>
      <c r="AL295" s="16" t="s">
        <v>859</v>
      </c>
      <c r="AM295" s="15">
        <v>2007</v>
      </c>
      <c r="AN295" s="15" t="s">
        <v>860</v>
      </c>
      <c r="AO295" s="15" t="s">
        <v>56</v>
      </c>
      <c r="AP295" s="15"/>
      <c r="AQ295" s="15" t="s">
        <v>56</v>
      </c>
      <c r="AR295" s="15" t="s">
        <v>58</v>
      </c>
      <c r="AS295" s="15" t="s">
        <v>94</v>
      </c>
      <c r="AT295" s="15"/>
      <c r="AU295" s="45" t="s">
        <v>2573</v>
      </c>
      <c r="AV295" s="15"/>
      <c r="AW295" s="12" t="str">
        <f>B295&amp;C295&amp;L295&amp;M295&amp;O295&amp;U295&amp;AL295&amp;AM295</f>
        <v>AustraliaGovernor Island Marine Nature ReserveAcanthaluterus vittigertoothbrush leatherjacketdensity0.766767149073152Barrett2007</v>
      </c>
    </row>
    <row r="296" spans="1:49" ht="14.25" customHeight="1" x14ac:dyDescent="0.35">
      <c r="A296" s="12">
        <v>295</v>
      </c>
      <c r="B296" s="15" t="s">
        <v>66</v>
      </c>
      <c r="C296" s="15" t="s">
        <v>853</v>
      </c>
      <c r="D296" s="15" t="s">
        <v>853</v>
      </c>
      <c r="E296" s="15" t="s">
        <v>875</v>
      </c>
      <c r="F296" s="13" t="s">
        <v>50</v>
      </c>
      <c r="G296" s="13" t="s">
        <v>51</v>
      </c>
      <c r="H296" s="16" t="s">
        <v>52</v>
      </c>
      <c r="I296" s="16" t="s">
        <v>53</v>
      </c>
      <c r="J296" s="17"/>
      <c r="K296" s="17">
        <v>1</v>
      </c>
      <c r="L296" s="17" t="s">
        <v>885</v>
      </c>
      <c r="M296" s="17" t="s">
        <v>886</v>
      </c>
      <c r="N296" s="17" t="s">
        <v>85</v>
      </c>
      <c r="O296" s="17" t="s">
        <v>86</v>
      </c>
      <c r="P296" s="17"/>
      <c r="Q296" s="17">
        <v>0.38</v>
      </c>
      <c r="R296" s="17">
        <v>4.3499999999999996</v>
      </c>
      <c r="S296" s="17">
        <v>0.33</v>
      </c>
      <c r="T296" s="17">
        <v>1.33</v>
      </c>
      <c r="U296" s="20">
        <f t="shared" si="21"/>
        <v>0.35207244862417281</v>
      </c>
      <c r="V296" s="22">
        <f t="shared" si="24"/>
        <v>-64.792755137582716</v>
      </c>
      <c r="W296" s="17"/>
      <c r="X296" s="17" t="s">
        <v>56</v>
      </c>
      <c r="Y296" s="17"/>
      <c r="Z296" s="17" t="s">
        <v>56</v>
      </c>
      <c r="AA296" s="17"/>
      <c r="AB296" s="17" t="s">
        <v>111</v>
      </c>
      <c r="AC296" s="17">
        <v>1992</v>
      </c>
      <c r="AD296" s="17">
        <v>10</v>
      </c>
      <c r="AE296" s="17"/>
      <c r="AF296" s="17"/>
      <c r="AG296" s="17">
        <v>1992</v>
      </c>
      <c r="AH296" s="14">
        <f t="shared" si="22"/>
        <v>0</v>
      </c>
      <c r="AI296" s="17">
        <f t="shared" si="23"/>
        <v>10</v>
      </c>
      <c r="AJ296" s="17"/>
      <c r="AK296" s="17" t="s">
        <v>58</v>
      </c>
      <c r="AL296" s="16" t="s">
        <v>859</v>
      </c>
      <c r="AM296" s="15">
        <v>2007</v>
      </c>
      <c r="AN296" s="12" t="s">
        <v>860</v>
      </c>
      <c r="AO296" s="15" t="s">
        <v>56</v>
      </c>
      <c r="AP296" s="15"/>
      <c r="AQ296" s="15" t="s">
        <v>56</v>
      </c>
      <c r="AR296" s="15" t="s">
        <v>58</v>
      </c>
      <c r="AS296" s="15" t="s">
        <v>94</v>
      </c>
      <c r="AT296" s="15"/>
      <c r="AU296" s="45" t="s">
        <v>2573</v>
      </c>
      <c r="AV296" s="15"/>
      <c r="AW296" s="12" t="str">
        <f>B296&amp;C296&amp;L296&amp;M296&amp;O296&amp;U296&amp;AL296&amp;AM296</f>
        <v>AustraliaGovernor Island Marine Nature ReservePseudolabrus psittaculusrosy wrassedensity0.352072448624173Barrett2007</v>
      </c>
    </row>
    <row r="297" spans="1:49" ht="14.25" customHeight="1" x14ac:dyDescent="0.35">
      <c r="A297" s="12">
        <v>296</v>
      </c>
      <c r="B297" s="15" t="s">
        <v>66</v>
      </c>
      <c r="C297" s="15" t="s">
        <v>1983</v>
      </c>
      <c r="D297" s="15" t="s">
        <v>1983</v>
      </c>
      <c r="E297" s="15" t="s">
        <v>1994</v>
      </c>
      <c r="F297" s="13" t="s">
        <v>50</v>
      </c>
      <c r="G297" s="13" t="s">
        <v>51</v>
      </c>
      <c r="H297" s="16" t="s">
        <v>52</v>
      </c>
      <c r="I297" s="16" t="s">
        <v>53</v>
      </c>
      <c r="J297" s="17">
        <v>0.72</v>
      </c>
      <c r="K297" s="17"/>
      <c r="L297" s="17" t="s">
        <v>1333</v>
      </c>
      <c r="M297" s="17" t="s">
        <v>1334</v>
      </c>
      <c r="N297" s="17" t="s">
        <v>85</v>
      </c>
      <c r="O297" s="17" t="s">
        <v>86</v>
      </c>
      <c r="P297" s="17"/>
      <c r="Q297" s="17"/>
      <c r="R297" s="17"/>
      <c r="S297" s="17">
        <v>3.57</v>
      </c>
      <c r="T297" s="17">
        <v>17.03</v>
      </c>
      <c r="U297" s="20">
        <f t="shared" si="21"/>
        <v>4.7703081232493005</v>
      </c>
      <c r="V297" s="22">
        <f t="shared" si="24"/>
        <v>377.03081232493003</v>
      </c>
      <c r="W297" s="17"/>
      <c r="X297" s="17" t="s">
        <v>56</v>
      </c>
      <c r="Y297" s="17"/>
      <c r="Z297" s="17" t="s">
        <v>56</v>
      </c>
      <c r="AA297" s="17"/>
      <c r="AB297" s="17" t="s">
        <v>182</v>
      </c>
      <c r="AC297" s="17">
        <v>1992</v>
      </c>
      <c r="AD297" s="17">
        <v>10</v>
      </c>
      <c r="AE297" s="17"/>
      <c r="AF297" s="17"/>
      <c r="AG297" s="17">
        <v>1992</v>
      </c>
      <c r="AH297" s="14">
        <f t="shared" si="22"/>
        <v>0</v>
      </c>
      <c r="AI297" s="17">
        <f t="shared" si="23"/>
        <v>10</v>
      </c>
      <c r="AJ297" s="17"/>
      <c r="AK297" s="17" t="s">
        <v>58</v>
      </c>
      <c r="AL297" s="16" t="s">
        <v>859</v>
      </c>
      <c r="AM297" s="15">
        <v>2007</v>
      </c>
      <c r="AN297" s="12" t="s">
        <v>860</v>
      </c>
      <c r="AO297" s="15" t="s">
        <v>56</v>
      </c>
      <c r="AP297" s="15"/>
      <c r="AQ297" s="15" t="s">
        <v>56</v>
      </c>
      <c r="AR297" s="15" t="s">
        <v>58</v>
      </c>
      <c r="AS297" s="15" t="s">
        <v>94</v>
      </c>
      <c r="AT297" s="15"/>
      <c r="AU297" s="45"/>
      <c r="AV297" s="15"/>
      <c r="AW297" s="12" t="str">
        <f>B297&amp;C297&amp;L297&amp;M297&amp;O297&amp;U297&amp;AL297&amp;AM297</f>
        <v>AustraliaTinderbox Marine Nature ReserveLatridopsis forsteribastard trumpeterdensity4.7703081232493Barrett2007</v>
      </c>
    </row>
    <row r="298" spans="1:49" ht="14.25" customHeight="1" x14ac:dyDescent="0.35">
      <c r="A298" s="12">
        <v>297</v>
      </c>
      <c r="B298" s="15" t="s">
        <v>66</v>
      </c>
      <c r="C298" s="15" t="s">
        <v>1983</v>
      </c>
      <c r="D298" s="15" t="s">
        <v>1983</v>
      </c>
      <c r="E298" s="12" t="s">
        <v>1994</v>
      </c>
      <c r="F298" s="13" t="s">
        <v>50</v>
      </c>
      <c r="G298" s="13" t="s">
        <v>51</v>
      </c>
      <c r="H298" s="16" t="s">
        <v>52</v>
      </c>
      <c r="I298" s="16" t="s">
        <v>53</v>
      </c>
      <c r="J298" s="17">
        <v>0.72</v>
      </c>
      <c r="K298" s="17"/>
      <c r="L298" s="17" t="s">
        <v>881</v>
      </c>
      <c r="M298" s="17" t="s">
        <v>882</v>
      </c>
      <c r="N298" s="17" t="s">
        <v>85</v>
      </c>
      <c r="O298" s="17" t="s">
        <v>86</v>
      </c>
      <c r="P298" s="17"/>
      <c r="Q298" s="17">
        <v>1.82</v>
      </c>
      <c r="R298" s="17">
        <v>0.7</v>
      </c>
      <c r="S298" s="17">
        <v>2.94</v>
      </c>
      <c r="T298" s="17">
        <v>0.7</v>
      </c>
      <c r="U298" s="19">
        <f t="shared" si="21"/>
        <v>0.61904761904761907</v>
      </c>
      <c r="V298" s="41">
        <f t="shared" si="24"/>
        <v>-38.095238095238095</v>
      </c>
      <c r="W298" s="14"/>
      <c r="X298" s="17" t="s">
        <v>56</v>
      </c>
      <c r="Z298" s="17" t="s">
        <v>56</v>
      </c>
      <c r="AA298" s="17"/>
      <c r="AB298" s="17" t="s">
        <v>111</v>
      </c>
      <c r="AC298" s="17">
        <v>1992</v>
      </c>
      <c r="AD298" s="17">
        <v>10</v>
      </c>
      <c r="AE298" s="17"/>
      <c r="AF298" s="17"/>
      <c r="AG298" s="17">
        <v>1992</v>
      </c>
      <c r="AH298" s="14">
        <f t="shared" si="22"/>
        <v>0</v>
      </c>
      <c r="AI298" s="17">
        <f t="shared" si="23"/>
        <v>10</v>
      </c>
      <c r="AJ298" s="17"/>
      <c r="AK298" s="17" t="s">
        <v>58</v>
      </c>
      <c r="AL298" s="16" t="s">
        <v>859</v>
      </c>
      <c r="AM298" s="15">
        <v>2007</v>
      </c>
      <c r="AN298" s="12" t="s">
        <v>860</v>
      </c>
      <c r="AO298" s="15" t="s">
        <v>56</v>
      </c>
      <c r="AP298" s="15"/>
      <c r="AQ298" s="15" t="s">
        <v>56</v>
      </c>
      <c r="AR298" s="15" t="s">
        <v>58</v>
      </c>
      <c r="AS298" s="15" t="s">
        <v>94</v>
      </c>
      <c r="AT298" s="12"/>
      <c r="AU298" s="45"/>
      <c r="AV298" s="15"/>
      <c r="AW298" s="12" t="str">
        <f>B298&amp;C298&amp;L298&amp;M298&amp;O298&amp;U298&amp;AL298&amp;AM298</f>
        <v>AustraliaTinderbox Marine Nature ReserveNotolabrus fucicolabanded parrotfishdensity0.619047619047619Barrett2007</v>
      </c>
    </row>
    <row r="299" spans="1:49" ht="14.15" customHeight="1" x14ac:dyDescent="0.35">
      <c r="A299" s="12">
        <v>298</v>
      </c>
      <c r="B299" s="15" t="s">
        <v>66</v>
      </c>
      <c r="C299" s="15" t="s">
        <v>1983</v>
      </c>
      <c r="D299" s="15" t="s">
        <v>1983</v>
      </c>
      <c r="E299" s="15" t="s">
        <v>1994</v>
      </c>
      <c r="F299" s="16" t="s">
        <v>50</v>
      </c>
      <c r="G299" s="16" t="s">
        <v>51</v>
      </c>
      <c r="H299" s="16" t="s">
        <v>52</v>
      </c>
      <c r="I299" s="16" t="s">
        <v>53</v>
      </c>
      <c r="J299" s="17">
        <v>0.72</v>
      </c>
      <c r="K299" s="17"/>
      <c r="L299" s="17" t="s">
        <v>879</v>
      </c>
      <c r="M299" s="17" t="s">
        <v>880</v>
      </c>
      <c r="N299" s="17" t="s">
        <v>85</v>
      </c>
      <c r="O299" s="17" t="s">
        <v>86</v>
      </c>
      <c r="P299" s="17"/>
      <c r="Q299" s="17">
        <v>17.579999999999998</v>
      </c>
      <c r="R299" s="17">
        <v>33.54</v>
      </c>
      <c r="S299" s="17">
        <v>25.4</v>
      </c>
      <c r="T299" s="17">
        <v>41.02</v>
      </c>
      <c r="U299" s="20">
        <f t="shared" si="21"/>
        <v>0.84648204752581235</v>
      </c>
      <c r="V299" s="22">
        <f t="shared" si="24"/>
        <v>-15.351795247418764</v>
      </c>
      <c r="W299" s="17"/>
      <c r="X299" s="17" t="s">
        <v>56</v>
      </c>
      <c r="Y299" s="17"/>
      <c r="Z299" s="17" t="s">
        <v>56</v>
      </c>
      <c r="AA299" s="17"/>
      <c r="AB299" s="17" t="s">
        <v>111</v>
      </c>
      <c r="AC299" s="17">
        <v>1992</v>
      </c>
      <c r="AD299" s="17">
        <v>10</v>
      </c>
      <c r="AE299" s="17"/>
      <c r="AF299" s="17"/>
      <c r="AG299" s="17">
        <v>1992</v>
      </c>
      <c r="AH299" s="14">
        <f t="shared" si="22"/>
        <v>0</v>
      </c>
      <c r="AI299" s="17">
        <f t="shared" si="23"/>
        <v>10</v>
      </c>
      <c r="AJ299" s="17"/>
      <c r="AK299" s="17" t="s">
        <v>58</v>
      </c>
      <c r="AL299" s="16" t="s">
        <v>859</v>
      </c>
      <c r="AM299" s="15">
        <v>2007</v>
      </c>
      <c r="AN299" s="15" t="s">
        <v>860</v>
      </c>
      <c r="AO299" s="15" t="s">
        <v>56</v>
      </c>
      <c r="AP299" s="15"/>
      <c r="AQ299" s="15" t="s">
        <v>56</v>
      </c>
      <c r="AR299" s="15" t="s">
        <v>58</v>
      </c>
      <c r="AS299" s="15" t="s">
        <v>94</v>
      </c>
      <c r="AT299" s="15"/>
      <c r="AU299" s="45"/>
      <c r="AV299" s="15"/>
      <c r="AW299" s="12" t="str">
        <f>B299&amp;C299&amp;L299&amp;M299&amp;O299&amp;U299&amp;AL299&amp;AM299</f>
        <v>AustraliaTinderbox Marine Nature ReserveNotolabrus tetricusblue-throated wrassedensity0.846482047525812Barrett2007</v>
      </c>
    </row>
    <row r="300" spans="1:49" ht="14.25" customHeight="1" x14ac:dyDescent="0.35">
      <c r="A300" s="12">
        <v>299</v>
      </c>
      <c r="B300" s="12" t="s">
        <v>66</v>
      </c>
      <c r="C300" s="12" t="s">
        <v>1983</v>
      </c>
      <c r="D300" s="15" t="s">
        <v>1983</v>
      </c>
      <c r="E300" s="12" t="s">
        <v>1994</v>
      </c>
      <c r="F300" s="13" t="s">
        <v>50</v>
      </c>
      <c r="G300" s="13" t="s">
        <v>51</v>
      </c>
      <c r="H300" s="13" t="s">
        <v>52</v>
      </c>
      <c r="I300" s="13" t="s">
        <v>53</v>
      </c>
      <c r="J300" s="14">
        <v>0.72</v>
      </c>
      <c r="K300" s="17"/>
      <c r="L300" s="14" t="s">
        <v>883</v>
      </c>
      <c r="M300" s="14" t="s">
        <v>884</v>
      </c>
      <c r="N300" s="14" t="s">
        <v>85</v>
      </c>
      <c r="O300" s="17" t="s">
        <v>86</v>
      </c>
      <c r="P300" s="14"/>
      <c r="Q300" s="14">
        <v>29.7</v>
      </c>
      <c r="R300" s="14">
        <v>3.56</v>
      </c>
      <c r="S300" s="14">
        <v>1.19</v>
      </c>
      <c r="T300" s="14">
        <v>7.52</v>
      </c>
      <c r="U300" s="19">
        <f t="shared" si="21"/>
        <v>52.720234161080164</v>
      </c>
      <c r="V300" s="41">
        <f t="shared" si="24"/>
        <v>5172.0234161080161</v>
      </c>
      <c r="W300" s="14"/>
      <c r="X300" s="14" t="s">
        <v>56</v>
      </c>
      <c r="Z300" s="14" t="s">
        <v>56</v>
      </c>
      <c r="AA300" s="14"/>
      <c r="AB300" s="14" t="s">
        <v>111</v>
      </c>
      <c r="AC300" s="14">
        <v>1992</v>
      </c>
      <c r="AD300" s="14">
        <v>10</v>
      </c>
      <c r="AE300" s="14"/>
      <c r="AF300" s="14"/>
      <c r="AG300" s="14">
        <v>1992</v>
      </c>
      <c r="AH300" s="14">
        <f t="shared" si="22"/>
        <v>0</v>
      </c>
      <c r="AI300" s="17">
        <f t="shared" si="23"/>
        <v>10</v>
      </c>
      <c r="AJ300" s="14"/>
      <c r="AK300" s="14" t="s">
        <v>58</v>
      </c>
      <c r="AL300" s="13" t="s">
        <v>859</v>
      </c>
      <c r="AM300" s="12">
        <v>2007</v>
      </c>
      <c r="AN300" s="12" t="s">
        <v>860</v>
      </c>
      <c r="AO300" s="12" t="s">
        <v>56</v>
      </c>
      <c r="AP300" s="12"/>
      <c r="AQ300" s="12" t="s">
        <v>56</v>
      </c>
      <c r="AR300" s="12" t="s">
        <v>58</v>
      </c>
      <c r="AS300" s="12" t="s">
        <v>94</v>
      </c>
      <c r="AT300" s="12"/>
      <c r="AU300" s="45"/>
      <c r="AV300" s="15"/>
      <c r="AW300" s="12" t="str">
        <f>B300&amp;C300&amp;L300&amp;M300&amp;O300&amp;U300&amp;AL300&amp;AM300</f>
        <v>AustraliaTinderbox Marine Nature ReserveAcanthaluterus vittigertoothbrush leatherjacketdensity52.7202341610802Barrett2007</v>
      </c>
    </row>
    <row r="301" spans="1:49" ht="14.25" customHeight="1" x14ac:dyDescent="0.35">
      <c r="A301" s="12">
        <v>300</v>
      </c>
      <c r="B301" s="12" t="s">
        <v>66</v>
      </c>
      <c r="C301" s="12" t="s">
        <v>1983</v>
      </c>
      <c r="D301" s="15" t="s">
        <v>1983</v>
      </c>
      <c r="E301" s="12" t="s">
        <v>1994</v>
      </c>
      <c r="F301" s="13" t="s">
        <v>50</v>
      </c>
      <c r="G301" s="13" t="s">
        <v>51</v>
      </c>
      <c r="H301" s="13" t="s">
        <v>52</v>
      </c>
      <c r="I301" s="13" t="s">
        <v>53</v>
      </c>
      <c r="J301" s="14">
        <v>0.72</v>
      </c>
      <c r="K301" s="17"/>
      <c r="L301" s="14" t="s">
        <v>1341</v>
      </c>
      <c r="M301" s="14" t="s">
        <v>1342</v>
      </c>
      <c r="N301" s="14" t="s">
        <v>85</v>
      </c>
      <c r="O301" s="17" t="s">
        <v>86</v>
      </c>
      <c r="P301" s="14"/>
      <c r="Q301" s="14">
        <v>27.83</v>
      </c>
      <c r="R301" s="14">
        <v>42</v>
      </c>
      <c r="S301" s="14">
        <v>9.85</v>
      </c>
      <c r="T301" s="14">
        <v>19.53</v>
      </c>
      <c r="U301" s="19">
        <f t="shared" si="21"/>
        <v>1.3138020304568527</v>
      </c>
      <c r="V301" s="41">
        <f t="shared" si="24"/>
        <v>31.380203045685274</v>
      </c>
      <c r="W301" s="14"/>
      <c r="X301" s="14" t="s">
        <v>56</v>
      </c>
      <c r="Z301" s="14" t="s">
        <v>56</v>
      </c>
      <c r="AA301" s="14"/>
      <c r="AB301" s="14" t="s">
        <v>111</v>
      </c>
      <c r="AC301" s="14">
        <v>1992</v>
      </c>
      <c r="AD301" s="14">
        <v>10</v>
      </c>
      <c r="AE301" s="14"/>
      <c r="AF301" s="14"/>
      <c r="AG301" s="14">
        <v>1992</v>
      </c>
      <c r="AH301" s="14">
        <f t="shared" si="22"/>
        <v>0</v>
      </c>
      <c r="AI301" s="17">
        <f t="shared" si="23"/>
        <v>10</v>
      </c>
      <c r="AJ301" s="14"/>
      <c r="AK301" s="14" t="s">
        <v>58</v>
      </c>
      <c r="AL301" s="13" t="s">
        <v>859</v>
      </c>
      <c r="AM301" s="12">
        <v>2007</v>
      </c>
      <c r="AN301" s="12" t="s">
        <v>860</v>
      </c>
      <c r="AO301" s="12" t="s">
        <v>56</v>
      </c>
      <c r="AP301" s="12"/>
      <c r="AQ301" s="12" t="s">
        <v>56</v>
      </c>
      <c r="AR301" s="12" t="s">
        <v>58</v>
      </c>
      <c r="AS301" s="12" t="s">
        <v>94</v>
      </c>
      <c r="AT301" s="12"/>
      <c r="AU301" s="45"/>
      <c r="AV301" s="15"/>
      <c r="AW301" s="12" t="str">
        <f>B301&amp;C301&amp;L301&amp;M301&amp;O301&amp;U301&amp;AL301&amp;AM301</f>
        <v>AustraliaTinderbox Marine Nature ReservePictilabrus laticlaviuspatrician wrassedensity1.31380203045685Barrett2007</v>
      </c>
    </row>
    <row r="302" spans="1:49" ht="14.25" customHeight="1" x14ac:dyDescent="0.35">
      <c r="A302" s="12">
        <v>301</v>
      </c>
      <c r="B302" s="15" t="s">
        <v>66</v>
      </c>
      <c r="C302" s="15" t="s">
        <v>1983</v>
      </c>
      <c r="D302" s="15" t="s">
        <v>1983</v>
      </c>
      <c r="E302" s="15" t="s">
        <v>1994</v>
      </c>
      <c r="F302" s="16" t="s">
        <v>50</v>
      </c>
      <c r="G302" s="16" t="s">
        <v>51</v>
      </c>
      <c r="H302" s="16" t="s">
        <v>52</v>
      </c>
      <c r="I302" s="16" t="s">
        <v>53</v>
      </c>
      <c r="J302" s="17">
        <v>0.72</v>
      </c>
      <c r="K302" s="17"/>
      <c r="L302" s="17" t="s">
        <v>1344</v>
      </c>
      <c r="M302" s="17" t="s">
        <v>1345</v>
      </c>
      <c r="N302" s="17" t="s">
        <v>85</v>
      </c>
      <c r="O302" s="17" t="s">
        <v>86</v>
      </c>
      <c r="P302" s="17"/>
      <c r="Q302" s="17">
        <v>16</v>
      </c>
      <c r="R302" s="17">
        <v>16.78</v>
      </c>
      <c r="S302" s="17">
        <v>5.07</v>
      </c>
      <c r="T302" s="17">
        <v>16.78</v>
      </c>
      <c r="U302" s="20">
        <f t="shared" si="21"/>
        <v>3.1558185404339247</v>
      </c>
      <c r="V302" s="22">
        <f t="shared" si="24"/>
        <v>215.58185404339247</v>
      </c>
      <c r="W302" s="17"/>
      <c r="X302" s="17" t="s">
        <v>56</v>
      </c>
      <c r="Z302" s="17" t="s">
        <v>56</v>
      </c>
      <c r="AA302" s="17"/>
      <c r="AB302" s="17" t="s">
        <v>111</v>
      </c>
      <c r="AC302" s="17">
        <v>1992</v>
      </c>
      <c r="AD302" s="17">
        <v>10</v>
      </c>
      <c r="AE302" s="17"/>
      <c r="AF302" s="17"/>
      <c r="AG302" s="17">
        <v>1992</v>
      </c>
      <c r="AH302" s="14">
        <f t="shared" si="22"/>
        <v>0</v>
      </c>
      <c r="AI302" s="17">
        <f t="shared" si="23"/>
        <v>10</v>
      </c>
      <c r="AJ302" s="17"/>
      <c r="AK302" s="17" t="s">
        <v>58</v>
      </c>
      <c r="AL302" s="16" t="s">
        <v>859</v>
      </c>
      <c r="AM302" s="15">
        <v>2007</v>
      </c>
      <c r="AN302" s="15" t="s">
        <v>860</v>
      </c>
      <c r="AO302" s="15" t="s">
        <v>56</v>
      </c>
      <c r="AP302" s="15"/>
      <c r="AQ302" s="15" t="s">
        <v>56</v>
      </c>
      <c r="AR302" s="15" t="s">
        <v>58</v>
      </c>
      <c r="AS302" s="15" t="s">
        <v>94</v>
      </c>
      <c r="AT302" s="15"/>
      <c r="AU302" s="45"/>
      <c r="AV302" s="15"/>
      <c r="AW302" s="12" t="str">
        <f>B302&amp;C302&amp;L302&amp;M302&amp;O302&amp;U302&amp;AL302&amp;AM302</f>
        <v>AustraliaTinderbox Marine Nature ReserveNeoodax balteutuslittle weed whitingdensity3.15581854043392Barrett2007</v>
      </c>
    </row>
    <row r="303" spans="1:49" ht="14.25" customHeight="1" x14ac:dyDescent="0.35">
      <c r="A303" s="12">
        <v>302</v>
      </c>
      <c r="B303" s="15" t="s">
        <v>66</v>
      </c>
      <c r="C303" s="15" t="s">
        <v>1983</v>
      </c>
      <c r="D303" s="15" t="s">
        <v>1983</v>
      </c>
      <c r="E303" s="15" t="s">
        <v>1994</v>
      </c>
      <c r="F303" s="16" t="s">
        <v>50</v>
      </c>
      <c r="G303" s="16" t="s">
        <v>51</v>
      </c>
      <c r="H303" s="16" t="s">
        <v>52</v>
      </c>
      <c r="I303" s="16" t="s">
        <v>53</v>
      </c>
      <c r="J303" s="17">
        <v>0.72</v>
      </c>
      <c r="K303" s="17"/>
      <c r="L303" s="17" t="s">
        <v>1348</v>
      </c>
      <c r="M303" s="17" t="s">
        <v>1349</v>
      </c>
      <c r="N303" s="17" t="s">
        <v>85</v>
      </c>
      <c r="O303" s="17" t="s">
        <v>86</v>
      </c>
      <c r="P303" s="17"/>
      <c r="Q303" s="17">
        <v>71.11</v>
      </c>
      <c r="R303" s="17">
        <v>71.11</v>
      </c>
      <c r="S303" s="17">
        <v>11.85</v>
      </c>
      <c r="T303" s="17">
        <v>33.58</v>
      </c>
      <c r="U303" s="20">
        <f t="shared" si="21"/>
        <v>2.8337552742616028</v>
      </c>
      <c r="V303" s="22">
        <f t="shared" si="24"/>
        <v>183.37552742616029</v>
      </c>
      <c r="W303" s="17"/>
      <c r="X303" s="17" t="s">
        <v>56</v>
      </c>
      <c r="Z303" s="17" t="s">
        <v>56</v>
      </c>
      <c r="AA303" s="17"/>
      <c r="AB303" s="17" t="s">
        <v>111</v>
      </c>
      <c r="AC303" s="17">
        <v>1992</v>
      </c>
      <c r="AD303" s="17">
        <v>10</v>
      </c>
      <c r="AE303" s="17"/>
      <c r="AF303" s="17"/>
      <c r="AG303" s="17">
        <v>1992</v>
      </c>
      <c r="AH303" s="14">
        <f t="shared" si="22"/>
        <v>0</v>
      </c>
      <c r="AI303" s="17">
        <f t="shared" si="23"/>
        <v>10</v>
      </c>
      <c r="AJ303" s="17"/>
      <c r="AK303" s="17" t="s">
        <v>58</v>
      </c>
      <c r="AL303" s="16" t="s">
        <v>859</v>
      </c>
      <c r="AM303" s="15">
        <v>2007</v>
      </c>
      <c r="AN303" s="15" t="s">
        <v>860</v>
      </c>
      <c r="AO303" s="15" t="s">
        <v>56</v>
      </c>
      <c r="AP303" s="15"/>
      <c r="AQ303" s="15" t="s">
        <v>56</v>
      </c>
      <c r="AR303" s="15" t="s">
        <v>58</v>
      </c>
      <c r="AS303" s="15" t="s">
        <v>94</v>
      </c>
      <c r="AT303" s="15"/>
      <c r="AU303" s="45"/>
      <c r="AV303" s="15"/>
      <c r="AW303" s="12" t="str">
        <f>B303&amp;C303&amp;L303&amp;M303&amp;O303&amp;U303&amp;AL303&amp;AM303</f>
        <v>AustraliaTinderbox Marine Nature ReservePempheris multiradiatuscommon bullseyedensity2.8337552742616Barrett2007</v>
      </c>
    </row>
    <row r="304" spans="1:49" ht="14.25" customHeight="1" x14ac:dyDescent="0.35">
      <c r="A304" s="12">
        <v>303</v>
      </c>
      <c r="B304" s="15" t="s">
        <v>66</v>
      </c>
      <c r="C304" s="15" t="s">
        <v>1983</v>
      </c>
      <c r="D304" s="15" t="s">
        <v>1983</v>
      </c>
      <c r="E304" s="15" t="s">
        <v>1994</v>
      </c>
      <c r="F304" s="16" t="s">
        <v>50</v>
      </c>
      <c r="G304" s="16" t="s">
        <v>51</v>
      </c>
      <c r="H304" s="16" t="s">
        <v>52</v>
      </c>
      <c r="I304" s="16" t="s">
        <v>53</v>
      </c>
      <c r="J304" s="17">
        <v>0.72</v>
      </c>
      <c r="K304" s="17"/>
      <c r="L304" s="17" t="s">
        <v>1346</v>
      </c>
      <c r="M304" s="17" t="s">
        <v>1347</v>
      </c>
      <c r="N304" s="17" t="s">
        <v>85</v>
      </c>
      <c r="O304" s="17" t="s">
        <v>86</v>
      </c>
      <c r="P304" s="17"/>
      <c r="Q304" s="17">
        <v>267.99</v>
      </c>
      <c r="R304" s="17">
        <v>26.8</v>
      </c>
      <c r="S304" s="17">
        <v>44.67</v>
      </c>
      <c r="T304" s="17">
        <v>476.43</v>
      </c>
      <c r="U304" s="20">
        <f t="shared" si="21"/>
        <v>106.65149379028298</v>
      </c>
      <c r="V304" s="22">
        <f t="shared" si="24"/>
        <v>10565.149379028298</v>
      </c>
      <c r="W304" s="17"/>
      <c r="X304" s="17" t="s">
        <v>56</v>
      </c>
      <c r="Z304" s="17" t="s">
        <v>56</v>
      </c>
      <c r="AA304" s="17"/>
      <c r="AB304" s="17" t="s">
        <v>111</v>
      </c>
      <c r="AC304" s="17">
        <v>1992</v>
      </c>
      <c r="AD304" s="17">
        <v>10</v>
      </c>
      <c r="AE304" s="17"/>
      <c r="AF304" s="17"/>
      <c r="AG304" s="17">
        <v>1992</v>
      </c>
      <c r="AH304" s="14">
        <f t="shared" si="22"/>
        <v>0</v>
      </c>
      <c r="AI304" s="17">
        <f t="shared" si="23"/>
        <v>10</v>
      </c>
      <c r="AJ304" s="17"/>
      <c r="AK304" s="17" t="s">
        <v>58</v>
      </c>
      <c r="AL304" s="16" t="s">
        <v>859</v>
      </c>
      <c r="AM304" s="15">
        <v>2007</v>
      </c>
      <c r="AN304" s="15" t="s">
        <v>860</v>
      </c>
      <c r="AO304" s="15" t="s">
        <v>56</v>
      </c>
      <c r="AP304" s="15"/>
      <c r="AQ304" s="15" t="s">
        <v>56</v>
      </c>
      <c r="AR304" s="15" t="s">
        <v>58</v>
      </c>
      <c r="AS304" s="15" t="s">
        <v>94</v>
      </c>
      <c r="AT304" s="15"/>
      <c r="AU304" s="45" t="s">
        <v>2852</v>
      </c>
      <c r="AV304" s="15"/>
      <c r="AW304" s="12" t="str">
        <f>B304&amp;C304&amp;L304&amp;M304&amp;O304&amp;U304&amp;AL304&amp;AM304</f>
        <v>AustraliaTinderbox Marine Nature ReserveTrachinops caudimaculatussouthern hulafishdensity106.651493790283Barrett2007</v>
      </c>
    </row>
    <row r="305" spans="1:49" ht="14.25" customHeight="1" x14ac:dyDescent="0.35">
      <c r="A305" s="12">
        <v>304</v>
      </c>
      <c r="B305" s="12" t="s">
        <v>66</v>
      </c>
      <c r="C305" s="12" t="s">
        <v>1983</v>
      </c>
      <c r="D305" s="15" t="s">
        <v>1983</v>
      </c>
      <c r="E305" s="12" t="s">
        <v>1994</v>
      </c>
      <c r="F305" s="13" t="s">
        <v>50</v>
      </c>
      <c r="G305" s="13" t="s">
        <v>51</v>
      </c>
      <c r="H305" s="13" t="s">
        <v>52</v>
      </c>
      <c r="I305" s="13" t="s">
        <v>53</v>
      </c>
      <c r="J305" s="14">
        <v>0.72</v>
      </c>
      <c r="K305" s="14"/>
      <c r="L305" s="14"/>
      <c r="M305" s="14" t="s">
        <v>1350</v>
      </c>
      <c r="N305" s="53" t="s">
        <v>98</v>
      </c>
      <c r="O305" s="17" t="s">
        <v>86</v>
      </c>
      <c r="P305" s="14"/>
      <c r="Q305" s="14">
        <v>7.11</v>
      </c>
      <c r="R305" s="14">
        <v>2.6</v>
      </c>
      <c r="S305" s="14">
        <v>8.49</v>
      </c>
      <c r="T305" s="14">
        <v>26.52</v>
      </c>
      <c r="U305" s="19">
        <f t="shared" si="21"/>
        <v>8.5420494699646632</v>
      </c>
      <c r="V305" s="41">
        <f t="shared" si="24"/>
        <v>754.20494699646633</v>
      </c>
      <c r="W305" s="14"/>
      <c r="X305" s="14" t="s">
        <v>56</v>
      </c>
      <c r="Z305" s="14" t="s">
        <v>56</v>
      </c>
      <c r="AA305" s="14"/>
      <c r="AB305" s="14" t="s">
        <v>111</v>
      </c>
      <c r="AC305" s="14">
        <v>1992</v>
      </c>
      <c r="AD305" s="14">
        <v>10</v>
      </c>
      <c r="AE305" s="14"/>
      <c r="AF305" s="14"/>
      <c r="AG305" s="14">
        <v>1992</v>
      </c>
      <c r="AH305" s="14">
        <f t="shared" si="22"/>
        <v>0</v>
      </c>
      <c r="AI305" s="17">
        <f t="shared" si="23"/>
        <v>10</v>
      </c>
      <c r="AJ305" s="14"/>
      <c r="AK305" s="14" t="s">
        <v>58</v>
      </c>
      <c r="AL305" s="13" t="s">
        <v>859</v>
      </c>
      <c r="AM305" s="12">
        <v>2007</v>
      </c>
      <c r="AN305" s="12" t="s">
        <v>860</v>
      </c>
      <c r="AO305" s="12" t="s">
        <v>56</v>
      </c>
      <c r="AP305" s="12"/>
      <c r="AQ305" s="12" t="s">
        <v>56</v>
      </c>
      <c r="AR305" s="12" t="s">
        <v>58</v>
      </c>
      <c r="AS305" s="12" t="s">
        <v>94</v>
      </c>
      <c r="AT305" s="12"/>
      <c r="AU305" s="45"/>
      <c r="AV305" s="15"/>
      <c r="AW305" s="12" t="str">
        <f>B305&amp;C305&amp;L305&amp;M305&amp;O305&amp;U305&amp;AL305&amp;AM305</f>
        <v>AustraliaTinderbox Marine Nature Reservefishes &gt; 300 mmdensity8.54204946996466Barrett2007</v>
      </c>
    </row>
    <row r="306" spans="1:49" ht="14.25" customHeight="1" x14ac:dyDescent="0.35">
      <c r="A306" s="12">
        <v>305</v>
      </c>
      <c r="B306" s="12" t="s">
        <v>66</v>
      </c>
      <c r="C306" s="12" t="s">
        <v>1983</v>
      </c>
      <c r="D306" s="15" t="s">
        <v>1983</v>
      </c>
      <c r="E306" s="12" t="s">
        <v>1994</v>
      </c>
      <c r="F306" s="13" t="s">
        <v>50</v>
      </c>
      <c r="G306" s="13" t="s">
        <v>51</v>
      </c>
      <c r="H306" s="13" t="s">
        <v>52</v>
      </c>
      <c r="I306" s="13" t="s">
        <v>53</v>
      </c>
      <c r="J306" s="14">
        <v>0.72</v>
      </c>
      <c r="K306" s="17"/>
      <c r="L306" s="17"/>
      <c r="M306" s="14" t="s">
        <v>1351</v>
      </c>
      <c r="N306" s="53" t="s">
        <v>98</v>
      </c>
      <c r="O306" s="17" t="s">
        <v>86</v>
      </c>
      <c r="P306" s="14"/>
      <c r="Q306" s="14">
        <v>7.31</v>
      </c>
      <c r="R306" s="14">
        <v>2.89</v>
      </c>
      <c r="S306" s="14">
        <v>7.31</v>
      </c>
      <c r="T306" s="14">
        <v>12.96</v>
      </c>
      <c r="U306" s="19">
        <f t="shared" si="21"/>
        <v>4.484429065743945</v>
      </c>
      <c r="V306" s="41">
        <f t="shared" si="24"/>
        <v>348.4429065743945</v>
      </c>
      <c r="W306" s="14"/>
      <c r="X306" s="14" t="s">
        <v>56</v>
      </c>
      <c r="Z306" s="14" t="s">
        <v>56</v>
      </c>
      <c r="AA306" s="14"/>
      <c r="AB306" s="14" t="s">
        <v>111</v>
      </c>
      <c r="AC306" s="14">
        <v>1992</v>
      </c>
      <c r="AD306" s="14">
        <v>10</v>
      </c>
      <c r="AE306" s="14"/>
      <c r="AF306" s="14"/>
      <c r="AG306" s="14">
        <v>1992</v>
      </c>
      <c r="AH306" s="14">
        <f t="shared" si="22"/>
        <v>0</v>
      </c>
      <c r="AI306" s="17">
        <f t="shared" si="23"/>
        <v>10</v>
      </c>
      <c r="AJ306" s="14"/>
      <c r="AK306" s="14" t="s">
        <v>58</v>
      </c>
      <c r="AL306" s="13" t="s">
        <v>859</v>
      </c>
      <c r="AM306" s="12">
        <v>2007</v>
      </c>
      <c r="AN306" s="12" t="s">
        <v>860</v>
      </c>
      <c r="AO306" s="12" t="s">
        <v>56</v>
      </c>
      <c r="AP306" s="12"/>
      <c r="AQ306" s="12" t="s">
        <v>56</v>
      </c>
      <c r="AR306" s="12" t="s">
        <v>58</v>
      </c>
      <c r="AS306" s="12" t="s">
        <v>94</v>
      </c>
      <c r="AT306" s="12"/>
      <c r="AU306" s="45"/>
      <c r="AV306" s="15"/>
      <c r="AW306" s="12" t="str">
        <f>B306&amp;C306&amp;L306&amp;M306&amp;O306&amp;U306&amp;AL306&amp;AM306</f>
        <v>AustraliaTinderbox Marine Nature Reservefishes &gt; 300 mm, excluding Latridopsisdensity4.48442906574394Barrett2007</v>
      </c>
    </row>
    <row r="307" spans="1:49" ht="14.25" customHeight="1" x14ac:dyDescent="0.35">
      <c r="A307" s="12">
        <v>306</v>
      </c>
      <c r="B307" s="12" t="s">
        <v>66</v>
      </c>
      <c r="C307" s="12" t="s">
        <v>1983</v>
      </c>
      <c r="D307" s="15" t="s">
        <v>1983</v>
      </c>
      <c r="E307" s="12" t="s">
        <v>1994</v>
      </c>
      <c r="F307" s="13" t="s">
        <v>50</v>
      </c>
      <c r="G307" s="13" t="s">
        <v>51</v>
      </c>
      <c r="H307" s="13" t="s">
        <v>52</v>
      </c>
      <c r="I307" s="13" t="s">
        <v>53</v>
      </c>
      <c r="J307" s="14">
        <v>0.72</v>
      </c>
      <c r="K307" s="14"/>
      <c r="L307" s="14" t="s">
        <v>879</v>
      </c>
      <c r="M307" s="14" t="s">
        <v>1995</v>
      </c>
      <c r="N307" s="53" t="s">
        <v>98</v>
      </c>
      <c r="O307" s="17" t="s">
        <v>86</v>
      </c>
      <c r="P307" s="14"/>
      <c r="Q307" s="14">
        <v>2.88</v>
      </c>
      <c r="R307" s="14">
        <v>1.94</v>
      </c>
      <c r="S307" s="14">
        <v>4.46</v>
      </c>
      <c r="T307" s="14">
        <v>7.98</v>
      </c>
      <c r="U307" s="19">
        <f t="shared" si="21"/>
        <v>2.6561878785076973</v>
      </c>
      <c r="V307" s="41">
        <f t="shared" si="24"/>
        <v>165.61878785076973</v>
      </c>
      <c r="W307" s="14"/>
      <c r="X307" s="14" t="s">
        <v>56</v>
      </c>
      <c r="Z307" s="14" t="s">
        <v>56</v>
      </c>
      <c r="AA307" s="14"/>
      <c r="AB307" s="14" t="s">
        <v>111</v>
      </c>
      <c r="AC307" s="14">
        <v>1992</v>
      </c>
      <c r="AD307" s="14">
        <v>10</v>
      </c>
      <c r="AE307" s="14"/>
      <c r="AF307" s="14"/>
      <c r="AG307" s="14">
        <v>1992</v>
      </c>
      <c r="AH307" s="14">
        <f t="shared" si="22"/>
        <v>0</v>
      </c>
      <c r="AI307" s="17">
        <f t="shared" si="23"/>
        <v>10</v>
      </c>
      <c r="AJ307" s="14"/>
      <c r="AK307" s="14" t="s">
        <v>58</v>
      </c>
      <c r="AL307" s="13" t="s">
        <v>859</v>
      </c>
      <c r="AM307" s="12">
        <v>2007</v>
      </c>
      <c r="AN307" s="12" t="s">
        <v>860</v>
      </c>
      <c r="AO307" s="12" t="s">
        <v>56</v>
      </c>
      <c r="AP307" s="12"/>
      <c r="AQ307" s="12" t="s">
        <v>56</v>
      </c>
      <c r="AR307" s="12" t="s">
        <v>58</v>
      </c>
      <c r="AS307" s="12" t="s">
        <v>94</v>
      </c>
      <c r="AT307" s="12"/>
      <c r="AU307" s="45"/>
      <c r="AV307" s="15"/>
      <c r="AW307" s="12" t="str">
        <f>B307&amp;C307&amp;L307&amp;M307&amp;O307&amp;U307&amp;AL307&amp;AM307</f>
        <v>AustraliaTinderbox Marine Nature ReserveNotolabrus tetricusN. tetricus &gt; 300 mmdensity2.6561878785077Barrett2007</v>
      </c>
    </row>
    <row r="308" spans="1:49" ht="14.25" customHeight="1" x14ac:dyDescent="0.35">
      <c r="A308" s="12">
        <v>307</v>
      </c>
      <c r="B308" s="15" t="s">
        <v>66</v>
      </c>
      <c r="C308" s="15" t="s">
        <v>1983</v>
      </c>
      <c r="D308" s="15" t="s">
        <v>1983</v>
      </c>
      <c r="E308" s="15" t="s">
        <v>1994</v>
      </c>
      <c r="F308" s="16" t="s">
        <v>50</v>
      </c>
      <c r="G308" s="16" t="s">
        <v>51</v>
      </c>
      <c r="H308" s="16" t="s">
        <v>52</v>
      </c>
      <c r="I308" s="16" t="s">
        <v>53</v>
      </c>
      <c r="J308" s="17">
        <v>0.72</v>
      </c>
      <c r="K308" s="17"/>
      <c r="L308" s="17"/>
      <c r="M308" s="17" t="s">
        <v>1350</v>
      </c>
      <c r="N308" s="53" t="s">
        <v>98</v>
      </c>
      <c r="O308" s="17" t="s">
        <v>55</v>
      </c>
      <c r="P308" s="17"/>
      <c r="Q308" s="17">
        <v>3.42</v>
      </c>
      <c r="R308" s="17">
        <v>2.0499999999999998</v>
      </c>
      <c r="S308" s="17">
        <v>3.42</v>
      </c>
      <c r="T308" s="17">
        <v>4.9800000000000004</v>
      </c>
      <c r="U308" s="19">
        <f t="shared" si="21"/>
        <v>2.4292682926829272</v>
      </c>
      <c r="V308" s="41">
        <f t="shared" si="24"/>
        <v>142.92682926829272</v>
      </c>
      <c r="W308" s="17"/>
      <c r="X308" s="17" t="s">
        <v>56</v>
      </c>
      <c r="Y308" s="17"/>
      <c r="Z308" s="17" t="s">
        <v>56</v>
      </c>
      <c r="AA308" s="17"/>
      <c r="AB308" s="17" t="s">
        <v>111</v>
      </c>
      <c r="AC308" s="17">
        <v>1992</v>
      </c>
      <c r="AD308" s="17">
        <v>10</v>
      </c>
      <c r="AE308" s="17"/>
      <c r="AF308" s="17"/>
      <c r="AG308" s="17">
        <v>1992</v>
      </c>
      <c r="AH308" s="14">
        <f t="shared" si="22"/>
        <v>0</v>
      </c>
      <c r="AI308" s="17">
        <f t="shared" si="23"/>
        <v>10</v>
      </c>
      <c r="AJ308" s="17"/>
      <c r="AK308" s="17" t="s">
        <v>58</v>
      </c>
      <c r="AL308" s="16" t="s">
        <v>859</v>
      </c>
      <c r="AM308" s="15">
        <v>2007</v>
      </c>
      <c r="AN308" s="15" t="s">
        <v>860</v>
      </c>
      <c r="AO308" s="15" t="s">
        <v>56</v>
      </c>
      <c r="AP308" s="15"/>
      <c r="AQ308" s="15" t="s">
        <v>56</v>
      </c>
      <c r="AR308" s="15" t="s">
        <v>58</v>
      </c>
      <c r="AS308" s="15" t="s">
        <v>94</v>
      </c>
      <c r="AT308" s="12"/>
      <c r="AU308" s="45"/>
      <c r="AV308" s="15"/>
      <c r="AW308" s="12" t="str">
        <f>B308&amp;C308&amp;L308&amp;M308&amp;O308&amp;U308&amp;AL308&amp;AM308</f>
        <v>AustraliaTinderbox Marine Nature Reservefishes &gt; 300 mmrichness2.42926829268293Barrett2007</v>
      </c>
    </row>
    <row r="309" spans="1:49" ht="14.25" customHeight="1" x14ac:dyDescent="0.35">
      <c r="A309" s="12">
        <v>308</v>
      </c>
      <c r="B309" s="15" t="s">
        <v>66</v>
      </c>
      <c r="C309" s="15" t="s">
        <v>1983</v>
      </c>
      <c r="D309" s="15" t="s">
        <v>1983</v>
      </c>
      <c r="E309" s="15" t="s">
        <v>1994</v>
      </c>
      <c r="F309" s="16" t="s">
        <v>50</v>
      </c>
      <c r="G309" s="16" t="s">
        <v>51</v>
      </c>
      <c r="H309" s="16" t="s">
        <v>52</v>
      </c>
      <c r="I309" s="16" t="s">
        <v>53</v>
      </c>
      <c r="J309" s="17">
        <v>0.72</v>
      </c>
      <c r="K309" s="17"/>
      <c r="L309" s="17"/>
      <c r="M309" s="17" t="s">
        <v>1352</v>
      </c>
      <c r="N309" s="53" t="s">
        <v>98</v>
      </c>
      <c r="O309" s="17" t="s">
        <v>55</v>
      </c>
      <c r="P309" s="17"/>
      <c r="Q309" s="17">
        <v>11.5</v>
      </c>
      <c r="R309" s="17">
        <v>13.54</v>
      </c>
      <c r="S309" s="17">
        <v>10.93</v>
      </c>
      <c r="T309" s="17">
        <v>17.48</v>
      </c>
      <c r="U309" s="19">
        <f t="shared" si="21"/>
        <v>1.3583148301059111</v>
      </c>
      <c r="V309" s="41">
        <f t="shared" si="24"/>
        <v>35.831483010591114</v>
      </c>
      <c r="W309" s="17"/>
      <c r="X309" s="17" t="s">
        <v>56</v>
      </c>
      <c r="Y309" s="17"/>
      <c r="Z309" s="17" t="s">
        <v>56</v>
      </c>
      <c r="AA309" s="17"/>
      <c r="AB309" s="17" t="s">
        <v>111</v>
      </c>
      <c r="AC309" s="17">
        <v>1992</v>
      </c>
      <c r="AD309" s="17">
        <v>10</v>
      </c>
      <c r="AE309" s="17"/>
      <c r="AF309" s="17"/>
      <c r="AG309" s="17">
        <v>1992</v>
      </c>
      <c r="AH309" s="14">
        <f t="shared" si="22"/>
        <v>0</v>
      </c>
      <c r="AI309" s="17">
        <f t="shared" si="23"/>
        <v>10</v>
      </c>
      <c r="AJ309" s="17"/>
      <c r="AK309" s="17" t="s">
        <v>58</v>
      </c>
      <c r="AL309" s="16" t="s">
        <v>859</v>
      </c>
      <c r="AM309" s="15">
        <v>2007</v>
      </c>
      <c r="AN309" s="15" t="s">
        <v>860</v>
      </c>
      <c r="AO309" s="15" t="s">
        <v>56</v>
      </c>
      <c r="AP309" s="15"/>
      <c r="AQ309" s="15" t="s">
        <v>56</v>
      </c>
      <c r="AR309" s="15" t="s">
        <v>58</v>
      </c>
      <c r="AS309" s="15" t="s">
        <v>94</v>
      </c>
      <c r="AT309" s="12"/>
      <c r="AU309" s="45"/>
      <c r="AV309" s="15"/>
      <c r="AW309" s="12" t="str">
        <f>B309&amp;C309&amp;L309&amp;M309&amp;O309&amp;U309&amp;AL309&amp;AM309</f>
        <v>AustraliaTinderbox Marine Nature Reservefishesrichness1.35831483010591Barrett2007</v>
      </c>
    </row>
    <row r="310" spans="1:49" ht="14.25" customHeight="1" x14ac:dyDescent="0.35">
      <c r="A310" s="12">
        <v>309</v>
      </c>
      <c r="B310" s="15" t="s">
        <v>66</v>
      </c>
      <c r="C310" s="43" t="s">
        <v>1489</v>
      </c>
      <c r="D310" s="43" t="s">
        <v>1489</v>
      </c>
      <c r="E310" s="15" t="s">
        <v>1226</v>
      </c>
      <c r="F310" s="16" t="s">
        <v>50</v>
      </c>
      <c r="G310" s="16" t="s">
        <v>51</v>
      </c>
      <c r="H310" s="16" t="s">
        <v>52</v>
      </c>
      <c r="I310" s="16" t="s">
        <v>53</v>
      </c>
      <c r="J310" s="17"/>
      <c r="K310" s="17">
        <v>7</v>
      </c>
      <c r="L310" s="17" t="s">
        <v>879</v>
      </c>
      <c r="M310" s="17" t="s">
        <v>880</v>
      </c>
      <c r="N310" s="17" t="s">
        <v>85</v>
      </c>
      <c r="O310" s="17" t="s">
        <v>86</v>
      </c>
      <c r="P310" s="17"/>
      <c r="Q310" s="17">
        <v>125.48</v>
      </c>
      <c r="R310" s="17">
        <v>64.900000000000006</v>
      </c>
      <c r="S310" s="17">
        <v>62.31</v>
      </c>
      <c r="T310" s="17">
        <v>56.25</v>
      </c>
      <c r="U310" s="19">
        <f t="shared" si="21"/>
        <v>1.7453984612451436</v>
      </c>
      <c r="V310" s="41">
        <f t="shared" si="24"/>
        <v>74.539846124514369</v>
      </c>
      <c r="W310" s="17"/>
      <c r="X310" s="17" t="s">
        <v>56</v>
      </c>
      <c r="Y310" s="17"/>
      <c r="Z310" s="17" t="s">
        <v>56</v>
      </c>
      <c r="AA310" s="17"/>
      <c r="AB310" s="17" t="s">
        <v>111</v>
      </c>
      <c r="AC310" s="17">
        <v>1992</v>
      </c>
      <c r="AD310" s="17">
        <v>10</v>
      </c>
      <c r="AE310" s="17"/>
      <c r="AF310" s="17"/>
      <c r="AG310" s="17">
        <v>1992</v>
      </c>
      <c r="AH310" s="14">
        <f t="shared" si="22"/>
        <v>0</v>
      </c>
      <c r="AI310" s="17">
        <f t="shared" si="23"/>
        <v>10</v>
      </c>
      <c r="AJ310" s="17"/>
      <c r="AK310" s="17" t="s">
        <v>58</v>
      </c>
      <c r="AL310" s="16" t="s">
        <v>859</v>
      </c>
      <c r="AM310" s="15">
        <v>2007</v>
      </c>
      <c r="AN310" s="15" t="s">
        <v>860</v>
      </c>
      <c r="AO310" s="15" t="s">
        <v>56</v>
      </c>
      <c r="AP310" s="15"/>
      <c r="AQ310" s="15" t="s">
        <v>56</v>
      </c>
      <c r="AR310" s="15" t="s">
        <v>58</v>
      </c>
      <c r="AS310" s="15" t="s">
        <v>94</v>
      </c>
      <c r="AT310" s="12"/>
      <c r="AU310" s="45" t="s">
        <v>1495</v>
      </c>
      <c r="AV310" s="15"/>
      <c r="AW310" s="12" t="str">
        <f>B310&amp;C310&amp;L310&amp;M310&amp;O310&amp;U310&amp;AL310&amp;AM310</f>
        <v>AustraliaNinepin Point Marine Nature ReserveNotolabrus tetricusblue-throated wrassedensity1.74539846124514Barrett2007</v>
      </c>
    </row>
    <row r="311" spans="1:49" ht="14.25" customHeight="1" x14ac:dyDescent="0.35">
      <c r="A311" s="12">
        <v>310</v>
      </c>
      <c r="B311" s="15" t="s">
        <v>66</v>
      </c>
      <c r="C311" s="43" t="s">
        <v>1489</v>
      </c>
      <c r="D311" s="43" t="s">
        <v>1489</v>
      </c>
      <c r="E311" s="15" t="s">
        <v>1226</v>
      </c>
      <c r="F311" s="16" t="s">
        <v>50</v>
      </c>
      <c r="G311" s="16" t="s">
        <v>51</v>
      </c>
      <c r="H311" s="16" t="s">
        <v>52</v>
      </c>
      <c r="I311" s="16" t="s">
        <v>53</v>
      </c>
      <c r="J311" s="17"/>
      <c r="K311" s="17">
        <v>7</v>
      </c>
      <c r="L311" s="17" t="s">
        <v>1341</v>
      </c>
      <c r="M311" s="17" t="s">
        <v>1342</v>
      </c>
      <c r="N311" s="17" t="s">
        <v>85</v>
      </c>
      <c r="O311" s="17" t="s">
        <v>86</v>
      </c>
      <c r="P311" s="17"/>
      <c r="Q311" s="17">
        <v>7.98</v>
      </c>
      <c r="R311" s="17">
        <v>15.96</v>
      </c>
      <c r="S311" s="17">
        <v>10.57</v>
      </c>
      <c r="T311" s="17">
        <v>5.19</v>
      </c>
      <c r="U311" s="19">
        <f t="shared" si="21"/>
        <v>0.24550614947965943</v>
      </c>
      <c r="V311" s="41">
        <f t="shared" si="24"/>
        <v>-75.44938505203406</v>
      </c>
      <c r="W311" s="17"/>
      <c r="X311" s="17" t="s">
        <v>56</v>
      </c>
      <c r="Y311" s="17"/>
      <c r="Z311" s="17" t="s">
        <v>56</v>
      </c>
      <c r="AA311" s="17"/>
      <c r="AB311" s="17" t="s">
        <v>111</v>
      </c>
      <c r="AC311" s="17">
        <v>1992</v>
      </c>
      <c r="AD311" s="17">
        <v>10</v>
      </c>
      <c r="AE311" s="17"/>
      <c r="AF311" s="17"/>
      <c r="AG311" s="17">
        <v>1992</v>
      </c>
      <c r="AH311" s="14">
        <f t="shared" si="22"/>
        <v>0</v>
      </c>
      <c r="AI311" s="17">
        <f t="shared" si="23"/>
        <v>10</v>
      </c>
      <c r="AJ311" s="17"/>
      <c r="AK311" s="17" t="s">
        <v>58</v>
      </c>
      <c r="AL311" s="16" t="s">
        <v>859</v>
      </c>
      <c r="AM311" s="15">
        <v>2007</v>
      </c>
      <c r="AN311" s="15" t="s">
        <v>860</v>
      </c>
      <c r="AO311" s="15" t="s">
        <v>56</v>
      </c>
      <c r="AP311" s="15"/>
      <c r="AQ311" s="15" t="s">
        <v>56</v>
      </c>
      <c r="AR311" s="15" t="s">
        <v>58</v>
      </c>
      <c r="AS311" s="15" t="s">
        <v>94</v>
      </c>
      <c r="AT311" s="12"/>
      <c r="AU311" s="45"/>
      <c r="AV311" s="15"/>
      <c r="AW311" s="12" t="str">
        <f>B311&amp;C311&amp;L311&amp;M311&amp;O311&amp;U311&amp;AL311&amp;AM311</f>
        <v>AustraliaNinepin Point Marine Nature ReservePictilabrus laticlaviuspatrician wrassedensity0.245506149479659Barrett2007</v>
      </c>
    </row>
    <row r="312" spans="1:49" s="82" customFormat="1" ht="14.25" customHeight="1" x14ac:dyDescent="0.35">
      <c r="A312" s="12">
        <v>311</v>
      </c>
      <c r="B312" s="15" t="s">
        <v>66</v>
      </c>
      <c r="C312" s="43" t="s">
        <v>1489</v>
      </c>
      <c r="D312" s="43" t="s">
        <v>1489</v>
      </c>
      <c r="E312" s="15" t="s">
        <v>1226</v>
      </c>
      <c r="F312" s="16" t="s">
        <v>50</v>
      </c>
      <c r="G312" s="16" t="s">
        <v>51</v>
      </c>
      <c r="H312" s="16" t="s">
        <v>52</v>
      </c>
      <c r="I312" s="16" t="s">
        <v>53</v>
      </c>
      <c r="J312" s="17"/>
      <c r="K312" s="17">
        <v>7</v>
      </c>
      <c r="L312" s="17" t="s">
        <v>881</v>
      </c>
      <c r="M312" s="17" t="s">
        <v>882</v>
      </c>
      <c r="N312" s="17" t="s">
        <v>85</v>
      </c>
      <c r="O312" s="17" t="s">
        <v>86</v>
      </c>
      <c r="P312" s="17"/>
      <c r="Q312" s="17">
        <v>3.88</v>
      </c>
      <c r="R312" s="17">
        <v>1.18</v>
      </c>
      <c r="S312" s="17">
        <v>11.3</v>
      </c>
      <c r="T312" s="17">
        <v>3.54</v>
      </c>
      <c r="U312" s="20">
        <f t="shared" si="21"/>
        <v>1.0300884955752212</v>
      </c>
      <c r="V312" s="22">
        <f t="shared" si="24"/>
        <v>3.0088495575221197</v>
      </c>
      <c r="W312" s="17"/>
      <c r="X312" s="17" t="s">
        <v>56</v>
      </c>
      <c r="Y312" s="17"/>
      <c r="Z312" s="17" t="s">
        <v>56</v>
      </c>
      <c r="AA312" s="17"/>
      <c r="AB312" s="17" t="s">
        <v>111</v>
      </c>
      <c r="AC312" s="17">
        <v>1992</v>
      </c>
      <c r="AD312" s="17">
        <v>10</v>
      </c>
      <c r="AE312" s="17"/>
      <c r="AF312" s="17"/>
      <c r="AG312" s="17">
        <v>1992</v>
      </c>
      <c r="AH312" s="14">
        <f t="shared" si="22"/>
        <v>0</v>
      </c>
      <c r="AI312" s="17">
        <f t="shared" si="23"/>
        <v>10</v>
      </c>
      <c r="AJ312" s="17"/>
      <c r="AK312" s="17" t="s">
        <v>58</v>
      </c>
      <c r="AL312" s="16" t="s">
        <v>859</v>
      </c>
      <c r="AM312" s="15">
        <v>2007</v>
      </c>
      <c r="AN312" s="15" t="s">
        <v>860</v>
      </c>
      <c r="AO312" s="15" t="s">
        <v>56</v>
      </c>
      <c r="AP312" s="15"/>
      <c r="AQ312" s="15" t="s">
        <v>56</v>
      </c>
      <c r="AR312" s="15" t="s">
        <v>58</v>
      </c>
      <c r="AS312" s="15" t="s">
        <v>94</v>
      </c>
      <c r="AT312" s="15"/>
      <c r="AU312" s="45"/>
      <c r="AV312" s="15"/>
      <c r="AW312" s="12" t="str">
        <f>B312&amp;C312&amp;L312&amp;M312&amp;O312&amp;U312&amp;AL312&amp;AM312</f>
        <v>AustraliaNinepin Point Marine Nature ReserveNotolabrus fucicolabanded parrotfishdensity1.03008849557522Barrett2007</v>
      </c>
    </row>
    <row r="313" spans="1:49" s="82" customFormat="1" ht="14.25" customHeight="1" x14ac:dyDescent="0.35">
      <c r="A313" s="12">
        <v>312</v>
      </c>
      <c r="B313" s="15" t="s">
        <v>66</v>
      </c>
      <c r="C313" s="43" t="s">
        <v>1489</v>
      </c>
      <c r="D313" s="43" t="s">
        <v>1489</v>
      </c>
      <c r="E313" s="15" t="s">
        <v>1226</v>
      </c>
      <c r="F313" s="13" t="s">
        <v>50</v>
      </c>
      <c r="G313" s="13" t="s">
        <v>51</v>
      </c>
      <c r="H313" s="16" t="s">
        <v>52</v>
      </c>
      <c r="I313" s="16" t="s">
        <v>53</v>
      </c>
      <c r="J313" s="17"/>
      <c r="K313" s="17">
        <v>7</v>
      </c>
      <c r="L313" s="17" t="s">
        <v>885</v>
      </c>
      <c r="M313" s="17" t="s">
        <v>886</v>
      </c>
      <c r="N313" s="17" t="s">
        <v>85</v>
      </c>
      <c r="O313" s="17" t="s">
        <v>86</v>
      </c>
      <c r="P313" s="17"/>
      <c r="Q313" s="17">
        <v>8.9499999999999993</v>
      </c>
      <c r="R313" s="17">
        <v>4.9400000000000004</v>
      </c>
      <c r="S313" s="17">
        <v>0.65</v>
      </c>
      <c r="T313" s="17">
        <v>1.03</v>
      </c>
      <c r="U313" s="20">
        <f t="shared" si="21"/>
        <v>2.870912488321395</v>
      </c>
      <c r="V313" s="22">
        <f t="shared" si="24"/>
        <v>187.09124883213951</v>
      </c>
      <c r="W313" s="17"/>
      <c r="X313" s="17" t="s">
        <v>56</v>
      </c>
      <c r="Y313" s="14"/>
      <c r="Z313" s="17" t="s">
        <v>56</v>
      </c>
      <c r="AA313" s="17"/>
      <c r="AB313" s="17" t="s">
        <v>111</v>
      </c>
      <c r="AC313" s="17">
        <v>1992</v>
      </c>
      <c r="AD313" s="17">
        <v>9</v>
      </c>
      <c r="AE313" s="17"/>
      <c r="AF313" s="17"/>
      <c r="AG313" s="17">
        <v>1992</v>
      </c>
      <c r="AH313" s="14">
        <f t="shared" si="22"/>
        <v>0</v>
      </c>
      <c r="AI313" s="17">
        <f t="shared" si="23"/>
        <v>9</v>
      </c>
      <c r="AJ313" s="17"/>
      <c r="AK313" s="17" t="s">
        <v>58</v>
      </c>
      <c r="AL313" s="16" t="s">
        <v>859</v>
      </c>
      <c r="AM313" s="15">
        <v>2007</v>
      </c>
      <c r="AN313" s="15" t="s">
        <v>860</v>
      </c>
      <c r="AO313" s="15" t="s">
        <v>56</v>
      </c>
      <c r="AP313" s="15"/>
      <c r="AQ313" s="15" t="s">
        <v>56</v>
      </c>
      <c r="AR313" s="15" t="s">
        <v>58</v>
      </c>
      <c r="AS313" s="15" t="s">
        <v>94</v>
      </c>
      <c r="AT313" s="15"/>
      <c r="AU313" s="45"/>
      <c r="AV313" s="15"/>
      <c r="AW313" s="12" t="str">
        <f>B313&amp;C313&amp;L313&amp;M313&amp;O313&amp;U313&amp;AL313&amp;AM313</f>
        <v>AustraliaNinepin Point Marine Nature ReservePseudolabrus psittaculusrosy wrassedensity2.8709124883214Barrett2007</v>
      </c>
    </row>
    <row r="314" spans="1:49" s="82" customFormat="1" ht="14.15" customHeight="1" x14ac:dyDescent="0.35">
      <c r="A314" s="12">
        <v>313</v>
      </c>
      <c r="B314" s="12" t="s">
        <v>66</v>
      </c>
      <c r="C314" s="44" t="s">
        <v>1489</v>
      </c>
      <c r="D314" s="44" t="s">
        <v>1489</v>
      </c>
      <c r="E314" s="12" t="s">
        <v>1226</v>
      </c>
      <c r="F314" s="13" t="s">
        <v>50</v>
      </c>
      <c r="G314" s="13" t="s">
        <v>51</v>
      </c>
      <c r="H314" s="13" t="s">
        <v>52</v>
      </c>
      <c r="I314" s="13" t="s">
        <v>53</v>
      </c>
      <c r="J314" s="14"/>
      <c r="K314" s="17">
        <v>7</v>
      </c>
      <c r="L314" s="14" t="s">
        <v>1496</v>
      </c>
      <c r="M314" s="14" t="s">
        <v>1497</v>
      </c>
      <c r="N314" s="14" t="s">
        <v>85</v>
      </c>
      <c r="O314" s="17" t="s">
        <v>86</v>
      </c>
      <c r="P314" s="14"/>
      <c r="Q314" s="14">
        <v>461.54</v>
      </c>
      <c r="R314" s="14">
        <v>112.82</v>
      </c>
      <c r="S314" s="14">
        <v>116.24</v>
      </c>
      <c r="T314" s="14">
        <v>68.38</v>
      </c>
      <c r="U314" s="19">
        <f t="shared" ref="U314:U377" si="25">IFERROR(IF(AND(Q314="",R314="",S314="",T314=""),"",IF(AND(Q314&lt;&gt;"",R314&lt;&gt;"",S314&lt;&gt;"",T314&lt;&gt;""),(T314/R314)/(S314/Q314),IF(AND(Q314&lt;&gt;"",R314&lt;&gt;""),R314/Q314,IF(AND(S314&lt;&gt;"",T314&lt;&gt;""),T314/S314,IF(AND(Q314&lt;&gt;"",S314&lt;&gt;""),Q314/S314,IF(AND(R314&lt;&gt;"",T314&lt;&gt;""),T314/R314)))))), "N/A")</f>
        <v>2.4065602858727879</v>
      </c>
      <c r="V314" s="41">
        <f t="shared" si="24"/>
        <v>140.6560285872788</v>
      </c>
      <c r="W314" s="14"/>
      <c r="X314" s="14" t="s">
        <v>56</v>
      </c>
      <c r="Y314" s="14"/>
      <c r="Z314" s="14" t="s">
        <v>56</v>
      </c>
      <c r="AA314" s="17"/>
      <c r="AB314" s="14" t="s">
        <v>111</v>
      </c>
      <c r="AC314" s="14">
        <v>1992</v>
      </c>
      <c r="AD314" s="14">
        <v>10</v>
      </c>
      <c r="AE314" s="14"/>
      <c r="AF314" s="14"/>
      <c r="AG314" s="14">
        <v>1992</v>
      </c>
      <c r="AH314" s="14">
        <f t="shared" si="22"/>
        <v>0</v>
      </c>
      <c r="AI314" s="17">
        <f t="shared" si="23"/>
        <v>10</v>
      </c>
      <c r="AJ314" s="14"/>
      <c r="AK314" s="14" t="s">
        <v>58</v>
      </c>
      <c r="AL314" s="13" t="s">
        <v>859</v>
      </c>
      <c r="AM314" s="12">
        <v>2007</v>
      </c>
      <c r="AN314" s="12" t="s">
        <v>860</v>
      </c>
      <c r="AO314" s="12" t="s">
        <v>56</v>
      </c>
      <c r="AP314" s="12"/>
      <c r="AQ314" s="12" t="s">
        <v>56</v>
      </c>
      <c r="AR314" s="12" t="s">
        <v>58</v>
      </c>
      <c r="AS314" s="12" t="s">
        <v>94</v>
      </c>
      <c r="AT314" s="12"/>
      <c r="AU314" s="45"/>
      <c r="AV314" s="15"/>
      <c r="AW314" s="12" t="str">
        <f>B314&amp;C314&amp;L314&amp;M314&amp;O314&amp;U314&amp;AL314&amp;AM314</f>
        <v>AustraliaNinepin Point Marine Nature ReserveCaesioperca rasorbarber perchdensity2.40656028587279Barrett2007</v>
      </c>
    </row>
    <row r="315" spans="1:49" s="82" customFormat="1" ht="14.25" customHeight="1" x14ac:dyDescent="0.35">
      <c r="A315" s="12">
        <v>314</v>
      </c>
      <c r="B315" s="12" t="s">
        <v>66</v>
      </c>
      <c r="C315" s="44" t="s">
        <v>1489</v>
      </c>
      <c r="D315" s="44" t="s">
        <v>1489</v>
      </c>
      <c r="E315" s="12" t="s">
        <v>1226</v>
      </c>
      <c r="F315" s="13" t="s">
        <v>50</v>
      </c>
      <c r="G315" s="13" t="s">
        <v>51</v>
      </c>
      <c r="H315" s="13" t="s">
        <v>52</v>
      </c>
      <c r="I315" s="13" t="s">
        <v>53</v>
      </c>
      <c r="J315" s="14"/>
      <c r="K315" s="17">
        <v>7</v>
      </c>
      <c r="L315" s="14" t="s">
        <v>1346</v>
      </c>
      <c r="M315" s="14" t="s">
        <v>1347</v>
      </c>
      <c r="N315" s="14" t="s">
        <v>85</v>
      </c>
      <c r="O315" s="17" t="s">
        <v>86</v>
      </c>
      <c r="P315" s="14"/>
      <c r="Q315" s="14">
        <v>132.97999999999999</v>
      </c>
      <c r="R315" s="14">
        <v>37.229999999999997</v>
      </c>
      <c r="S315" s="14">
        <v>409.57</v>
      </c>
      <c r="T315" s="14">
        <v>356.38</v>
      </c>
      <c r="U315" s="19">
        <f t="shared" si="25"/>
        <v>3.1079818773921493</v>
      </c>
      <c r="V315" s="41">
        <f t="shared" si="24"/>
        <v>210.79818773921494</v>
      </c>
      <c r="W315" s="14"/>
      <c r="X315" s="14" t="s">
        <v>56</v>
      </c>
      <c r="Y315" s="14"/>
      <c r="Z315" s="14" t="s">
        <v>56</v>
      </c>
      <c r="AA315" s="17"/>
      <c r="AB315" s="14" t="s">
        <v>111</v>
      </c>
      <c r="AC315" s="14">
        <v>1992</v>
      </c>
      <c r="AD315" s="14">
        <v>10</v>
      </c>
      <c r="AE315" s="14"/>
      <c r="AF315" s="14"/>
      <c r="AG315" s="14">
        <v>1992</v>
      </c>
      <c r="AH315" s="14">
        <f t="shared" si="22"/>
        <v>0</v>
      </c>
      <c r="AI315" s="17">
        <f t="shared" si="23"/>
        <v>10</v>
      </c>
      <c r="AJ315" s="14"/>
      <c r="AK315" s="14" t="s">
        <v>58</v>
      </c>
      <c r="AL315" s="13" t="s">
        <v>859</v>
      </c>
      <c r="AM315" s="12">
        <v>2007</v>
      </c>
      <c r="AN315" s="12" t="s">
        <v>860</v>
      </c>
      <c r="AO315" s="12" t="s">
        <v>56</v>
      </c>
      <c r="AP315" s="12"/>
      <c r="AQ315" s="12" t="s">
        <v>56</v>
      </c>
      <c r="AR315" s="12" t="s">
        <v>58</v>
      </c>
      <c r="AS315" s="12" t="s">
        <v>94</v>
      </c>
      <c r="AT315" s="12"/>
      <c r="AU315" s="45"/>
      <c r="AV315" s="15"/>
      <c r="AW315" s="12" t="str">
        <f>B315&amp;C315&amp;L315&amp;M315&amp;O315&amp;U315&amp;AL315&amp;AM315</f>
        <v>AustraliaNinepin Point Marine Nature ReserveTrachinops caudimaculatussouthern hulafishdensity3.10798187739215Barrett2007</v>
      </c>
    </row>
    <row r="316" spans="1:49" s="82" customFormat="1" ht="14.25" customHeight="1" x14ac:dyDescent="0.35">
      <c r="A316" s="12">
        <v>315</v>
      </c>
      <c r="B316" s="12" t="s">
        <v>758</v>
      </c>
      <c r="C316" s="12" t="s">
        <v>2552</v>
      </c>
      <c r="D316" s="12" t="s">
        <v>759</v>
      </c>
      <c r="E316" s="12"/>
      <c r="F316" s="13" t="s">
        <v>50</v>
      </c>
      <c r="G316" s="13" t="s">
        <v>51</v>
      </c>
      <c r="H316" s="13" t="s">
        <v>52</v>
      </c>
      <c r="I316" s="13" t="s">
        <v>156</v>
      </c>
      <c r="J316" s="14">
        <v>19.5</v>
      </c>
      <c r="K316" s="17"/>
      <c r="L316" s="14" t="s">
        <v>760</v>
      </c>
      <c r="M316" s="14" t="s">
        <v>761</v>
      </c>
      <c r="N316" s="14" t="s">
        <v>85</v>
      </c>
      <c r="O316" s="17" t="s">
        <v>86</v>
      </c>
      <c r="P316" s="14" t="s">
        <v>762</v>
      </c>
      <c r="Q316" s="14"/>
      <c r="R316" s="14"/>
      <c r="S316" s="14">
        <v>10.83</v>
      </c>
      <c r="T316" s="14">
        <v>19.5</v>
      </c>
      <c r="U316" s="19">
        <f t="shared" si="25"/>
        <v>1.8005540166204985</v>
      </c>
      <c r="V316" s="41">
        <f t="shared" si="24"/>
        <v>80.055401662049846</v>
      </c>
      <c r="W316" s="14"/>
      <c r="X316" s="14" t="s">
        <v>56</v>
      </c>
      <c r="Y316" s="14"/>
      <c r="Z316" s="14" t="s">
        <v>58</v>
      </c>
      <c r="AA316" s="17" t="s">
        <v>58</v>
      </c>
      <c r="AB316" s="14" t="s">
        <v>57</v>
      </c>
      <c r="AC316" s="14">
        <v>2013</v>
      </c>
      <c r="AD316" s="14">
        <v>2</v>
      </c>
      <c r="AE316" s="14"/>
      <c r="AF316" s="14"/>
      <c r="AG316" s="14">
        <v>2001</v>
      </c>
      <c r="AH316" s="14">
        <f t="shared" si="22"/>
        <v>12</v>
      </c>
      <c r="AI316" s="17">
        <f t="shared" si="23"/>
        <v>14</v>
      </c>
      <c r="AJ316" s="14"/>
      <c r="AK316" s="14" t="s">
        <v>56</v>
      </c>
      <c r="AL316" s="13" t="s">
        <v>763</v>
      </c>
      <c r="AM316" s="12">
        <v>2018</v>
      </c>
      <c r="AN316" s="12" t="s">
        <v>764</v>
      </c>
      <c r="AO316" s="12" t="s">
        <v>56</v>
      </c>
      <c r="AP316" s="12"/>
      <c r="AQ316" s="12" t="s">
        <v>56</v>
      </c>
      <c r="AR316" s="12" t="s">
        <v>58</v>
      </c>
      <c r="AS316" s="12" t="s">
        <v>163</v>
      </c>
      <c r="AT316" s="12"/>
      <c r="AU316" s="45"/>
      <c r="AV316" s="15"/>
      <c r="AW316" s="12" t="str">
        <f>B316&amp;C316&amp;L316&amp;M316&amp;O316&amp;U316&amp;AL316&amp;AM316</f>
        <v>GalapagosPunta Mangle No-Take ZonePanulirus penicillatusred spiny lobsterdensity1.8005540166205Buglass2018</v>
      </c>
    </row>
    <row r="317" spans="1:49" s="82" customFormat="1" ht="14.25" customHeight="1" x14ac:dyDescent="0.35">
      <c r="A317" s="12">
        <v>316</v>
      </c>
      <c r="B317" s="12" t="s">
        <v>758</v>
      </c>
      <c r="C317" s="12" t="s">
        <v>2553</v>
      </c>
      <c r="D317" s="15" t="s">
        <v>759</v>
      </c>
      <c r="E317" s="12"/>
      <c r="F317" s="13" t="s">
        <v>50</v>
      </c>
      <c r="G317" s="13" t="s">
        <v>51</v>
      </c>
      <c r="H317" s="13" t="s">
        <v>52</v>
      </c>
      <c r="I317" s="13" t="s">
        <v>156</v>
      </c>
      <c r="J317" s="14">
        <f>28.9+16.8</f>
        <v>45.7</v>
      </c>
      <c r="K317" s="14"/>
      <c r="L317" s="14" t="s">
        <v>760</v>
      </c>
      <c r="M317" s="14" t="s">
        <v>761</v>
      </c>
      <c r="N317" s="14" t="s">
        <v>85</v>
      </c>
      <c r="O317" s="14" t="s">
        <v>86</v>
      </c>
      <c r="P317" s="14" t="s">
        <v>762</v>
      </c>
      <c r="Q317" s="14"/>
      <c r="R317" s="14"/>
      <c r="S317" s="14">
        <v>50.8</v>
      </c>
      <c r="T317" s="14">
        <v>31</v>
      </c>
      <c r="U317" s="19">
        <f t="shared" si="25"/>
        <v>0.61023622047244097</v>
      </c>
      <c r="V317" s="41">
        <f t="shared" si="24"/>
        <v>-38.976377952755904</v>
      </c>
      <c r="W317" s="14"/>
      <c r="X317" s="14" t="s">
        <v>56</v>
      </c>
      <c r="Y317" s="14"/>
      <c r="Z317" s="14" t="s">
        <v>58</v>
      </c>
      <c r="AA317" s="17" t="s">
        <v>58</v>
      </c>
      <c r="AB317" s="14" t="s">
        <v>57</v>
      </c>
      <c r="AC317" s="14">
        <v>2012</v>
      </c>
      <c r="AD317" s="14">
        <v>3</v>
      </c>
      <c r="AE317" s="14"/>
      <c r="AF317" s="14"/>
      <c r="AG317" s="14">
        <v>2001</v>
      </c>
      <c r="AH317" s="14">
        <f t="shared" si="22"/>
        <v>11</v>
      </c>
      <c r="AI317" s="17">
        <f t="shared" si="23"/>
        <v>14</v>
      </c>
      <c r="AJ317" s="14"/>
      <c r="AK317" s="14" t="s">
        <v>56</v>
      </c>
      <c r="AL317" s="13" t="s">
        <v>763</v>
      </c>
      <c r="AM317" s="12">
        <v>2018</v>
      </c>
      <c r="AN317" s="12" t="s">
        <v>764</v>
      </c>
      <c r="AO317" s="12" t="s">
        <v>56</v>
      </c>
      <c r="AP317" s="12"/>
      <c r="AQ317" s="12" t="s">
        <v>56</v>
      </c>
      <c r="AR317" s="12" t="s">
        <v>58</v>
      </c>
      <c r="AS317" s="12" t="s">
        <v>163</v>
      </c>
      <c r="AT317" s="12"/>
      <c r="AU317" s="45" t="s">
        <v>2554</v>
      </c>
      <c r="AV317" s="15"/>
      <c r="AW317" s="12" t="str">
        <f>B317&amp;C317&amp;L317&amp;M317&amp;O317&amp;U317&amp;AL317&amp;AM317</f>
        <v>GalapagosLas Cuevas &amp; Punta Cormorant no-take zonesPanulirus penicillatusred spiny lobsterdensity0.610236220472441Buglass2018</v>
      </c>
    </row>
    <row r="318" spans="1:49" s="82" customFormat="1" ht="14.25" customHeight="1" x14ac:dyDescent="0.35">
      <c r="A318" s="12">
        <v>317</v>
      </c>
      <c r="B318" s="15" t="s">
        <v>758</v>
      </c>
      <c r="C318" s="15" t="s">
        <v>2555</v>
      </c>
      <c r="D318" s="15" t="s">
        <v>759</v>
      </c>
      <c r="E318" s="15"/>
      <c r="F318" s="16" t="s">
        <v>50</v>
      </c>
      <c r="G318" s="16" t="s">
        <v>51</v>
      </c>
      <c r="H318" s="16" t="s">
        <v>52</v>
      </c>
      <c r="I318" s="16" t="s">
        <v>156</v>
      </c>
      <c r="J318" s="17">
        <v>16.8</v>
      </c>
      <c r="K318" s="17"/>
      <c r="L318" s="17" t="s">
        <v>760</v>
      </c>
      <c r="M318" s="17" t="s">
        <v>761</v>
      </c>
      <c r="N318" s="17" t="s">
        <v>85</v>
      </c>
      <c r="O318" s="17" t="s">
        <v>86</v>
      </c>
      <c r="P318" s="17" t="s">
        <v>762</v>
      </c>
      <c r="Q318" s="17"/>
      <c r="R318" s="17"/>
      <c r="S318" s="17">
        <v>23.3</v>
      </c>
      <c r="T318" s="17">
        <v>13</v>
      </c>
      <c r="U318" s="20">
        <f t="shared" si="25"/>
        <v>0.55793991416309008</v>
      </c>
      <c r="V318" s="22">
        <f t="shared" si="24"/>
        <v>-44.206008583690995</v>
      </c>
      <c r="W318" s="17"/>
      <c r="X318" s="17" t="s">
        <v>56</v>
      </c>
      <c r="Y318" s="14"/>
      <c r="Z318" s="17" t="s">
        <v>58</v>
      </c>
      <c r="AA318" s="17" t="s">
        <v>58</v>
      </c>
      <c r="AB318" s="17" t="s">
        <v>57</v>
      </c>
      <c r="AC318" s="17">
        <v>2012</v>
      </c>
      <c r="AD318" s="17">
        <v>3</v>
      </c>
      <c r="AE318" s="17"/>
      <c r="AF318" s="17"/>
      <c r="AG318" s="17">
        <v>2001</v>
      </c>
      <c r="AH318" s="14">
        <f t="shared" si="22"/>
        <v>11</v>
      </c>
      <c r="AI318" s="17">
        <f t="shared" si="23"/>
        <v>14</v>
      </c>
      <c r="AJ318" s="17"/>
      <c r="AK318" s="17" t="s">
        <v>56</v>
      </c>
      <c r="AL318" s="16" t="s">
        <v>763</v>
      </c>
      <c r="AM318" s="15">
        <v>2018</v>
      </c>
      <c r="AN318" s="15" t="s">
        <v>764</v>
      </c>
      <c r="AO318" s="15" t="s">
        <v>56</v>
      </c>
      <c r="AP318" s="15"/>
      <c r="AQ318" s="15" t="s">
        <v>56</v>
      </c>
      <c r="AR318" s="15" t="s">
        <v>58</v>
      </c>
      <c r="AS318" s="15" t="s">
        <v>163</v>
      </c>
      <c r="AT318" s="15"/>
      <c r="AU318" s="45"/>
      <c r="AV318" s="15"/>
      <c r="AW318" s="12" t="str">
        <f>B318&amp;C318&amp;L318&amp;M318&amp;O318&amp;U318&amp;AL318&amp;AM318</f>
        <v>GalapagosPunta Pit no-take zonePanulirus penicillatusred spiny lobsterdensity0.55793991416309Buglass2018</v>
      </c>
    </row>
    <row r="319" spans="1:49" s="82" customFormat="1" ht="14.25" customHeight="1" x14ac:dyDescent="0.35">
      <c r="A319" s="12">
        <v>318</v>
      </c>
      <c r="B319" s="12" t="s">
        <v>758</v>
      </c>
      <c r="C319" s="12" t="s">
        <v>2556</v>
      </c>
      <c r="D319" s="12" t="s">
        <v>759</v>
      </c>
      <c r="E319" s="12"/>
      <c r="F319" s="13" t="s">
        <v>50</v>
      </c>
      <c r="G319" s="13" t="s">
        <v>51</v>
      </c>
      <c r="H319" s="13" t="s">
        <v>52</v>
      </c>
      <c r="I319" s="13" t="s">
        <v>156</v>
      </c>
      <c r="J319" s="14">
        <v>47.3</v>
      </c>
      <c r="K319" s="14"/>
      <c r="L319" s="14" t="s">
        <v>760</v>
      </c>
      <c r="M319" s="14" t="s">
        <v>761</v>
      </c>
      <c r="N319" s="14" t="s">
        <v>85</v>
      </c>
      <c r="O319" s="17" t="s">
        <v>86</v>
      </c>
      <c r="P319" s="14" t="s">
        <v>762</v>
      </c>
      <c r="Q319" s="14"/>
      <c r="R319" s="14"/>
      <c r="S319" s="14">
        <v>37.6</v>
      </c>
      <c r="T319" s="14">
        <v>74.8</v>
      </c>
      <c r="U319" s="19">
        <f t="shared" si="25"/>
        <v>1.9893617021276595</v>
      </c>
      <c r="V319" s="41">
        <f t="shared" si="24"/>
        <v>98.936170212765944</v>
      </c>
      <c r="W319" s="14"/>
      <c r="X319" s="14" t="s">
        <v>56</v>
      </c>
      <c r="Y319" s="14"/>
      <c r="Z319" s="14" t="s">
        <v>58</v>
      </c>
      <c r="AA319" s="17" t="s">
        <v>58</v>
      </c>
      <c r="AB319" s="14" t="s">
        <v>57</v>
      </c>
      <c r="AC319" s="14">
        <v>2012</v>
      </c>
      <c r="AD319" s="14">
        <v>2</v>
      </c>
      <c r="AE319" s="14"/>
      <c r="AF319" s="14"/>
      <c r="AG319" s="14">
        <v>2001</v>
      </c>
      <c r="AH319" s="14">
        <f t="shared" si="22"/>
        <v>11</v>
      </c>
      <c r="AI319" s="17">
        <f t="shared" si="23"/>
        <v>13</v>
      </c>
      <c r="AJ319" s="14"/>
      <c r="AK319" s="14" t="s">
        <v>56</v>
      </c>
      <c r="AL319" s="13" t="s">
        <v>763</v>
      </c>
      <c r="AM319" s="12">
        <v>2018</v>
      </c>
      <c r="AN319" s="12" t="s">
        <v>764</v>
      </c>
      <c r="AO319" s="12" t="s">
        <v>56</v>
      </c>
      <c r="AP319" s="12"/>
      <c r="AQ319" s="12" t="s">
        <v>56</v>
      </c>
      <c r="AR319" s="12" t="s">
        <v>58</v>
      </c>
      <c r="AS319" s="12" t="s">
        <v>163</v>
      </c>
      <c r="AT319" s="12"/>
      <c r="AU319" s="45"/>
      <c r="AV319" s="15"/>
      <c r="AW319" s="12" t="str">
        <f>B319&amp;C319&amp;L319&amp;M319&amp;O319&amp;U319&amp;AL319&amp;AM319</f>
        <v>GalapagosEl Eden no-take zonePanulirus penicillatusred spiny lobsterdensity1.98936170212766Buglass2018</v>
      </c>
    </row>
    <row r="320" spans="1:49" s="82" customFormat="1" ht="14.25" customHeight="1" x14ac:dyDescent="0.35">
      <c r="A320" s="12">
        <v>319</v>
      </c>
      <c r="B320" s="15" t="s">
        <v>758</v>
      </c>
      <c r="C320" s="15" t="s">
        <v>2552</v>
      </c>
      <c r="D320" s="15" t="s">
        <v>759</v>
      </c>
      <c r="E320" s="15"/>
      <c r="F320" s="16" t="s">
        <v>50</v>
      </c>
      <c r="G320" s="16" t="s">
        <v>51</v>
      </c>
      <c r="H320" s="16" t="s">
        <v>52</v>
      </c>
      <c r="I320" s="16" t="s">
        <v>156</v>
      </c>
      <c r="J320" s="17">
        <v>19.5</v>
      </c>
      <c r="K320" s="17"/>
      <c r="L320" s="17" t="s">
        <v>760</v>
      </c>
      <c r="M320" s="17" t="s">
        <v>761</v>
      </c>
      <c r="N320" s="17" t="s">
        <v>85</v>
      </c>
      <c r="O320" s="17" t="s">
        <v>104</v>
      </c>
      <c r="P320" s="17" t="s">
        <v>765</v>
      </c>
      <c r="Q320" s="17"/>
      <c r="R320" s="17"/>
      <c r="S320" s="17">
        <v>28.3</v>
      </c>
      <c r="T320" s="17">
        <v>30.1</v>
      </c>
      <c r="U320" s="20">
        <f t="shared" si="25"/>
        <v>1.0636042402826855</v>
      </c>
      <c r="V320" s="22">
        <f t="shared" si="24"/>
        <v>6.360424028268552</v>
      </c>
      <c r="W320" s="17"/>
      <c r="X320" s="17" t="s">
        <v>56</v>
      </c>
      <c r="Y320" s="17"/>
      <c r="Z320" s="17" t="s">
        <v>58</v>
      </c>
      <c r="AA320" s="17" t="s">
        <v>58</v>
      </c>
      <c r="AB320" s="17" t="s">
        <v>57</v>
      </c>
      <c r="AC320" s="17">
        <v>2013</v>
      </c>
      <c r="AD320" s="17">
        <v>2</v>
      </c>
      <c r="AE320" s="17"/>
      <c r="AF320" s="17"/>
      <c r="AG320" s="17">
        <v>2001</v>
      </c>
      <c r="AH320" s="14">
        <f t="shared" si="22"/>
        <v>12</v>
      </c>
      <c r="AI320" s="17">
        <f t="shared" si="23"/>
        <v>14</v>
      </c>
      <c r="AJ320" s="17"/>
      <c r="AK320" s="17" t="s">
        <v>56</v>
      </c>
      <c r="AL320" s="16" t="s">
        <v>763</v>
      </c>
      <c r="AM320" s="15">
        <v>2018</v>
      </c>
      <c r="AN320" s="15" t="s">
        <v>764</v>
      </c>
      <c r="AO320" s="15" t="s">
        <v>56</v>
      </c>
      <c r="AP320" s="15"/>
      <c r="AQ320" s="15" t="s">
        <v>56</v>
      </c>
      <c r="AR320" s="15" t="s">
        <v>58</v>
      </c>
      <c r="AS320" s="15" t="s">
        <v>163</v>
      </c>
      <c r="AT320" s="15"/>
      <c r="AU320" s="45"/>
      <c r="AV320" s="15"/>
      <c r="AW320" s="12" t="str">
        <f>B320&amp;C320&amp;L320&amp;M320&amp;O320&amp;U320&amp;AL320&amp;AM320</f>
        <v>GalapagosPunta Mangle No-Take ZonePanulirus penicillatusred spiny lobstersize1.06360424028269Buglass2018</v>
      </c>
    </row>
    <row r="321" spans="1:49" s="82" customFormat="1" ht="14.25" customHeight="1" x14ac:dyDescent="0.35">
      <c r="A321" s="12">
        <v>320</v>
      </c>
      <c r="B321" s="15" t="s">
        <v>758</v>
      </c>
      <c r="C321" s="15" t="s">
        <v>2553</v>
      </c>
      <c r="D321" s="15" t="s">
        <v>759</v>
      </c>
      <c r="E321" s="15"/>
      <c r="F321" s="13" t="s">
        <v>50</v>
      </c>
      <c r="G321" s="13" t="s">
        <v>51</v>
      </c>
      <c r="H321" s="16" t="s">
        <v>52</v>
      </c>
      <c r="I321" s="16" t="s">
        <v>156</v>
      </c>
      <c r="J321" s="17">
        <f>28.9+16.8</f>
        <v>45.7</v>
      </c>
      <c r="K321" s="17"/>
      <c r="L321" s="17" t="s">
        <v>760</v>
      </c>
      <c r="M321" s="17" t="s">
        <v>761</v>
      </c>
      <c r="N321" s="17" t="s">
        <v>85</v>
      </c>
      <c r="O321" s="17" t="s">
        <v>104</v>
      </c>
      <c r="P321" s="17" t="s">
        <v>765</v>
      </c>
      <c r="Q321" s="17"/>
      <c r="R321" s="17"/>
      <c r="S321" s="17">
        <v>25.7</v>
      </c>
      <c r="T321" s="17">
        <v>26</v>
      </c>
      <c r="U321" s="20">
        <f t="shared" si="25"/>
        <v>1.0116731517509727</v>
      </c>
      <c r="V321" s="22">
        <f t="shared" si="24"/>
        <v>1.1673151750972721</v>
      </c>
      <c r="W321" s="17"/>
      <c r="X321" s="17" t="s">
        <v>56</v>
      </c>
      <c r="Y321" s="14"/>
      <c r="Z321" s="17" t="s">
        <v>58</v>
      </c>
      <c r="AA321" s="17" t="s">
        <v>58</v>
      </c>
      <c r="AB321" s="17" t="s">
        <v>57</v>
      </c>
      <c r="AC321" s="17">
        <v>2012</v>
      </c>
      <c r="AD321" s="17">
        <v>3</v>
      </c>
      <c r="AE321" s="17"/>
      <c r="AF321" s="17"/>
      <c r="AG321" s="17">
        <v>2001</v>
      </c>
      <c r="AH321" s="14">
        <f t="shared" si="22"/>
        <v>11</v>
      </c>
      <c r="AI321" s="17">
        <f t="shared" si="23"/>
        <v>14</v>
      </c>
      <c r="AJ321" s="17"/>
      <c r="AK321" s="17" t="s">
        <v>56</v>
      </c>
      <c r="AL321" s="16" t="s">
        <v>763</v>
      </c>
      <c r="AM321" s="15">
        <v>2018</v>
      </c>
      <c r="AN321" s="12" t="s">
        <v>764</v>
      </c>
      <c r="AO321" s="15" t="s">
        <v>56</v>
      </c>
      <c r="AP321" s="15"/>
      <c r="AQ321" s="15" t="s">
        <v>56</v>
      </c>
      <c r="AR321" s="15" t="s">
        <v>58</v>
      </c>
      <c r="AS321" s="15" t="s">
        <v>163</v>
      </c>
      <c r="AT321" s="15"/>
      <c r="AU321" s="45" t="s">
        <v>2554</v>
      </c>
      <c r="AV321" s="15"/>
      <c r="AW321" s="12" t="str">
        <f>B321&amp;C321&amp;L321&amp;M321&amp;O321&amp;U321&amp;AL321&amp;AM321</f>
        <v>GalapagosLas Cuevas &amp; Punta Cormorant no-take zonesPanulirus penicillatusred spiny lobstersize1.01167315175097Buglass2018</v>
      </c>
    </row>
    <row r="322" spans="1:49" s="82" customFormat="1" ht="14.25" customHeight="1" x14ac:dyDescent="0.35">
      <c r="A322" s="12">
        <v>321</v>
      </c>
      <c r="B322" s="15" t="s">
        <v>758</v>
      </c>
      <c r="C322" s="15" t="s">
        <v>2555</v>
      </c>
      <c r="D322" s="15" t="s">
        <v>759</v>
      </c>
      <c r="E322" s="15"/>
      <c r="F322" s="13" t="s">
        <v>50</v>
      </c>
      <c r="G322" s="13" t="s">
        <v>51</v>
      </c>
      <c r="H322" s="16" t="s">
        <v>52</v>
      </c>
      <c r="I322" s="16" t="s">
        <v>156</v>
      </c>
      <c r="J322" s="17">
        <v>16.8</v>
      </c>
      <c r="K322" s="17"/>
      <c r="L322" s="17" t="s">
        <v>760</v>
      </c>
      <c r="M322" s="17" t="s">
        <v>761</v>
      </c>
      <c r="N322" s="17" t="s">
        <v>85</v>
      </c>
      <c r="O322" s="17" t="s">
        <v>104</v>
      </c>
      <c r="P322" s="17" t="s">
        <v>765</v>
      </c>
      <c r="Q322" s="17"/>
      <c r="R322" s="17"/>
      <c r="S322" s="17">
        <v>25</v>
      </c>
      <c r="T322" s="17">
        <v>25.9</v>
      </c>
      <c r="U322" s="20">
        <f t="shared" si="25"/>
        <v>1.036</v>
      </c>
      <c r="V322" s="22">
        <f t="shared" si="24"/>
        <v>3.6000000000000032</v>
      </c>
      <c r="W322" s="17"/>
      <c r="X322" s="17" t="s">
        <v>56</v>
      </c>
      <c r="Y322" s="12"/>
      <c r="Z322" s="17" t="s">
        <v>58</v>
      </c>
      <c r="AA322" s="17" t="s">
        <v>58</v>
      </c>
      <c r="AB322" s="17" t="s">
        <v>57</v>
      </c>
      <c r="AC322" s="17">
        <v>2012</v>
      </c>
      <c r="AD322" s="17">
        <v>3</v>
      </c>
      <c r="AE322" s="17"/>
      <c r="AF322" s="17"/>
      <c r="AG322" s="17">
        <v>2001</v>
      </c>
      <c r="AH322" s="14">
        <f t="shared" ref="AH322:AH385" si="26">IF(OR(AG322="NA",AC322="NA"),"NA",IF(OR(AC322="",AG322=""), "", AC322-AG322))</f>
        <v>11</v>
      </c>
      <c r="AI322" s="17">
        <f t="shared" ref="AI322:AI385" si="27">IF(AH322="NA", "NA",IF(OR(AH322="",AND(AD322="",AE322="")), "",AH322+AD322+AE322/12))</f>
        <v>14</v>
      </c>
      <c r="AJ322" s="17"/>
      <c r="AK322" s="17" t="s">
        <v>56</v>
      </c>
      <c r="AL322" s="16" t="s">
        <v>763</v>
      </c>
      <c r="AM322" s="15">
        <v>2018</v>
      </c>
      <c r="AN322" s="12" t="s">
        <v>764</v>
      </c>
      <c r="AO322" s="15" t="s">
        <v>56</v>
      </c>
      <c r="AP322" s="15"/>
      <c r="AQ322" s="15" t="s">
        <v>56</v>
      </c>
      <c r="AR322" s="15" t="s">
        <v>58</v>
      </c>
      <c r="AS322" s="15" t="s">
        <v>163</v>
      </c>
      <c r="AT322" s="15"/>
      <c r="AU322" s="45"/>
      <c r="AV322" s="15"/>
      <c r="AW322" s="12" t="str">
        <f>B322&amp;C322&amp;L322&amp;M322&amp;O322&amp;U322&amp;AL322&amp;AM322</f>
        <v>GalapagosPunta Pit no-take zonePanulirus penicillatusred spiny lobstersize1.036Buglass2018</v>
      </c>
    </row>
    <row r="323" spans="1:49" s="82" customFormat="1" ht="14.25" customHeight="1" x14ac:dyDescent="0.35">
      <c r="A323" s="12">
        <v>322</v>
      </c>
      <c r="B323" s="15" t="s">
        <v>758</v>
      </c>
      <c r="C323" s="15" t="s">
        <v>2556</v>
      </c>
      <c r="D323" s="15" t="s">
        <v>759</v>
      </c>
      <c r="E323" s="15"/>
      <c r="F323" s="13" t="s">
        <v>50</v>
      </c>
      <c r="G323" s="13" t="s">
        <v>51</v>
      </c>
      <c r="H323" s="16" t="s">
        <v>52</v>
      </c>
      <c r="I323" s="16" t="s">
        <v>156</v>
      </c>
      <c r="J323" s="17">
        <v>47.3</v>
      </c>
      <c r="K323" s="17"/>
      <c r="L323" s="17" t="s">
        <v>760</v>
      </c>
      <c r="M323" s="17" t="s">
        <v>761</v>
      </c>
      <c r="N323" s="17" t="s">
        <v>85</v>
      </c>
      <c r="O323" s="17" t="s">
        <v>104</v>
      </c>
      <c r="P323" s="17" t="s">
        <v>765</v>
      </c>
      <c r="Q323" s="17"/>
      <c r="R323" s="17"/>
      <c r="S323" s="17">
        <v>25.1</v>
      </c>
      <c r="T323" s="17">
        <v>25.5</v>
      </c>
      <c r="U323" s="20">
        <f t="shared" si="25"/>
        <v>1.0159362549800797</v>
      </c>
      <c r="V323" s="22">
        <f t="shared" si="24"/>
        <v>1.5936254980079667</v>
      </c>
      <c r="W323" s="17"/>
      <c r="X323" s="17" t="s">
        <v>56</v>
      </c>
      <c r="Y323" s="14"/>
      <c r="Z323" s="17" t="s">
        <v>58</v>
      </c>
      <c r="AA323" s="17" t="s">
        <v>58</v>
      </c>
      <c r="AB323" s="17" t="s">
        <v>57</v>
      </c>
      <c r="AC323" s="17">
        <v>2012</v>
      </c>
      <c r="AD323" s="17">
        <v>2</v>
      </c>
      <c r="AE323" s="17"/>
      <c r="AF323" s="17"/>
      <c r="AG323" s="17">
        <v>2001</v>
      </c>
      <c r="AH323" s="14">
        <f t="shared" si="26"/>
        <v>11</v>
      </c>
      <c r="AI323" s="17">
        <f t="shared" si="27"/>
        <v>13</v>
      </c>
      <c r="AJ323" s="17"/>
      <c r="AK323" s="17" t="s">
        <v>56</v>
      </c>
      <c r="AL323" s="16" t="s">
        <v>763</v>
      </c>
      <c r="AM323" s="15">
        <v>2018</v>
      </c>
      <c r="AN323" s="12" t="s">
        <v>764</v>
      </c>
      <c r="AO323" s="15" t="s">
        <v>56</v>
      </c>
      <c r="AP323" s="15"/>
      <c r="AQ323" s="15" t="s">
        <v>56</v>
      </c>
      <c r="AR323" s="15" t="s">
        <v>58</v>
      </c>
      <c r="AS323" s="15" t="s">
        <v>163</v>
      </c>
      <c r="AT323" s="15"/>
      <c r="AU323" s="45"/>
      <c r="AV323" s="15"/>
      <c r="AW323" s="12" t="str">
        <f>B323&amp;C323&amp;L323&amp;M323&amp;O323&amp;U323&amp;AL323&amp;AM323</f>
        <v>GalapagosEl Eden no-take zonePanulirus penicillatusred spiny lobstersize1.01593625498008Buglass2018</v>
      </c>
    </row>
    <row r="324" spans="1:49" s="82" customFormat="1" ht="14.25" customHeight="1" x14ac:dyDescent="0.35">
      <c r="A324" s="12">
        <v>323</v>
      </c>
      <c r="B324" s="15" t="s">
        <v>477</v>
      </c>
      <c r="C324" s="15" t="s">
        <v>650</v>
      </c>
      <c r="D324" s="15" t="s">
        <v>651</v>
      </c>
      <c r="E324" s="15" t="s">
        <v>1665</v>
      </c>
      <c r="F324" s="16" t="s">
        <v>50</v>
      </c>
      <c r="G324" s="16" t="s">
        <v>454</v>
      </c>
      <c r="H324" s="16" t="s">
        <v>481</v>
      </c>
      <c r="I324" s="16" t="s">
        <v>156</v>
      </c>
      <c r="J324" s="14">
        <v>44</v>
      </c>
      <c r="K324" s="17"/>
      <c r="L324" s="17" t="s">
        <v>1666</v>
      </c>
      <c r="M324" s="17" t="s">
        <v>572</v>
      </c>
      <c r="N324" s="17" t="s">
        <v>85</v>
      </c>
      <c r="O324" s="17" t="s">
        <v>86</v>
      </c>
      <c r="P324" s="17"/>
      <c r="Q324" s="17"/>
      <c r="R324" s="17"/>
      <c r="S324" s="17">
        <v>4.8899999999999997</v>
      </c>
      <c r="T324" s="17">
        <v>63.13</v>
      </c>
      <c r="U324" s="20">
        <f t="shared" si="25"/>
        <v>12.910020449897752</v>
      </c>
      <c r="V324" s="22">
        <f t="shared" ref="V324:V387" si="28">IFERROR(IF(U324 = "", "",(U324-1)*100),"N/A")</f>
        <v>1191.0020449897752</v>
      </c>
      <c r="W324" s="17"/>
      <c r="X324" s="17" t="s">
        <v>56</v>
      </c>
      <c r="Y324" s="17"/>
      <c r="Z324" s="17" t="s">
        <v>56</v>
      </c>
      <c r="AA324" s="17"/>
      <c r="AB324" s="17" t="s">
        <v>57</v>
      </c>
      <c r="AC324" s="17">
        <v>2000</v>
      </c>
      <c r="AD324" s="17">
        <v>14</v>
      </c>
      <c r="AE324" s="17"/>
      <c r="AF324" s="17"/>
      <c r="AG324" s="17">
        <v>1990</v>
      </c>
      <c r="AH324" s="14">
        <f t="shared" si="26"/>
        <v>10</v>
      </c>
      <c r="AI324" s="17">
        <f t="shared" si="27"/>
        <v>24</v>
      </c>
      <c r="AJ324" s="17"/>
      <c r="AK324" s="17" t="s">
        <v>58</v>
      </c>
      <c r="AL324" s="16" t="s">
        <v>1667</v>
      </c>
      <c r="AM324" s="15">
        <v>2016</v>
      </c>
      <c r="AN324" s="15" t="s">
        <v>263</v>
      </c>
      <c r="AO324" s="15" t="s">
        <v>56</v>
      </c>
      <c r="AP324" s="15"/>
      <c r="AQ324" s="15" t="s">
        <v>56</v>
      </c>
      <c r="AR324" s="15" t="s">
        <v>58</v>
      </c>
      <c r="AS324" s="15" t="s">
        <v>94</v>
      </c>
      <c r="AT324" s="15"/>
      <c r="AU324" s="45" t="s">
        <v>1668</v>
      </c>
      <c r="AV324" s="15"/>
      <c r="AW324" s="12" t="str">
        <f>B324&amp;C324&amp;L324&amp;M324&amp;O324&amp;U324&amp;AL324&amp;AM324</f>
        <v>SpainColumbretes Islands Marine Reserve OldPalinurus elephasspiny lobsterdensity12.9100204498978Diaz2016</v>
      </c>
    </row>
    <row r="325" spans="1:49" s="82" customFormat="1" ht="14" customHeight="1" x14ac:dyDescent="0.35">
      <c r="A325" s="12">
        <v>324</v>
      </c>
      <c r="B325" s="12" t="s">
        <v>477</v>
      </c>
      <c r="C325" s="12" t="s">
        <v>650</v>
      </c>
      <c r="D325" s="15" t="s">
        <v>651</v>
      </c>
      <c r="E325" s="12" t="s">
        <v>1665</v>
      </c>
      <c r="F325" s="13" t="s">
        <v>50</v>
      </c>
      <c r="G325" s="13" t="s">
        <v>454</v>
      </c>
      <c r="H325" s="13" t="s">
        <v>481</v>
      </c>
      <c r="I325" s="13" t="s">
        <v>156</v>
      </c>
      <c r="J325" s="14">
        <v>44</v>
      </c>
      <c r="K325" s="17"/>
      <c r="L325" s="14" t="s">
        <v>1666</v>
      </c>
      <c r="M325" s="14" t="s">
        <v>572</v>
      </c>
      <c r="N325" s="14" t="s">
        <v>85</v>
      </c>
      <c r="O325" s="17" t="s">
        <v>70</v>
      </c>
      <c r="P325" s="14"/>
      <c r="Q325" s="14"/>
      <c r="R325" s="14"/>
      <c r="S325" s="14">
        <v>3820.6</v>
      </c>
      <c r="T325" s="14">
        <v>91196</v>
      </c>
      <c r="U325" s="19">
        <f t="shared" si="25"/>
        <v>23.869549285452546</v>
      </c>
      <c r="V325" s="41">
        <f t="shared" si="28"/>
        <v>2286.9549285452545</v>
      </c>
      <c r="W325" s="14"/>
      <c r="X325" s="14" t="s">
        <v>56</v>
      </c>
      <c r="Y325" s="14"/>
      <c r="Z325" s="14" t="s">
        <v>56</v>
      </c>
      <c r="AA325" s="17"/>
      <c r="AB325" s="14" t="s">
        <v>57</v>
      </c>
      <c r="AC325" s="14">
        <v>2000</v>
      </c>
      <c r="AD325" s="14">
        <v>14</v>
      </c>
      <c r="AE325" s="14"/>
      <c r="AF325" s="14"/>
      <c r="AG325" s="14">
        <v>1990</v>
      </c>
      <c r="AH325" s="14">
        <f t="shared" si="26"/>
        <v>10</v>
      </c>
      <c r="AI325" s="17">
        <f t="shared" si="27"/>
        <v>24</v>
      </c>
      <c r="AJ325" s="14"/>
      <c r="AK325" s="14" t="s">
        <v>58</v>
      </c>
      <c r="AL325" s="13" t="s">
        <v>1667</v>
      </c>
      <c r="AM325" s="12">
        <v>2016</v>
      </c>
      <c r="AN325" s="12" t="s">
        <v>263</v>
      </c>
      <c r="AO325" s="12" t="s">
        <v>56</v>
      </c>
      <c r="AP325" s="12"/>
      <c r="AQ325" s="12" t="s">
        <v>56</v>
      </c>
      <c r="AR325" s="12" t="s">
        <v>58</v>
      </c>
      <c r="AS325" s="12" t="s">
        <v>94</v>
      </c>
      <c r="AT325" s="12"/>
      <c r="AU325" s="45" t="s">
        <v>1668</v>
      </c>
      <c r="AV325" s="15"/>
      <c r="AW325" s="12" t="str">
        <f>B325&amp;C325&amp;L325&amp;M325&amp;O325&amp;U325&amp;AL325&amp;AM325</f>
        <v>SpainColumbretes Islands Marine Reserve OldPalinurus elephasspiny lobsterbiomassden23.8695492854525Diaz2016</v>
      </c>
    </row>
    <row r="326" spans="1:49" s="82" customFormat="1" ht="14.25" customHeight="1" x14ac:dyDescent="0.35">
      <c r="A326" s="12">
        <v>325</v>
      </c>
      <c r="B326" s="12" t="s">
        <v>477</v>
      </c>
      <c r="C326" s="12" t="s">
        <v>650</v>
      </c>
      <c r="D326" s="12" t="s">
        <v>651</v>
      </c>
      <c r="E326" s="12" t="s">
        <v>1665</v>
      </c>
      <c r="F326" s="13" t="s">
        <v>50</v>
      </c>
      <c r="G326" s="13" t="s">
        <v>454</v>
      </c>
      <c r="H326" s="13" t="s">
        <v>481</v>
      </c>
      <c r="I326" s="13" t="s">
        <v>156</v>
      </c>
      <c r="J326" s="14">
        <v>44</v>
      </c>
      <c r="K326" s="14"/>
      <c r="L326" s="14" t="s">
        <v>1666</v>
      </c>
      <c r="M326" s="14" t="s">
        <v>572</v>
      </c>
      <c r="N326" s="14" t="s">
        <v>85</v>
      </c>
      <c r="O326" s="17" t="s">
        <v>104</v>
      </c>
      <c r="P326" s="14"/>
      <c r="Q326" s="14"/>
      <c r="R326" s="14"/>
      <c r="S326" s="14">
        <f>(9.56+10.16)/2</f>
        <v>9.86</v>
      </c>
      <c r="T326" s="14">
        <f>(12.05+13.76)/2</f>
        <v>12.905000000000001</v>
      </c>
      <c r="U326" s="19">
        <f t="shared" si="25"/>
        <v>1.3088235294117649</v>
      </c>
      <c r="V326" s="41">
        <f t="shared" si="28"/>
        <v>30.882352941176492</v>
      </c>
      <c r="W326" s="14"/>
      <c r="X326" s="14" t="s">
        <v>56</v>
      </c>
      <c r="Y326" s="12"/>
      <c r="Z326" s="14" t="s">
        <v>56</v>
      </c>
      <c r="AA326" s="17"/>
      <c r="AB326" s="14" t="s">
        <v>57</v>
      </c>
      <c r="AC326" s="14">
        <v>2000</v>
      </c>
      <c r="AD326" s="14">
        <v>14</v>
      </c>
      <c r="AE326" s="14"/>
      <c r="AF326" s="14"/>
      <c r="AG326" s="14">
        <v>1990</v>
      </c>
      <c r="AH326" s="14">
        <f t="shared" si="26"/>
        <v>10</v>
      </c>
      <c r="AI326" s="17">
        <f t="shared" si="27"/>
        <v>24</v>
      </c>
      <c r="AJ326" s="14"/>
      <c r="AK326" s="14" t="s">
        <v>58</v>
      </c>
      <c r="AL326" s="13" t="s">
        <v>1667</v>
      </c>
      <c r="AM326" s="12">
        <v>2016</v>
      </c>
      <c r="AN326" s="12" t="s">
        <v>263</v>
      </c>
      <c r="AO326" s="12" t="s">
        <v>56</v>
      </c>
      <c r="AP326" s="12"/>
      <c r="AQ326" s="12" t="s">
        <v>56</v>
      </c>
      <c r="AR326" s="12" t="s">
        <v>58</v>
      </c>
      <c r="AS326" s="12" t="s">
        <v>94</v>
      </c>
      <c r="AT326" s="12"/>
      <c r="AU326" s="45" t="s">
        <v>2816</v>
      </c>
      <c r="AV326" s="15"/>
      <c r="AW326" s="12" t="str">
        <f>B326&amp;C326&amp;L326&amp;M326&amp;O326&amp;U326&amp;AL326&amp;AM326</f>
        <v>SpainColumbretes Islands Marine Reserve OldPalinurus elephasspiny lobstersize1.30882352941176Diaz2016</v>
      </c>
    </row>
    <row r="327" spans="1:49" s="82" customFormat="1" ht="14.25" customHeight="1" x14ac:dyDescent="0.35">
      <c r="A327" s="12">
        <v>326</v>
      </c>
      <c r="B327" s="15" t="s">
        <v>684</v>
      </c>
      <c r="C327" s="43" t="s">
        <v>1400</v>
      </c>
      <c r="D327" s="15" t="s">
        <v>1401</v>
      </c>
      <c r="E327" s="15" t="s">
        <v>1408</v>
      </c>
      <c r="F327" s="16" t="s">
        <v>571</v>
      </c>
      <c r="G327" s="16" t="s">
        <v>51</v>
      </c>
      <c r="H327" s="16" t="s">
        <v>613</v>
      </c>
      <c r="I327" s="16" t="s">
        <v>156</v>
      </c>
      <c r="J327" s="17">
        <v>6</v>
      </c>
      <c r="K327" s="17"/>
      <c r="L327" s="17" t="s">
        <v>625</v>
      </c>
      <c r="M327" s="17" t="s">
        <v>963</v>
      </c>
      <c r="N327" s="17" t="s">
        <v>170</v>
      </c>
      <c r="O327" s="17" t="s">
        <v>86</v>
      </c>
      <c r="P327" s="17"/>
      <c r="Q327" s="17"/>
      <c r="R327" s="17">
        <v>15.41</v>
      </c>
      <c r="S327" s="17"/>
      <c r="T327" s="17">
        <v>41.59</v>
      </c>
      <c r="U327" s="20">
        <f t="shared" si="25"/>
        <v>2.6988968202465933</v>
      </c>
      <c r="V327" s="22">
        <f t="shared" si="28"/>
        <v>169.88968202465932</v>
      </c>
      <c r="W327" s="17"/>
      <c r="X327" s="17" t="s">
        <v>56</v>
      </c>
      <c r="Y327" s="17"/>
      <c r="Z327" s="17" t="s">
        <v>56</v>
      </c>
      <c r="AA327" s="17"/>
      <c r="AB327" s="17" t="s">
        <v>192</v>
      </c>
      <c r="AC327" s="17">
        <v>1991</v>
      </c>
      <c r="AD327" s="17">
        <v>14</v>
      </c>
      <c r="AE327" s="17"/>
      <c r="AF327" s="17"/>
      <c r="AG327" s="17">
        <v>1991</v>
      </c>
      <c r="AH327" s="14">
        <f t="shared" si="26"/>
        <v>0</v>
      </c>
      <c r="AI327" s="17">
        <f t="shared" si="27"/>
        <v>14</v>
      </c>
      <c r="AJ327" s="17"/>
      <c r="AK327" s="17" t="s">
        <v>56</v>
      </c>
      <c r="AL327" s="16" t="s">
        <v>615</v>
      </c>
      <c r="AM327" s="15">
        <v>2007</v>
      </c>
      <c r="AN327" s="15" t="s">
        <v>72</v>
      </c>
      <c r="AO327" s="15" t="s">
        <v>56</v>
      </c>
      <c r="AP327" s="15"/>
      <c r="AQ327" s="15" t="s">
        <v>56</v>
      </c>
      <c r="AR327" s="15" t="s">
        <v>58</v>
      </c>
      <c r="AS327" s="15" t="s">
        <v>94</v>
      </c>
      <c r="AT327" s="15"/>
      <c r="AU327" s="45" t="s">
        <v>1409</v>
      </c>
      <c r="AV327" s="15"/>
      <c r="AW327" s="12" t="str">
        <f>B327&amp;C327&amp;L327&amp;M327&amp;O327&amp;U327&amp;AL327&amp;AM327</f>
        <v>KenyaMombasa Marine National ParkAcanthuridaesurgeonfishes, tangs, and unicorn fishesdensity2.69889682024659McClanahan2007</v>
      </c>
    </row>
    <row r="328" spans="1:49" s="82" customFormat="1" ht="14.25" customHeight="1" x14ac:dyDescent="0.35">
      <c r="A328" s="12">
        <v>327</v>
      </c>
      <c r="B328" s="15" t="s">
        <v>684</v>
      </c>
      <c r="C328" s="43" t="s">
        <v>1400</v>
      </c>
      <c r="D328" s="15" t="s">
        <v>1401</v>
      </c>
      <c r="E328" s="12" t="s">
        <v>1408</v>
      </c>
      <c r="F328" s="13" t="s">
        <v>571</v>
      </c>
      <c r="G328" s="13" t="s">
        <v>51</v>
      </c>
      <c r="H328" s="16" t="s">
        <v>613</v>
      </c>
      <c r="I328" s="16" t="s">
        <v>156</v>
      </c>
      <c r="J328" s="17">
        <v>6</v>
      </c>
      <c r="K328" s="17"/>
      <c r="L328" s="17" t="s">
        <v>267</v>
      </c>
      <c r="M328" s="17" t="s">
        <v>1245</v>
      </c>
      <c r="N328" s="17" t="s">
        <v>170</v>
      </c>
      <c r="O328" s="17" t="s">
        <v>86</v>
      </c>
      <c r="P328" s="17"/>
      <c r="Q328" s="17"/>
      <c r="R328" s="17">
        <v>11.6</v>
      </c>
      <c r="S328" s="17"/>
      <c r="T328" s="17">
        <v>62.8</v>
      </c>
      <c r="U328" s="19">
        <f t="shared" si="25"/>
        <v>5.4137931034482758</v>
      </c>
      <c r="V328" s="41">
        <f t="shared" si="28"/>
        <v>441.37931034482756</v>
      </c>
      <c r="W328" s="14"/>
      <c r="X328" s="17" t="s">
        <v>56</v>
      </c>
      <c r="Y328" s="17"/>
      <c r="Z328" s="17" t="s">
        <v>56</v>
      </c>
      <c r="AA328" s="17"/>
      <c r="AB328" s="17" t="s">
        <v>192</v>
      </c>
      <c r="AC328" s="17">
        <v>1991</v>
      </c>
      <c r="AD328" s="17">
        <v>14</v>
      </c>
      <c r="AE328" s="17"/>
      <c r="AF328" s="17"/>
      <c r="AG328" s="17">
        <v>1991</v>
      </c>
      <c r="AH328" s="14">
        <f t="shared" si="26"/>
        <v>0</v>
      </c>
      <c r="AI328" s="17">
        <f t="shared" si="27"/>
        <v>14</v>
      </c>
      <c r="AJ328" s="17"/>
      <c r="AK328" s="17" t="s">
        <v>56</v>
      </c>
      <c r="AL328" s="16" t="s">
        <v>615</v>
      </c>
      <c r="AM328" s="15">
        <v>2007</v>
      </c>
      <c r="AN328" s="15" t="s">
        <v>72</v>
      </c>
      <c r="AO328" s="15" t="s">
        <v>56</v>
      </c>
      <c r="AP328" s="15"/>
      <c r="AQ328" s="15" t="s">
        <v>56</v>
      </c>
      <c r="AR328" s="15" t="s">
        <v>58</v>
      </c>
      <c r="AS328" s="15" t="s">
        <v>94</v>
      </c>
      <c r="AT328" s="12"/>
      <c r="AU328" s="45" t="s">
        <v>1409</v>
      </c>
      <c r="AV328" s="15"/>
      <c r="AW328" s="12" t="str">
        <f>B328&amp;C328&amp;L328&amp;M328&amp;O328&amp;U328&amp;AL328&amp;AM328</f>
        <v>KenyaMombasa Marine National ParkScaridaeparrotfishdensity5.41379310344828McClanahan2007</v>
      </c>
    </row>
    <row r="329" spans="1:49" s="82" customFormat="1" ht="14.25" customHeight="1" x14ac:dyDescent="0.35">
      <c r="A329" s="12">
        <v>328</v>
      </c>
      <c r="B329" s="15" t="s">
        <v>684</v>
      </c>
      <c r="C329" s="43" t="s">
        <v>1400</v>
      </c>
      <c r="D329" s="15" t="s">
        <v>1401</v>
      </c>
      <c r="E329" s="12" t="s">
        <v>1408</v>
      </c>
      <c r="F329" s="13" t="s">
        <v>571</v>
      </c>
      <c r="G329" s="13" t="s">
        <v>51</v>
      </c>
      <c r="H329" s="16" t="s">
        <v>613</v>
      </c>
      <c r="I329" s="16" t="s">
        <v>156</v>
      </c>
      <c r="J329" s="17">
        <v>6</v>
      </c>
      <c r="K329" s="17"/>
      <c r="L329" s="17" t="s">
        <v>626</v>
      </c>
      <c r="M329" s="17" t="s">
        <v>1410</v>
      </c>
      <c r="N329" s="17" t="s">
        <v>170</v>
      </c>
      <c r="O329" s="17" t="s">
        <v>86</v>
      </c>
      <c r="P329" s="17"/>
      <c r="Q329" s="17"/>
      <c r="R329" s="17">
        <v>0.9</v>
      </c>
      <c r="S329" s="17"/>
      <c r="T329" s="17">
        <v>1.75</v>
      </c>
      <c r="U329" s="19">
        <f t="shared" si="25"/>
        <v>1.9444444444444444</v>
      </c>
      <c r="V329" s="41">
        <f t="shared" si="28"/>
        <v>94.444444444444443</v>
      </c>
      <c r="W329" s="14"/>
      <c r="X329" s="17" t="s">
        <v>56</v>
      </c>
      <c r="Y329" s="17"/>
      <c r="Z329" s="17" t="s">
        <v>56</v>
      </c>
      <c r="AA329" s="17"/>
      <c r="AB329" s="17" t="s">
        <v>192</v>
      </c>
      <c r="AC329" s="17">
        <v>1991</v>
      </c>
      <c r="AD329" s="17">
        <v>14</v>
      </c>
      <c r="AE329" s="17"/>
      <c r="AF329" s="17"/>
      <c r="AG329" s="17">
        <v>1991</v>
      </c>
      <c r="AH329" s="14">
        <f t="shared" si="26"/>
        <v>0</v>
      </c>
      <c r="AI329" s="17">
        <f t="shared" si="27"/>
        <v>14</v>
      </c>
      <c r="AJ329" s="17"/>
      <c r="AK329" s="17" t="s">
        <v>56</v>
      </c>
      <c r="AL329" s="16" t="s">
        <v>615</v>
      </c>
      <c r="AM329" s="15">
        <v>2007</v>
      </c>
      <c r="AN329" s="15" t="s">
        <v>72</v>
      </c>
      <c r="AO329" s="15" t="s">
        <v>56</v>
      </c>
      <c r="AP329" s="15"/>
      <c r="AQ329" s="15" t="s">
        <v>56</v>
      </c>
      <c r="AR329" s="15" t="s">
        <v>58</v>
      </c>
      <c r="AS329" s="15" t="s">
        <v>94</v>
      </c>
      <c r="AT329" s="12"/>
      <c r="AU329" s="45" t="s">
        <v>1409</v>
      </c>
      <c r="AV329" s="15"/>
      <c r="AW329" s="12" t="str">
        <f>B329&amp;C329&amp;L329&amp;M329&amp;O329&amp;U329&amp;AL329&amp;AM329</f>
        <v>KenyaMombasa Marine National ParkBalistidaetriggerfishdensity1.94444444444444McClanahan2007</v>
      </c>
    </row>
    <row r="330" spans="1:49" s="82" customFormat="1" ht="14.25" customHeight="1" x14ac:dyDescent="0.35">
      <c r="A330" s="12">
        <v>329</v>
      </c>
      <c r="B330" s="15" t="s">
        <v>684</v>
      </c>
      <c r="C330" s="43" t="s">
        <v>1400</v>
      </c>
      <c r="D330" s="15" t="s">
        <v>1401</v>
      </c>
      <c r="E330" s="12" t="s">
        <v>1408</v>
      </c>
      <c r="F330" s="13" t="s">
        <v>571</v>
      </c>
      <c r="G330" s="13" t="s">
        <v>51</v>
      </c>
      <c r="H330" s="16" t="s">
        <v>613</v>
      </c>
      <c r="I330" s="16" t="s">
        <v>156</v>
      </c>
      <c r="J330" s="17">
        <v>6</v>
      </c>
      <c r="K330" s="17"/>
      <c r="L330" s="17" t="s">
        <v>265</v>
      </c>
      <c r="M330" s="17" t="s">
        <v>266</v>
      </c>
      <c r="N330" s="17" t="s">
        <v>170</v>
      </c>
      <c r="O330" s="17" t="s">
        <v>86</v>
      </c>
      <c r="P330" s="17"/>
      <c r="Q330" s="17"/>
      <c r="R330" s="17">
        <v>40.04</v>
      </c>
      <c r="S330" s="17"/>
      <c r="T330" s="17">
        <v>80.44</v>
      </c>
      <c r="U330" s="19">
        <f t="shared" si="25"/>
        <v>2.0089910089910088</v>
      </c>
      <c r="V330" s="41">
        <f t="shared" si="28"/>
        <v>100.89910089910089</v>
      </c>
      <c r="W330" s="14"/>
      <c r="X330" s="17" t="s">
        <v>56</v>
      </c>
      <c r="Y330" s="17"/>
      <c r="Z330" s="17" t="s">
        <v>56</v>
      </c>
      <c r="AA330" s="17"/>
      <c r="AB330" s="17" t="s">
        <v>192</v>
      </c>
      <c r="AC330" s="17">
        <v>1991</v>
      </c>
      <c r="AD330" s="17">
        <v>14</v>
      </c>
      <c r="AE330" s="17"/>
      <c r="AF330" s="17"/>
      <c r="AG330" s="17">
        <v>1991</v>
      </c>
      <c r="AH330" s="14">
        <f t="shared" si="26"/>
        <v>0</v>
      </c>
      <c r="AI330" s="17">
        <f t="shared" si="27"/>
        <v>14</v>
      </c>
      <c r="AJ330" s="17"/>
      <c r="AK330" s="17" t="s">
        <v>56</v>
      </c>
      <c r="AL330" s="16" t="s">
        <v>615</v>
      </c>
      <c r="AM330" s="15">
        <v>2007</v>
      </c>
      <c r="AN330" s="15" t="s">
        <v>72</v>
      </c>
      <c r="AO330" s="15" t="s">
        <v>56</v>
      </c>
      <c r="AP330" s="15"/>
      <c r="AQ330" s="15" t="s">
        <v>56</v>
      </c>
      <c r="AR330" s="15" t="s">
        <v>58</v>
      </c>
      <c r="AS330" s="15" t="s">
        <v>94</v>
      </c>
      <c r="AT330" s="12"/>
      <c r="AU330" s="45" t="s">
        <v>1409</v>
      </c>
      <c r="AV330" s="15"/>
      <c r="AW330" s="12" t="str">
        <f>B330&amp;C330&amp;L330&amp;M330&amp;O330&amp;U330&amp;AL330&amp;AM330</f>
        <v>KenyaMombasa Marine National ParkLabridaewrassesdensity2.00899100899101McClanahan2007</v>
      </c>
    </row>
    <row r="331" spans="1:49" ht="14.25" customHeight="1" x14ac:dyDescent="0.35">
      <c r="A331" s="12">
        <v>330</v>
      </c>
      <c r="B331" s="15" t="s">
        <v>684</v>
      </c>
      <c r="C331" s="43" t="s">
        <v>1400</v>
      </c>
      <c r="D331" s="15" t="s">
        <v>1401</v>
      </c>
      <c r="E331" s="15" t="s">
        <v>1408</v>
      </c>
      <c r="F331" s="16" t="s">
        <v>571</v>
      </c>
      <c r="G331" s="16" t="s">
        <v>51</v>
      </c>
      <c r="H331" s="16" t="s">
        <v>613</v>
      </c>
      <c r="I331" s="16" t="s">
        <v>156</v>
      </c>
      <c r="J331" s="17">
        <v>6</v>
      </c>
      <c r="K331" s="17"/>
      <c r="L331" s="17" t="s">
        <v>188</v>
      </c>
      <c r="M331" s="17" t="s">
        <v>962</v>
      </c>
      <c r="N331" s="17" t="s">
        <v>170</v>
      </c>
      <c r="O331" s="17" t="s">
        <v>86</v>
      </c>
      <c r="P331" s="17"/>
      <c r="Q331" s="17"/>
      <c r="R331" s="17">
        <v>1.43</v>
      </c>
      <c r="S331" s="17"/>
      <c r="T331" s="17">
        <v>4.53</v>
      </c>
      <c r="U331" s="20">
        <f t="shared" si="25"/>
        <v>3.1678321678321679</v>
      </c>
      <c r="V331" s="22">
        <f t="shared" si="28"/>
        <v>216.7832167832168</v>
      </c>
      <c r="W331" s="17"/>
      <c r="X331" s="17" t="s">
        <v>56</v>
      </c>
      <c r="Y331" s="17"/>
      <c r="Z331" s="17" t="s">
        <v>56</v>
      </c>
      <c r="AA331" s="17"/>
      <c r="AB331" s="17" t="s">
        <v>192</v>
      </c>
      <c r="AC331" s="17">
        <v>1991</v>
      </c>
      <c r="AD331" s="17">
        <v>14</v>
      </c>
      <c r="AE331" s="17"/>
      <c r="AF331" s="17"/>
      <c r="AG331" s="17">
        <v>1991</v>
      </c>
      <c r="AH331" s="14">
        <f t="shared" si="26"/>
        <v>0</v>
      </c>
      <c r="AI331" s="17">
        <f t="shared" si="27"/>
        <v>14</v>
      </c>
      <c r="AJ331" s="17"/>
      <c r="AK331" s="17" t="s">
        <v>56</v>
      </c>
      <c r="AL331" s="16" t="s">
        <v>615</v>
      </c>
      <c r="AM331" s="15">
        <v>2007</v>
      </c>
      <c r="AN331" s="15" t="s">
        <v>72</v>
      </c>
      <c r="AO331" s="15" t="s">
        <v>56</v>
      </c>
      <c r="AP331" s="15"/>
      <c r="AQ331" s="15" t="s">
        <v>56</v>
      </c>
      <c r="AR331" s="15" t="s">
        <v>58</v>
      </c>
      <c r="AS331" s="15" t="s">
        <v>94</v>
      </c>
      <c r="AT331" s="15"/>
      <c r="AU331" s="45" t="s">
        <v>1409</v>
      </c>
      <c r="AV331" s="15"/>
      <c r="AW331" s="12" t="str">
        <f>B331&amp;C331&amp;L331&amp;M331&amp;O331&amp;U331&amp;AL331&amp;AM331</f>
        <v>KenyaMombasa Marine National ParkChaetodontidaebutterflyfishdensity3.16783216783217McClanahan2007</v>
      </c>
    </row>
    <row r="332" spans="1:49" ht="14.25" customHeight="1" x14ac:dyDescent="0.35">
      <c r="A332" s="12">
        <v>331</v>
      </c>
      <c r="B332" s="15" t="s">
        <v>684</v>
      </c>
      <c r="C332" s="43" t="s">
        <v>1400</v>
      </c>
      <c r="D332" s="15" t="s">
        <v>1401</v>
      </c>
      <c r="E332" s="15" t="s">
        <v>1408</v>
      </c>
      <c r="F332" s="13" t="s">
        <v>571</v>
      </c>
      <c r="G332" s="13" t="s">
        <v>51</v>
      </c>
      <c r="H332" s="16" t="s">
        <v>613</v>
      </c>
      <c r="I332" s="16" t="s">
        <v>156</v>
      </c>
      <c r="J332" s="17">
        <v>6</v>
      </c>
      <c r="K332" s="17"/>
      <c r="L332" s="17" t="s">
        <v>627</v>
      </c>
      <c r="M332" s="17" t="s">
        <v>628</v>
      </c>
      <c r="N332" s="17" t="s">
        <v>170</v>
      </c>
      <c r="O332" s="17" t="s">
        <v>86</v>
      </c>
      <c r="P332" s="17"/>
      <c r="Q332" s="17"/>
      <c r="R332" s="17">
        <v>2.77</v>
      </c>
      <c r="S332" s="17"/>
      <c r="T332" s="17">
        <v>18.02</v>
      </c>
      <c r="U332" s="20">
        <f t="shared" si="25"/>
        <v>6.5054151624548737</v>
      </c>
      <c r="V332" s="22">
        <f t="shared" si="28"/>
        <v>550.5415162454874</v>
      </c>
      <c r="W332" s="17"/>
      <c r="X332" s="17" t="s">
        <v>56</v>
      </c>
      <c r="Y332" s="17"/>
      <c r="Z332" s="17" t="s">
        <v>56</v>
      </c>
      <c r="AA332" s="17"/>
      <c r="AB332" s="17" t="s">
        <v>192</v>
      </c>
      <c r="AC332" s="17">
        <v>1991</v>
      </c>
      <c r="AD332" s="17">
        <v>14</v>
      </c>
      <c r="AE332" s="17"/>
      <c r="AF332" s="17"/>
      <c r="AG332" s="17">
        <v>1991</v>
      </c>
      <c r="AH332" s="14">
        <f t="shared" si="26"/>
        <v>0</v>
      </c>
      <c r="AI332" s="17">
        <f t="shared" si="27"/>
        <v>14</v>
      </c>
      <c r="AJ332" s="17"/>
      <c r="AK332" s="17" t="s">
        <v>56</v>
      </c>
      <c r="AL332" s="16" t="s">
        <v>615</v>
      </c>
      <c r="AM332" s="15">
        <v>2007</v>
      </c>
      <c r="AN332" s="15" t="s">
        <v>72</v>
      </c>
      <c r="AO332" s="15" t="s">
        <v>56</v>
      </c>
      <c r="AP332" s="15"/>
      <c r="AQ332" s="15" t="s">
        <v>56</v>
      </c>
      <c r="AR332" s="15" t="s">
        <v>58</v>
      </c>
      <c r="AS332" s="15" t="s">
        <v>94</v>
      </c>
      <c r="AT332" s="15"/>
      <c r="AU332" s="45" t="s">
        <v>1409</v>
      </c>
      <c r="AV332" s="15"/>
      <c r="AW332" s="12" t="str">
        <f>B332&amp;C332&amp;L332&amp;M332&amp;O332&amp;U332&amp;AL332&amp;AM332</f>
        <v>KenyaMombasa Marine National ParkLutjanidaesnappersdensity6.50541516245487McClanahan2007</v>
      </c>
    </row>
    <row r="333" spans="1:49" ht="14.25" customHeight="1" x14ac:dyDescent="0.35">
      <c r="A333" s="12">
        <v>332</v>
      </c>
      <c r="B333" s="15" t="s">
        <v>684</v>
      </c>
      <c r="C333" s="43" t="s">
        <v>1400</v>
      </c>
      <c r="D333" s="15" t="s">
        <v>1401</v>
      </c>
      <c r="E333" s="12" t="s">
        <v>1408</v>
      </c>
      <c r="F333" s="13" t="s">
        <v>571</v>
      </c>
      <c r="G333" s="13" t="s">
        <v>51</v>
      </c>
      <c r="H333" s="16" t="s">
        <v>613</v>
      </c>
      <c r="I333" s="16" t="s">
        <v>156</v>
      </c>
      <c r="J333" s="17">
        <v>6</v>
      </c>
      <c r="K333" s="17"/>
      <c r="L333" s="17" t="s">
        <v>625</v>
      </c>
      <c r="M333" s="17" t="s">
        <v>963</v>
      </c>
      <c r="N333" s="17" t="s">
        <v>170</v>
      </c>
      <c r="O333" s="17" t="s">
        <v>70</v>
      </c>
      <c r="P333" s="17"/>
      <c r="Q333" s="17"/>
      <c r="R333" s="17">
        <v>22.4</v>
      </c>
      <c r="S333" s="17"/>
      <c r="T333" s="17">
        <v>189.41</v>
      </c>
      <c r="U333" s="19">
        <f t="shared" si="25"/>
        <v>8.4558035714285715</v>
      </c>
      <c r="V333" s="41">
        <f t="shared" si="28"/>
        <v>745.58035714285711</v>
      </c>
      <c r="W333" s="14"/>
      <c r="X333" s="17" t="s">
        <v>56</v>
      </c>
      <c r="Y333" s="17"/>
      <c r="Z333" s="17" t="s">
        <v>56</v>
      </c>
      <c r="AA333" s="17"/>
      <c r="AB333" s="17" t="s">
        <v>192</v>
      </c>
      <c r="AC333" s="17">
        <v>1991</v>
      </c>
      <c r="AD333" s="17">
        <v>14</v>
      </c>
      <c r="AE333" s="17"/>
      <c r="AF333" s="17"/>
      <c r="AG333" s="17">
        <v>1991</v>
      </c>
      <c r="AH333" s="14">
        <f t="shared" si="26"/>
        <v>0</v>
      </c>
      <c r="AI333" s="17">
        <f t="shared" si="27"/>
        <v>14</v>
      </c>
      <c r="AJ333" s="17"/>
      <c r="AK333" s="17" t="s">
        <v>56</v>
      </c>
      <c r="AL333" s="16" t="s">
        <v>615</v>
      </c>
      <c r="AM333" s="15">
        <v>2007</v>
      </c>
      <c r="AN333" s="15" t="s">
        <v>72</v>
      </c>
      <c r="AO333" s="15" t="s">
        <v>56</v>
      </c>
      <c r="AP333" s="15"/>
      <c r="AQ333" s="15" t="s">
        <v>56</v>
      </c>
      <c r="AR333" s="15" t="s">
        <v>58</v>
      </c>
      <c r="AS333" s="15" t="s">
        <v>94</v>
      </c>
      <c r="AT333" s="12"/>
      <c r="AU333" s="45" t="s">
        <v>1409</v>
      </c>
      <c r="AV333" s="15"/>
      <c r="AW333" s="12" t="str">
        <f>B333&amp;C333&amp;L333&amp;M333&amp;O333&amp;U333&amp;AL333&amp;AM333</f>
        <v>KenyaMombasa Marine National ParkAcanthuridaesurgeonfishes, tangs, and unicorn fishesbiomassden8.45580357142857McClanahan2007</v>
      </c>
    </row>
    <row r="334" spans="1:49" ht="14.25" customHeight="1" x14ac:dyDescent="0.35">
      <c r="A334" s="12">
        <v>333</v>
      </c>
      <c r="B334" s="15" t="s">
        <v>684</v>
      </c>
      <c r="C334" s="43" t="s">
        <v>1400</v>
      </c>
      <c r="D334" s="15" t="s">
        <v>1401</v>
      </c>
      <c r="E334" s="15" t="s">
        <v>1408</v>
      </c>
      <c r="F334" s="13" t="s">
        <v>571</v>
      </c>
      <c r="G334" s="13" t="s">
        <v>51</v>
      </c>
      <c r="H334" s="16" t="s">
        <v>613</v>
      </c>
      <c r="I334" s="16" t="s">
        <v>156</v>
      </c>
      <c r="J334" s="17">
        <v>6</v>
      </c>
      <c r="K334" s="17"/>
      <c r="L334" s="17" t="s">
        <v>267</v>
      </c>
      <c r="M334" s="17" t="s">
        <v>1245</v>
      </c>
      <c r="N334" s="17" t="s">
        <v>170</v>
      </c>
      <c r="O334" s="17" t="s">
        <v>70</v>
      </c>
      <c r="P334" s="17"/>
      <c r="Q334" s="17"/>
      <c r="R334" s="17">
        <v>6.15</v>
      </c>
      <c r="S334" s="17"/>
      <c r="T334" s="17">
        <v>350.77</v>
      </c>
      <c r="U334" s="20">
        <f t="shared" si="25"/>
        <v>57.035772357723573</v>
      </c>
      <c r="V334" s="22">
        <f t="shared" si="28"/>
        <v>5603.5772357723572</v>
      </c>
      <c r="W334" s="17"/>
      <c r="X334" s="17" t="s">
        <v>56</v>
      </c>
      <c r="Y334" s="17"/>
      <c r="Z334" s="17" t="s">
        <v>56</v>
      </c>
      <c r="AA334" s="17"/>
      <c r="AB334" s="17" t="s">
        <v>192</v>
      </c>
      <c r="AC334" s="17">
        <v>1991</v>
      </c>
      <c r="AD334" s="17">
        <v>14</v>
      </c>
      <c r="AE334" s="17"/>
      <c r="AF334" s="17"/>
      <c r="AG334" s="17">
        <v>1991</v>
      </c>
      <c r="AH334" s="14">
        <f t="shared" si="26"/>
        <v>0</v>
      </c>
      <c r="AI334" s="17">
        <f t="shared" si="27"/>
        <v>14</v>
      </c>
      <c r="AJ334" s="17"/>
      <c r="AK334" s="17" t="s">
        <v>56</v>
      </c>
      <c r="AL334" s="16" t="s">
        <v>615</v>
      </c>
      <c r="AM334" s="15">
        <v>2007</v>
      </c>
      <c r="AN334" s="15" t="s">
        <v>72</v>
      </c>
      <c r="AO334" s="15" t="s">
        <v>56</v>
      </c>
      <c r="AP334" s="15"/>
      <c r="AQ334" s="15" t="s">
        <v>56</v>
      </c>
      <c r="AR334" s="15" t="s">
        <v>58</v>
      </c>
      <c r="AS334" s="15" t="s">
        <v>94</v>
      </c>
      <c r="AT334" s="15"/>
      <c r="AU334" s="45" t="s">
        <v>1409</v>
      </c>
      <c r="AV334" s="15"/>
      <c r="AW334" s="12" t="str">
        <f>B334&amp;C334&amp;L334&amp;M334&amp;O334&amp;U334&amp;AL334&amp;AM334</f>
        <v>KenyaMombasa Marine National ParkScaridaeparrotfishbiomassden57.0357723577236McClanahan2007</v>
      </c>
    </row>
    <row r="335" spans="1:49" ht="14.25" customHeight="1" x14ac:dyDescent="0.35">
      <c r="A335" s="12">
        <v>334</v>
      </c>
      <c r="B335" s="15" t="s">
        <v>684</v>
      </c>
      <c r="C335" s="43" t="s">
        <v>1400</v>
      </c>
      <c r="D335" s="15" t="s">
        <v>1401</v>
      </c>
      <c r="E335" s="15" t="s">
        <v>1408</v>
      </c>
      <c r="F335" s="13" t="s">
        <v>571</v>
      </c>
      <c r="G335" s="13" t="s">
        <v>51</v>
      </c>
      <c r="H335" s="16" t="s">
        <v>613</v>
      </c>
      <c r="I335" s="16" t="s">
        <v>156</v>
      </c>
      <c r="J335" s="17">
        <v>6</v>
      </c>
      <c r="K335" s="17"/>
      <c r="L335" s="17" t="s">
        <v>626</v>
      </c>
      <c r="M335" s="17" t="s">
        <v>1410</v>
      </c>
      <c r="N335" s="17" t="s">
        <v>170</v>
      </c>
      <c r="O335" s="17" t="s">
        <v>70</v>
      </c>
      <c r="P335" s="17"/>
      <c r="Q335" s="17"/>
      <c r="R335" s="17">
        <v>2.95</v>
      </c>
      <c r="S335" s="17"/>
      <c r="T335" s="17">
        <v>21.49</v>
      </c>
      <c r="U335" s="20">
        <f t="shared" si="25"/>
        <v>7.2847457627118635</v>
      </c>
      <c r="V335" s="22">
        <f t="shared" si="28"/>
        <v>628.47457627118638</v>
      </c>
      <c r="W335" s="17"/>
      <c r="X335" s="17" t="s">
        <v>56</v>
      </c>
      <c r="Y335" s="17"/>
      <c r="Z335" s="17" t="s">
        <v>56</v>
      </c>
      <c r="AA335" s="17"/>
      <c r="AB335" s="17" t="s">
        <v>192</v>
      </c>
      <c r="AC335" s="17">
        <v>1991</v>
      </c>
      <c r="AD335" s="17">
        <v>14</v>
      </c>
      <c r="AE335" s="17"/>
      <c r="AF335" s="17"/>
      <c r="AG335" s="17">
        <v>1991</v>
      </c>
      <c r="AH335" s="14">
        <f t="shared" si="26"/>
        <v>0</v>
      </c>
      <c r="AI335" s="17">
        <f t="shared" si="27"/>
        <v>14</v>
      </c>
      <c r="AJ335" s="17"/>
      <c r="AK335" s="17" t="s">
        <v>56</v>
      </c>
      <c r="AL335" s="16" t="s">
        <v>615</v>
      </c>
      <c r="AM335" s="15">
        <v>2007</v>
      </c>
      <c r="AN335" s="15" t="s">
        <v>72</v>
      </c>
      <c r="AO335" s="15" t="s">
        <v>56</v>
      </c>
      <c r="AP335" s="15"/>
      <c r="AQ335" s="15" t="s">
        <v>56</v>
      </c>
      <c r="AR335" s="15" t="s">
        <v>58</v>
      </c>
      <c r="AS335" s="15" t="s">
        <v>94</v>
      </c>
      <c r="AT335" s="15"/>
      <c r="AU335" s="45" t="s">
        <v>1409</v>
      </c>
      <c r="AV335" s="15"/>
      <c r="AW335" s="12" t="str">
        <f>B335&amp;C335&amp;L335&amp;M335&amp;O335&amp;U335&amp;AL335&amp;AM335</f>
        <v>KenyaMombasa Marine National ParkBalistidaetriggerfishbiomassden7.28474576271186McClanahan2007</v>
      </c>
    </row>
    <row r="336" spans="1:49" ht="14.25" customHeight="1" x14ac:dyDescent="0.35">
      <c r="A336" s="12">
        <v>335</v>
      </c>
      <c r="B336" s="15" t="s">
        <v>684</v>
      </c>
      <c r="C336" s="43" t="s">
        <v>1400</v>
      </c>
      <c r="D336" s="15" t="s">
        <v>1401</v>
      </c>
      <c r="E336" s="12" t="s">
        <v>1408</v>
      </c>
      <c r="F336" s="13" t="s">
        <v>571</v>
      </c>
      <c r="G336" s="13" t="s">
        <v>51</v>
      </c>
      <c r="H336" s="16" t="s">
        <v>613</v>
      </c>
      <c r="I336" s="16" t="s">
        <v>156</v>
      </c>
      <c r="J336" s="17">
        <v>6</v>
      </c>
      <c r="K336" s="17"/>
      <c r="L336" s="17" t="s">
        <v>265</v>
      </c>
      <c r="M336" s="17" t="s">
        <v>266</v>
      </c>
      <c r="N336" s="17" t="s">
        <v>170</v>
      </c>
      <c r="O336" s="17" t="s">
        <v>70</v>
      </c>
      <c r="P336" s="17"/>
      <c r="Q336" s="17"/>
      <c r="R336" s="17">
        <v>1.56</v>
      </c>
      <c r="S336" s="17"/>
      <c r="T336" s="17">
        <v>56.29</v>
      </c>
      <c r="U336" s="19">
        <f t="shared" si="25"/>
        <v>36.083333333333329</v>
      </c>
      <c r="V336" s="41">
        <f t="shared" si="28"/>
        <v>3508.333333333333</v>
      </c>
      <c r="W336" s="14"/>
      <c r="X336" s="17" t="s">
        <v>56</v>
      </c>
      <c r="Y336" s="17"/>
      <c r="Z336" s="17" t="s">
        <v>56</v>
      </c>
      <c r="AA336" s="17"/>
      <c r="AB336" s="17" t="s">
        <v>192</v>
      </c>
      <c r="AC336" s="17">
        <v>1991</v>
      </c>
      <c r="AD336" s="17">
        <v>14</v>
      </c>
      <c r="AE336" s="17"/>
      <c r="AF336" s="17"/>
      <c r="AG336" s="17">
        <v>1991</v>
      </c>
      <c r="AH336" s="14">
        <f t="shared" si="26"/>
        <v>0</v>
      </c>
      <c r="AI336" s="17">
        <f t="shared" si="27"/>
        <v>14</v>
      </c>
      <c r="AJ336" s="17"/>
      <c r="AK336" s="17" t="s">
        <v>56</v>
      </c>
      <c r="AL336" s="16" t="s">
        <v>615</v>
      </c>
      <c r="AM336" s="15">
        <v>2007</v>
      </c>
      <c r="AN336" s="15" t="s">
        <v>72</v>
      </c>
      <c r="AO336" s="15" t="s">
        <v>56</v>
      </c>
      <c r="AP336" s="15"/>
      <c r="AQ336" s="15" t="s">
        <v>56</v>
      </c>
      <c r="AR336" s="15" t="s">
        <v>58</v>
      </c>
      <c r="AS336" s="15" t="s">
        <v>94</v>
      </c>
      <c r="AT336" s="12"/>
      <c r="AU336" s="45" t="s">
        <v>1409</v>
      </c>
      <c r="AV336" s="15"/>
      <c r="AW336" s="12" t="str">
        <f>B336&amp;C336&amp;L336&amp;M336&amp;O336&amp;U336&amp;AL336&amp;AM336</f>
        <v>KenyaMombasa Marine National ParkLabridaewrassesbiomassden36.0833333333333McClanahan2007</v>
      </c>
    </row>
    <row r="337" spans="1:49" ht="14.25" customHeight="1" x14ac:dyDescent="0.35">
      <c r="A337" s="12">
        <v>336</v>
      </c>
      <c r="B337" s="15" t="s">
        <v>684</v>
      </c>
      <c r="C337" s="43" t="s">
        <v>1400</v>
      </c>
      <c r="D337" s="15" t="s">
        <v>1401</v>
      </c>
      <c r="E337" s="15" t="s">
        <v>1408</v>
      </c>
      <c r="F337" s="13" t="s">
        <v>571</v>
      </c>
      <c r="G337" s="13" t="s">
        <v>51</v>
      </c>
      <c r="H337" s="16" t="s">
        <v>613</v>
      </c>
      <c r="I337" s="16" t="s">
        <v>156</v>
      </c>
      <c r="J337" s="17">
        <v>6</v>
      </c>
      <c r="K337" s="17"/>
      <c r="L337" s="17" t="s">
        <v>168</v>
      </c>
      <c r="M337" s="17" t="s">
        <v>169</v>
      </c>
      <c r="N337" s="17" t="s">
        <v>170</v>
      </c>
      <c r="O337" s="17" t="s">
        <v>70</v>
      </c>
      <c r="P337" s="17"/>
      <c r="Q337" s="17"/>
      <c r="R337" s="17">
        <v>0.18</v>
      </c>
      <c r="S337" s="17"/>
      <c r="T337" s="17">
        <v>17.09</v>
      </c>
      <c r="U337" s="20">
        <f t="shared" si="25"/>
        <v>94.944444444444443</v>
      </c>
      <c r="V337" s="22">
        <f t="shared" si="28"/>
        <v>9394.4444444444434</v>
      </c>
      <c r="W337" s="17"/>
      <c r="X337" s="17" t="s">
        <v>56</v>
      </c>
      <c r="Y337" s="17"/>
      <c r="Z337" s="17" t="s">
        <v>56</v>
      </c>
      <c r="AA337" s="17"/>
      <c r="AB337" s="17" t="s">
        <v>192</v>
      </c>
      <c r="AC337" s="17">
        <v>1991</v>
      </c>
      <c r="AD337" s="17">
        <v>14</v>
      </c>
      <c r="AE337" s="17"/>
      <c r="AF337" s="17"/>
      <c r="AG337" s="17">
        <v>1991</v>
      </c>
      <c r="AH337" s="14">
        <f t="shared" si="26"/>
        <v>0</v>
      </c>
      <c r="AI337" s="17">
        <f t="shared" si="27"/>
        <v>14</v>
      </c>
      <c r="AJ337" s="17"/>
      <c r="AK337" s="17" t="s">
        <v>56</v>
      </c>
      <c r="AL337" s="16" t="s">
        <v>615</v>
      </c>
      <c r="AM337" s="15">
        <v>2007</v>
      </c>
      <c r="AN337" s="15" t="s">
        <v>72</v>
      </c>
      <c r="AO337" s="15" t="s">
        <v>56</v>
      </c>
      <c r="AP337" s="15"/>
      <c r="AQ337" s="15" t="s">
        <v>56</v>
      </c>
      <c r="AR337" s="15" t="s">
        <v>58</v>
      </c>
      <c r="AS337" s="15" t="s">
        <v>94</v>
      </c>
      <c r="AT337" s="15"/>
      <c r="AU337" s="45" t="s">
        <v>1409</v>
      </c>
      <c r="AV337" s="15"/>
      <c r="AW337" s="12" t="str">
        <f>B337&amp;C337&amp;L337&amp;M337&amp;O337&amp;U337&amp;AL337&amp;AM337</f>
        <v>KenyaMombasa Marine National ParkMullidaegoatfishbiomassden94.9444444444444McClanahan2007</v>
      </c>
    </row>
    <row r="338" spans="1:49" ht="14.25" customHeight="1" x14ac:dyDescent="0.35">
      <c r="A338" s="12">
        <v>337</v>
      </c>
      <c r="B338" s="15" t="s">
        <v>684</v>
      </c>
      <c r="C338" s="43" t="s">
        <v>1400</v>
      </c>
      <c r="D338" s="15" t="s">
        <v>1401</v>
      </c>
      <c r="E338" s="15" t="s">
        <v>1408</v>
      </c>
      <c r="F338" s="13" t="s">
        <v>571</v>
      </c>
      <c r="G338" s="13" t="s">
        <v>51</v>
      </c>
      <c r="H338" s="16" t="s">
        <v>613</v>
      </c>
      <c r="I338" s="16" t="s">
        <v>156</v>
      </c>
      <c r="J338" s="17">
        <v>6</v>
      </c>
      <c r="K338" s="17"/>
      <c r="L338" s="17" t="s">
        <v>631</v>
      </c>
      <c r="M338" s="17" t="s">
        <v>1411</v>
      </c>
      <c r="N338" s="17" t="s">
        <v>170</v>
      </c>
      <c r="O338" s="17" t="s">
        <v>70</v>
      </c>
      <c r="P338" s="17"/>
      <c r="Q338" s="17"/>
      <c r="R338" s="17">
        <v>0.05</v>
      </c>
      <c r="S338" s="17"/>
      <c r="T338" s="17">
        <v>3.7</v>
      </c>
      <c r="U338" s="20">
        <f t="shared" si="25"/>
        <v>74</v>
      </c>
      <c r="V338" s="22">
        <f t="shared" si="28"/>
        <v>7300</v>
      </c>
      <c r="W338" s="17"/>
      <c r="X338" s="17" t="s">
        <v>56</v>
      </c>
      <c r="Y338" s="17"/>
      <c r="Z338" s="17" t="s">
        <v>56</v>
      </c>
      <c r="AA338" s="17"/>
      <c r="AB338" s="17" t="s">
        <v>192</v>
      </c>
      <c r="AC338" s="17">
        <v>1991</v>
      </c>
      <c r="AD338" s="17">
        <v>14</v>
      </c>
      <c r="AE338" s="17"/>
      <c r="AF338" s="17"/>
      <c r="AG338" s="17">
        <v>1991</v>
      </c>
      <c r="AH338" s="14">
        <f t="shared" si="26"/>
        <v>0</v>
      </c>
      <c r="AI338" s="17">
        <f t="shared" si="27"/>
        <v>14</v>
      </c>
      <c r="AJ338" s="17"/>
      <c r="AK338" s="17" t="s">
        <v>56</v>
      </c>
      <c r="AL338" s="16" t="s">
        <v>615</v>
      </c>
      <c r="AM338" s="15">
        <v>2007</v>
      </c>
      <c r="AN338" s="15" t="s">
        <v>72</v>
      </c>
      <c r="AO338" s="15" t="s">
        <v>56</v>
      </c>
      <c r="AP338" s="15"/>
      <c r="AQ338" s="15" t="s">
        <v>56</v>
      </c>
      <c r="AR338" s="15" t="s">
        <v>58</v>
      </c>
      <c r="AS338" s="15" t="s">
        <v>94</v>
      </c>
      <c r="AT338" s="15"/>
      <c r="AU338" s="45" t="s">
        <v>1409</v>
      </c>
      <c r="AV338" s="15"/>
      <c r="AW338" s="12" t="str">
        <f>B338&amp;C338&amp;L338&amp;M338&amp;O338&amp;U338&amp;AL338&amp;AM338</f>
        <v>KenyaMombasa Marine National ParkSiganidaerabbitfishbiomassden74McClanahan2007</v>
      </c>
    </row>
    <row r="339" spans="1:49" ht="14.25" customHeight="1" x14ac:dyDescent="0.35">
      <c r="A339" s="12">
        <v>338</v>
      </c>
      <c r="B339" s="15" t="s">
        <v>684</v>
      </c>
      <c r="C339" s="43" t="s">
        <v>1400</v>
      </c>
      <c r="D339" s="15" t="s">
        <v>1401</v>
      </c>
      <c r="E339" s="15" t="s">
        <v>1408</v>
      </c>
      <c r="F339" s="13" t="s">
        <v>571</v>
      </c>
      <c r="G339" s="13" t="s">
        <v>51</v>
      </c>
      <c r="H339" s="16" t="s">
        <v>613</v>
      </c>
      <c r="I339" s="16" t="s">
        <v>156</v>
      </c>
      <c r="J339" s="17">
        <v>6</v>
      </c>
      <c r="K339" s="17"/>
      <c r="L339" s="17" t="s">
        <v>188</v>
      </c>
      <c r="M339" s="17" t="s">
        <v>962</v>
      </c>
      <c r="N339" s="17" t="s">
        <v>170</v>
      </c>
      <c r="O339" s="17" t="s">
        <v>70</v>
      </c>
      <c r="P339" s="17"/>
      <c r="Q339" s="17"/>
      <c r="R339" s="17">
        <v>1.6</v>
      </c>
      <c r="S339" s="17"/>
      <c r="T339" s="17">
        <v>9.64</v>
      </c>
      <c r="U339" s="20">
        <f t="shared" si="25"/>
        <v>6.0250000000000004</v>
      </c>
      <c r="V339" s="22">
        <f t="shared" si="28"/>
        <v>502.50000000000006</v>
      </c>
      <c r="W339" s="17"/>
      <c r="X339" s="17" t="s">
        <v>56</v>
      </c>
      <c r="Y339" s="17"/>
      <c r="Z339" s="17" t="s">
        <v>56</v>
      </c>
      <c r="AA339" s="17"/>
      <c r="AB339" s="17" t="s">
        <v>192</v>
      </c>
      <c r="AC339" s="17">
        <v>1991</v>
      </c>
      <c r="AD339" s="17">
        <v>14</v>
      </c>
      <c r="AE339" s="17"/>
      <c r="AF339" s="17"/>
      <c r="AG339" s="17">
        <v>1991</v>
      </c>
      <c r="AH339" s="14">
        <f t="shared" si="26"/>
        <v>0</v>
      </c>
      <c r="AI339" s="17">
        <f t="shared" si="27"/>
        <v>14</v>
      </c>
      <c r="AJ339" s="17"/>
      <c r="AK339" s="17" t="s">
        <v>56</v>
      </c>
      <c r="AL339" s="16" t="s">
        <v>615</v>
      </c>
      <c r="AM339" s="15">
        <v>2007</v>
      </c>
      <c r="AN339" s="15" t="s">
        <v>72</v>
      </c>
      <c r="AO339" s="15" t="s">
        <v>56</v>
      </c>
      <c r="AP339" s="15"/>
      <c r="AQ339" s="15" t="s">
        <v>56</v>
      </c>
      <c r="AR339" s="15" t="s">
        <v>58</v>
      </c>
      <c r="AS339" s="15" t="s">
        <v>94</v>
      </c>
      <c r="AT339" s="15"/>
      <c r="AU339" s="45" t="s">
        <v>1409</v>
      </c>
      <c r="AV339" s="15"/>
      <c r="AW339" s="12" t="str">
        <f>B339&amp;C339&amp;L339&amp;M339&amp;O339&amp;U339&amp;AL339&amp;AM339</f>
        <v>KenyaMombasa Marine National ParkChaetodontidaebutterflyfishbiomassden6.025McClanahan2007</v>
      </c>
    </row>
    <row r="340" spans="1:49" ht="14.25" customHeight="1" x14ac:dyDescent="0.35">
      <c r="A340" s="12">
        <v>339</v>
      </c>
      <c r="B340" s="15" t="s">
        <v>684</v>
      </c>
      <c r="C340" s="43" t="s">
        <v>1400</v>
      </c>
      <c r="D340" s="15" t="s">
        <v>1401</v>
      </c>
      <c r="E340" s="12" t="s">
        <v>1408</v>
      </c>
      <c r="F340" s="13" t="s">
        <v>571</v>
      </c>
      <c r="G340" s="13" t="s">
        <v>51</v>
      </c>
      <c r="H340" s="16" t="s">
        <v>613</v>
      </c>
      <c r="I340" s="16" t="s">
        <v>156</v>
      </c>
      <c r="J340" s="17">
        <v>6</v>
      </c>
      <c r="K340" s="17"/>
      <c r="L340" s="17" t="s">
        <v>627</v>
      </c>
      <c r="M340" s="17" t="s">
        <v>628</v>
      </c>
      <c r="N340" s="17" t="s">
        <v>170</v>
      </c>
      <c r="O340" s="17" t="s">
        <v>70</v>
      </c>
      <c r="P340" s="17"/>
      <c r="Q340" s="17"/>
      <c r="R340" s="17">
        <v>5.58</v>
      </c>
      <c r="S340" s="17"/>
      <c r="T340" s="17">
        <v>231.4</v>
      </c>
      <c r="U340" s="19">
        <f t="shared" si="25"/>
        <v>41.469534050179213</v>
      </c>
      <c r="V340" s="41">
        <f t="shared" si="28"/>
        <v>4046.9534050179213</v>
      </c>
      <c r="W340" s="14"/>
      <c r="X340" s="17" t="s">
        <v>56</v>
      </c>
      <c r="Y340" s="17"/>
      <c r="Z340" s="17" t="s">
        <v>56</v>
      </c>
      <c r="AA340" s="17"/>
      <c r="AB340" s="17" t="s">
        <v>192</v>
      </c>
      <c r="AC340" s="17">
        <v>1991</v>
      </c>
      <c r="AD340" s="17">
        <v>14</v>
      </c>
      <c r="AE340" s="17"/>
      <c r="AF340" s="17"/>
      <c r="AG340" s="17">
        <v>1991</v>
      </c>
      <c r="AH340" s="14">
        <f t="shared" si="26"/>
        <v>0</v>
      </c>
      <c r="AI340" s="17">
        <f t="shared" si="27"/>
        <v>14</v>
      </c>
      <c r="AJ340" s="17"/>
      <c r="AK340" s="17" t="s">
        <v>56</v>
      </c>
      <c r="AL340" s="16" t="s">
        <v>615</v>
      </c>
      <c r="AM340" s="15">
        <v>2007</v>
      </c>
      <c r="AN340" s="15" t="s">
        <v>72</v>
      </c>
      <c r="AO340" s="15" t="s">
        <v>56</v>
      </c>
      <c r="AP340" s="15"/>
      <c r="AQ340" s="15" t="s">
        <v>56</v>
      </c>
      <c r="AR340" s="15" t="s">
        <v>58</v>
      </c>
      <c r="AS340" s="15" t="s">
        <v>94</v>
      </c>
      <c r="AT340" s="12"/>
      <c r="AU340" s="45" t="s">
        <v>1409</v>
      </c>
      <c r="AV340" s="15"/>
      <c r="AW340" s="12" t="str">
        <f>B340&amp;C340&amp;L340&amp;M340&amp;O340&amp;U340&amp;AL340&amp;AM340</f>
        <v>KenyaMombasa Marine National ParkLutjanidaesnappersbiomassden41.4695340501792McClanahan2007</v>
      </c>
    </row>
    <row r="341" spans="1:49" ht="14.25" customHeight="1" x14ac:dyDescent="0.35">
      <c r="A341" s="12">
        <v>340</v>
      </c>
      <c r="B341" s="15" t="s">
        <v>684</v>
      </c>
      <c r="C341" s="43" t="s">
        <v>1400</v>
      </c>
      <c r="D341" s="15" t="s">
        <v>1401</v>
      </c>
      <c r="E341" s="15" t="s">
        <v>1408</v>
      </c>
      <c r="F341" s="13" t="s">
        <v>571</v>
      </c>
      <c r="G341" s="13" t="s">
        <v>51</v>
      </c>
      <c r="H341" s="16" t="s">
        <v>613</v>
      </c>
      <c r="I341" s="16" t="s">
        <v>156</v>
      </c>
      <c r="J341" s="17">
        <v>6</v>
      </c>
      <c r="K341" s="17"/>
      <c r="L341" s="17" t="s">
        <v>269</v>
      </c>
      <c r="M341" s="17" t="s">
        <v>1412</v>
      </c>
      <c r="N341" s="17" t="s">
        <v>170</v>
      </c>
      <c r="O341" s="17" t="s">
        <v>70</v>
      </c>
      <c r="P341" s="17"/>
      <c r="Q341" s="17"/>
      <c r="R341" s="17">
        <v>42.8</v>
      </c>
      <c r="S341" s="17"/>
      <c r="T341" s="17">
        <v>53.22</v>
      </c>
      <c r="U341" s="20">
        <f t="shared" si="25"/>
        <v>1.2434579439252338</v>
      </c>
      <c r="V341" s="22">
        <f t="shared" si="28"/>
        <v>24.345794392523381</v>
      </c>
      <c r="W341" s="17"/>
      <c r="X341" s="17" t="s">
        <v>56</v>
      </c>
      <c r="Y341" s="17"/>
      <c r="Z341" s="17" t="s">
        <v>56</v>
      </c>
      <c r="AA341" s="17"/>
      <c r="AB341" s="17" t="s">
        <v>192</v>
      </c>
      <c r="AC341" s="17">
        <v>1991</v>
      </c>
      <c r="AD341" s="17">
        <v>14</v>
      </c>
      <c r="AE341" s="17"/>
      <c r="AF341" s="17"/>
      <c r="AG341" s="17">
        <v>1991</v>
      </c>
      <c r="AH341" s="14">
        <f t="shared" si="26"/>
        <v>0</v>
      </c>
      <c r="AI341" s="17">
        <f t="shared" si="27"/>
        <v>14</v>
      </c>
      <c r="AJ341" s="17"/>
      <c r="AK341" s="17" t="s">
        <v>56</v>
      </c>
      <c r="AL341" s="16" t="s">
        <v>615</v>
      </c>
      <c r="AM341" s="15">
        <v>2007</v>
      </c>
      <c r="AN341" s="15" t="s">
        <v>72</v>
      </c>
      <c r="AO341" s="15" t="s">
        <v>56</v>
      </c>
      <c r="AP341" s="15"/>
      <c r="AQ341" s="15" t="s">
        <v>56</v>
      </c>
      <c r="AR341" s="15" t="s">
        <v>58</v>
      </c>
      <c r="AS341" s="15" t="s">
        <v>94</v>
      </c>
      <c r="AT341" s="15"/>
      <c r="AU341" s="45" t="s">
        <v>1409</v>
      </c>
      <c r="AV341" s="15"/>
      <c r="AW341" s="12" t="str">
        <f>B341&amp;C341&amp;L341&amp;M341&amp;O341&amp;U341&amp;AL341&amp;AM341</f>
        <v>KenyaMombasa Marine National ParkPomacentridaedamselfish and clownfishbiomassden1.24345794392523McClanahan2007</v>
      </c>
    </row>
    <row r="342" spans="1:49" ht="14.25" customHeight="1" x14ac:dyDescent="0.35">
      <c r="A342" s="12">
        <v>341</v>
      </c>
      <c r="B342" s="12" t="s">
        <v>684</v>
      </c>
      <c r="C342" s="44" t="s">
        <v>1400</v>
      </c>
      <c r="D342" s="15" t="s">
        <v>1401</v>
      </c>
      <c r="E342" s="12" t="s">
        <v>1408</v>
      </c>
      <c r="F342" s="13" t="s">
        <v>571</v>
      </c>
      <c r="G342" s="13" t="s">
        <v>51</v>
      </c>
      <c r="H342" s="13" t="s">
        <v>613</v>
      </c>
      <c r="I342" s="13" t="s">
        <v>156</v>
      </c>
      <c r="J342" s="14">
        <v>6</v>
      </c>
      <c r="K342" s="17"/>
      <c r="L342" s="14" t="s">
        <v>629</v>
      </c>
      <c r="M342" s="14" t="s">
        <v>630</v>
      </c>
      <c r="N342" s="14" t="s">
        <v>170</v>
      </c>
      <c r="O342" s="17" t="s">
        <v>70</v>
      </c>
      <c r="P342" s="14"/>
      <c r="Q342" s="14"/>
      <c r="R342" s="14">
        <v>3.79</v>
      </c>
      <c r="S342" s="14"/>
      <c r="T342" s="14">
        <v>32.479999999999997</v>
      </c>
      <c r="U342" s="19">
        <f t="shared" si="25"/>
        <v>8.569920844327175</v>
      </c>
      <c r="V342" s="41">
        <f t="shared" si="28"/>
        <v>756.99208443271755</v>
      </c>
      <c r="W342" s="14"/>
      <c r="X342" s="14" t="s">
        <v>56</v>
      </c>
      <c r="Z342" s="14" t="s">
        <v>56</v>
      </c>
      <c r="AA342" s="17"/>
      <c r="AB342" s="14" t="s">
        <v>192</v>
      </c>
      <c r="AC342" s="14">
        <v>1991</v>
      </c>
      <c r="AD342" s="14">
        <v>14</v>
      </c>
      <c r="AE342" s="14"/>
      <c r="AF342" s="14"/>
      <c r="AG342" s="14">
        <v>1991</v>
      </c>
      <c r="AH342" s="14">
        <f t="shared" si="26"/>
        <v>0</v>
      </c>
      <c r="AI342" s="17">
        <f t="shared" si="27"/>
        <v>14</v>
      </c>
      <c r="AJ342" s="14"/>
      <c r="AK342" s="14" t="s">
        <v>56</v>
      </c>
      <c r="AL342" s="13" t="s">
        <v>615</v>
      </c>
      <c r="AM342" s="12">
        <v>2007</v>
      </c>
      <c r="AN342" s="12" t="s">
        <v>72</v>
      </c>
      <c r="AO342" s="12" t="s">
        <v>56</v>
      </c>
      <c r="AP342" s="12"/>
      <c r="AQ342" s="12" t="s">
        <v>56</v>
      </c>
      <c r="AR342" s="12" t="s">
        <v>58</v>
      </c>
      <c r="AS342" s="12" t="s">
        <v>94</v>
      </c>
      <c r="AT342" s="12"/>
      <c r="AU342" s="45" t="s">
        <v>1409</v>
      </c>
      <c r="AV342" s="15"/>
      <c r="AW342" s="12" t="str">
        <f>B342&amp;C342&amp;L342&amp;M342&amp;O342&amp;U342&amp;AL342&amp;AM342</f>
        <v>KenyaMombasa Marine National ParkPomacanthidaemarine angelfishbiomassden8.56992084432718McClanahan2007</v>
      </c>
    </row>
    <row r="343" spans="1:49" ht="14.25" customHeight="1" x14ac:dyDescent="0.35">
      <c r="A343" s="12">
        <v>342</v>
      </c>
      <c r="B343" s="15" t="s">
        <v>551</v>
      </c>
      <c r="C343" s="15" t="s">
        <v>1053</v>
      </c>
      <c r="D343" s="15" t="s">
        <v>1047</v>
      </c>
      <c r="E343" s="15" t="s">
        <v>136</v>
      </c>
      <c r="F343" s="13" t="s">
        <v>50</v>
      </c>
      <c r="G343" s="13" t="s">
        <v>51</v>
      </c>
      <c r="H343" s="16" t="s">
        <v>52</v>
      </c>
      <c r="I343" s="16" t="s">
        <v>53</v>
      </c>
      <c r="J343" s="17">
        <v>3.42</v>
      </c>
      <c r="K343" s="17"/>
      <c r="L343" s="17" t="s">
        <v>881</v>
      </c>
      <c r="M343" s="17" t="s">
        <v>1054</v>
      </c>
      <c r="N343" s="17" t="s">
        <v>85</v>
      </c>
      <c r="O343" s="17" t="s">
        <v>86</v>
      </c>
      <c r="P343" s="17"/>
      <c r="Q343" s="17">
        <f>AVERAGE(0,0.5)*8000</f>
        <v>2000</v>
      </c>
      <c r="R343" s="17">
        <f>AVERAGE(0.83,0.83)*8000</f>
        <v>6640</v>
      </c>
      <c r="S343" s="17">
        <f>AVERAGE(0.62,2.04)*8000</f>
        <v>10640</v>
      </c>
      <c r="T343" s="17">
        <f>AVERAGE(3.07,1.22)*8000</f>
        <v>17160</v>
      </c>
      <c r="U343" s="20">
        <f t="shared" si="25"/>
        <v>0.48577769725518616</v>
      </c>
      <c r="V343" s="22">
        <f t="shared" si="28"/>
        <v>-51.422230274481386</v>
      </c>
      <c r="W343" s="17"/>
      <c r="X343" s="17" t="s">
        <v>56</v>
      </c>
      <c r="Z343" s="17" t="s">
        <v>56</v>
      </c>
      <c r="AA343" s="17"/>
      <c r="AB343" s="17" t="s">
        <v>111</v>
      </c>
      <c r="AC343" s="17">
        <v>1992</v>
      </c>
      <c r="AD343" s="17">
        <v>19</v>
      </c>
      <c r="AE343" s="17"/>
      <c r="AF343" s="17"/>
      <c r="AG343" s="17">
        <v>1992</v>
      </c>
      <c r="AH343" s="14">
        <f t="shared" si="26"/>
        <v>0</v>
      </c>
      <c r="AI343" s="17">
        <f t="shared" si="27"/>
        <v>19</v>
      </c>
      <c r="AJ343" s="17"/>
      <c r="AK343" s="17" t="s">
        <v>58</v>
      </c>
      <c r="AL343" s="16" t="s">
        <v>1055</v>
      </c>
      <c r="AM343" s="15">
        <v>2014</v>
      </c>
      <c r="AN343" s="15" t="s">
        <v>1056</v>
      </c>
      <c r="AO343" s="15" t="s">
        <v>58</v>
      </c>
      <c r="AP343" s="15" t="s">
        <v>1057</v>
      </c>
      <c r="AQ343" s="15" t="s">
        <v>56</v>
      </c>
      <c r="AR343" s="15" t="s">
        <v>58</v>
      </c>
      <c r="AS343" s="15" t="s">
        <v>163</v>
      </c>
      <c r="AT343" s="15"/>
      <c r="AU343" s="45" t="s">
        <v>2866</v>
      </c>
      <c r="AV343" s="15"/>
      <c r="AW343" s="12" t="str">
        <f>B343&amp;C343&amp;L343&amp;M343&amp;O343&amp;U343&amp;AL343&amp;AM343</f>
        <v>New ZealandKapiti Marine Reserve WestNotolabrus fucicolaBanded wrassedensity0.485777697255186Eddy2014</v>
      </c>
    </row>
    <row r="344" spans="1:49" ht="14.25" customHeight="1" x14ac:dyDescent="0.35">
      <c r="A344" s="12">
        <v>343</v>
      </c>
      <c r="B344" s="15" t="s">
        <v>551</v>
      </c>
      <c r="C344" s="15" t="s">
        <v>1053</v>
      </c>
      <c r="D344" s="15" t="s">
        <v>1047</v>
      </c>
      <c r="E344" s="12" t="s">
        <v>136</v>
      </c>
      <c r="F344" s="13" t="s">
        <v>50</v>
      </c>
      <c r="G344" s="13" t="s">
        <v>51</v>
      </c>
      <c r="H344" s="16" t="s">
        <v>52</v>
      </c>
      <c r="I344" s="16" t="s">
        <v>53</v>
      </c>
      <c r="J344" s="17">
        <v>3.42</v>
      </c>
      <c r="K344" s="17"/>
      <c r="L344" s="51" t="s">
        <v>1051</v>
      </c>
      <c r="M344" s="17" t="s">
        <v>1052</v>
      </c>
      <c r="N344" s="17" t="s">
        <v>85</v>
      </c>
      <c r="O344" s="17" t="s">
        <v>86</v>
      </c>
      <c r="P344" s="17"/>
      <c r="Q344" s="17">
        <f>AVERAGE(5.5,0)*8000</f>
        <v>22000</v>
      </c>
      <c r="R344" s="17">
        <f>AVERAGE(1.5,3.67)*8000</f>
        <v>20680</v>
      </c>
      <c r="S344" s="17">
        <f>AVERAGE(0,0.24)*8000</f>
        <v>960</v>
      </c>
      <c r="T344" s="17">
        <f>AVERAGE(3.89,1.16)*8000</f>
        <v>20200</v>
      </c>
      <c r="U344" s="19">
        <f t="shared" si="25"/>
        <v>22.384751773049643</v>
      </c>
      <c r="V344" s="41">
        <f t="shared" si="28"/>
        <v>2138.4751773049643</v>
      </c>
      <c r="W344" s="14"/>
      <c r="X344" s="17" t="s">
        <v>56</v>
      </c>
      <c r="Y344" s="17"/>
      <c r="Z344" s="17" t="s">
        <v>56</v>
      </c>
      <c r="AA344" s="17"/>
      <c r="AB344" s="17" t="s">
        <v>111</v>
      </c>
      <c r="AC344" s="17">
        <v>1992</v>
      </c>
      <c r="AD344" s="17">
        <v>19</v>
      </c>
      <c r="AE344" s="17"/>
      <c r="AF344" s="17"/>
      <c r="AG344" s="17">
        <v>1992</v>
      </c>
      <c r="AH344" s="14">
        <f t="shared" si="26"/>
        <v>0</v>
      </c>
      <c r="AI344" s="17">
        <f t="shared" si="27"/>
        <v>19</v>
      </c>
      <c r="AJ344" s="17"/>
      <c r="AK344" s="17" t="s">
        <v>58</v>
      </c>
      <c r="AL344" s="16" t="s">
        <v>1055</v>
      </c>
      <c r="AM344" s="15">
        <v>2014</v>
      </c>
      <c r="AN344" s="15" t="s">
        <v>1056</v>
      </c>
      <c r="AO344" s="15" t="s">
        <v>58</v>
      </c>
      <c r="AP344" s="15" t="s">
        <v>1057</v>
      </c>
      <c r="AQ344" s="15" t="s">
        <v>56</v>
      </c>
      <c r="AR344" s="15" t="s">
        <v>58</v>
      </c>
      <c r="AS344" s="15" t="s">
        <v>163</v>
      </c>
      <c r="AT344" s="12"/>
      <c r="AU344" s="45" t="s">
        <v>2866</v>
      </c>
      <c r="AV344" s="15"/>
      <c r="AW344" s="12" t="str">
        <f>B344&amp;C344&amp;L344&amp;M344&amp;O344&amp;U344&amp;AL344&amp;AM344</f>
        <v>New ZealandKapiti Marine Reserve WestParapercis coliasblue coddensity22.3847517730496Eddy2014</v>
      </c>
    </row>
    <row r="345" spans="1:49" ht="14.25" customHeight="1" x14ac:dyDescent="0.35">
      <c r="A345" s="12">
        <v>344</v>
      </c>
      <c r="B345" s="15" t="s">
        <v>551</v>
      </c>
      <c r="C345" s="15" t="s">
        <v>1053</v>
      </c>
      <c r="D345" s="15" t="s">
        <v>1047</v>
      </c>
      <c r="E345" s="12" t="s">
        <v>136</v>
      </c>
      <c r="F345" s="13" t="s">
        <v>50</v>
      </c>
      <c r="G345" s="13" t="s">
        <v>51</v>
      </c>
      <c r="H345" s="16" t="s">
        <v>52</v>
      </c>
      <c r="I345" s="16" t="s">
        <v>53</v>
      </c>
      <c r="J345" s="17">
        <v>3.42</v>
      </c>
      <c r="K345" s="17"/>
      <c r="L345" s="17" t="s">
        <v>1058</v>
      </c>
      <c r="M345" s="17" t="s">
        <v>1059</v>
      </c>
      <c r="N345" s="17" t="s">
        <v>85</v>
      </c>
      <c r="O345" s="17" t="s">
        <v>86</v>
      </c>
      <c r="P345" s="17"/>
      <c r="Q345" s="17">
        <f>AVERAGE(0.17,0)*8000</f>
        <v>680</v>
      </c>
      <c r="R345" s="17">
        <f>AVERAGE(0.5,0.5)*8000</f>
        <v>4000</v>
      </c>
      <c r="S345" s="17">
        <f>AVERAGE(0,0.07)*8000</f>
        <v>280</v>
      </c>
      <c r="T345" s="17">
        <f>AVERAGE(0.22,0.16)*8000</f>
        <v>1520</v>
      </c>
      <c r="U345" s="19">
        <f t="shared" si="25"/>
        <v>0.92285714285714293</v>
      </c>
      <c r="V345" s="41">
        <f t="shared" si="28"/>
        <v>-7.7142857142857064</v>
      </c>
      <c r="W345" s="14"/>
      <c r="X345" s="17" t="s">
        <v>56</v>
      </c>
      <c r="Y345" s="17"/>
      <c r="Z345" s="17" t="s">
        <v>56</v>
      </c>
      <c r="AA345" s="17"/>
      <c r="AB345" s="17" t="s">
        <v>111</v>
      </c>
      <c r="AC345" s="17">
        <v>1992</v>
      </c>
      <c r="AD345" s="17">
        <v>19</v>
      </c>
      <c r="AE345" s="17"/>
      <c r="AF345" s="17"/>
      <c r="AG345" s="17">
        <v>1992</v>
      </c>
      <c r="AH345" s="14">
        <f t="shared" si="26"/>
        <v>0</v>
      </c>
      <c r="AI345" s="17">
        <f t="shared" si="27"/>
        <v>19</v>
      </c>
      <c r="AJ345" s="17"/>
      <c r="AK345" s="17" t="s">
        <v>58</v>
      </c>
      <c r="AL345" s="16" t="s">
        <v>1055</v>
      </c>
      <c r="AM345" s="15">
        <v>2014</v>
      </c>
      <c r="AN345" s="15" t="s">
        <v>1056</v>
      </c>
      <c r="AO345" s="15" t="s">
        <v>58</v>
      </c>
      <c r="AP345" s="15" t="s">
        <v>1057</v>
      </c>
      <c r="AQ345" s="15" t="s">
        <v>56</v>
      </c>
      <c r="AR345" s="15" t="s">
        <v>58</v>
      </c>
      <c r="AS345" s="15" t="s">
        <v>163</v>
      </c>
      <c r="AT345" s="12"/>
      <c r="AU345" s="45" t="s">
        <v>2866</v>
      </c>
      <c r="AV345" s="15"/>
      <c r="AW345" s="12" t="str">
        <f>B345&amp;C345&amp;L345&amp;M345&amp;O345&amp;U345&amp;AL345&amp;AM345</f>
        <v>New ZealandKapiti Marine Reserve WestLatridopsis ciliarisblue mokidensity0.922857142857143Eddy2014</v>
      </c>
    </row>
    <row r="346" spans="1:49" ht="14.25" customHeight="1" x14ac:dyDescent="0.35">
      <c r="A346" s="12">
        <v>345</v>
      </c>
      <c r="B346" s="15" t="s">
        <v>551</v>
      </c>
      <c r="C346" s="15" t="s">
        <v>1053</v>
      </c>
      <c r="D346" s="15" t="s">
        <v>1047</v>
      </c>
      <c r="E346" s="12" t="s">
        <v>136</v>
      </c>
      <c r="F346" s="13" t="s">
        <v>50</v>
      </c>
      <c r="G346" s="13" t="s">
        <v>51</v>
      </c>
      <c r="H346" s="16" t="s">
        <v>52</v>
      </c>
      <c r="I346" s="16" t="s">
        <v>53</v>
      </c>
      <c r="J346" s="17">
        <v>3.42</v>
      </c>
      <c r="K346" s="17"/>
      <c r="L346" s="17" t="s">
        <v>1060</v>
      </c>
      <c r="M346" s="17" t="s">
        <v>1061</v>
      </c>
      <c r="N346" s="17" t="s">
        <v>85</v>
      </c>
      <c r="O346" s="17" t="s">
        <v>86</v>
      </c>
      <c r="P346" s="17"/>
      <c r="Q346" s="17">
        <f>AVERAGE(0.17,0.5)*8000</f>
        <v>2680</v>
      </c>
      <c r="R346" s="17">
        <f>AVERAGE(1.17,0.33)*8000</f>
        <v>6000</v>
      </c>
      <c r="S346" s="17">
        <f>AVERAGE(1.44,2.07)*8000</f>
        <v>14040</v>
      </c>
      <c r="T346" s="17">
        <f>AVERAGE(3.93,2.27)*8000</f>
        <v>24800</v>
      </c>
      <c r="U346" s="19">
        <f t="shared" si="25"/>
        <v>0.78898385565052243</v>
      </c>
      <c r="V346" s="41">
        <f t="shared" si="28"/>
        <v>-21.101614434947756</v>
      </c>
      <c r="W346" s="14"/>
      <c r="X346" s="17" t="s">
        <v>56</v>
      </c>
      <c r="Y346" s="17"/>
      <c r="Z346" s="17" t="s">
        <v>56</v>
      </c>
      <c r="AA346" s="17"/>
      <c r="AB346" s="17" t="s">
        <v>111</v>
      </c>
      <c r="AC346" s="17">
        <v>1992</v>
      </c>
      <c r="AD346" s="17">
        <v>19</v>
      </c>
      <c r="AE346" s="17"/>
      <c r="AF346" s="17"/>
      <c r="AG346" s="17">
        <v>1992</v>
      </c>
      <c r="AH346" s="14">
        <f t="shared" si="26"/>
        <v>0</v>
      </c>
      <c r="AI346" s="17">
        <f t="shared" si="27"/>
        <v>19</v>
      </c>
      <c r="AJ346" s="17"/>
      <c r="AK346" s="17" t="s">
        <v>58</v>
      </c>
      <c r="AL346" s="16" t="s">
        <v>1055</v>
      </c>
      <c r="AM346" s="15">
        <v>2014</v>
      </c>
      <c r="AN346" s="15" t="s">
        <v>1056</v>
      </c>
      <c r="AO346" s="15" t="s">
        <v>58</v>
      </c>
      <c r="AP346" s="15" t="s">
        <v>1057</v>
      </c>
      <c r="AQ346" s="15" t="s">
        <v>56</v>
      </c>
      <c r="AR346" s="15" t="s">
        <v>58</v>
      </c>
      <c r="AS346" s="15" t="s">
        <v>163</v>
      </c>
      <c r="AT346" s="12"/>
      <c r="AU346" s="45" t="s">
        <v>2866</v>
      </c>
      <c r="AV346" s="15"/>
      <c r="AW346" s="12" t="str">
        <f>B346&amp;C346&amp;L346&amp;M346&amp;O346&amp;U346&amp;AL346&amp;AM346</f>
        <v>New ZealandKapiti Marine Reserve WestOdax pullusButterfishdensity0.788983855650522Eddy2014</v>
      </c>
    </row>
    <row r="347" spans="1:49" ht="14.25" customHeight="1" x14ac:dyDescent="0.35">
      <c r="A347" s="12">
        <v>346</v>
      </c>
      <c r="B347" s="15" t="s">
        <v>551</v>
      </c>
      <c r="C347" s="15" t="s">
        <v>1053</v>
      </c>
      <c r="D347" s="15" t="s">
        <v>1047</v>
      </c>
      <c r="E347" s="12" t="s">
        <v>136</v>
      </c>
      <c r="F347" s="13" t="s">
        <v>50</v>
      </c>
      <c r="G347" s="13" t="s">
        <v>51</v>
      </c>
      <c r="H347" s="16" t="s">
        <v>52</v>
      </c>
      <c r="I347" s="16" t="s">
        <v>53</v>
      </c>
      <c r="J347" s="17">
        <v>3.42</v>
      </c>
      <c r="K347" s="17"/>
      <c r="L347" s="17" t="s">
        <v>1062</v>
      </c>
      <c r="M347" s="17" t="s">
        <v>1063</v>
      </c>
      <c r="N347" s="17" t="s">
        <v>85</v>
      </c>
      <c r="O347" s="17" t="s">
        <v>86</v>
      </c>
      <c r="P347" s="17"/>
      <c r="Q347" s="17">
        <v>0</v>
      </c>
      <c r="R347" s="17">
        <f>AVERAGE(0.17,0)*8000</f>
        <v>680</v>
      </c>
      <c r="S347" s="17">
        <f>AVERAGE(0.29,0.16)*8000</f>
        <v>1799.9999999999998</v>
      </c>
      <c r="T347" s="17">
        <f>AVERAGE(0.2,0.27)*8000</f>
        <v>1880.0000000000002</v>
      </c>
      <c r="U347" s="19" t="str">
        <f t="shared" si="25"/>
        <v>N/A</v>
      </c>
      <c r="V347" s="41" t="str">
        <f t="shared" si="28"/>
        <v>N/A</v>
      </c>
      <c r="W347" s="14"/>
      <c r="X347" s="17" t="s">
        <v>56</v>
      </c>
      <c r="Y347" s="17"/>
      <c r="Z347" s="17" t="s">
        <v>56</v>
      </c>
      <c r="AA347" s="17"/>
      <c r="AB347" s="17" t="s">
        <v>111</v>
      </c>
      <c r="AC347" s="17">
        <v>1992</v>
      </c>
      <c r="AD347" s="17">
        <v>19</v>
      </c>
      <c r="AE347" s="17"/>
      <c r="AF347" s="17"/>
      <c r="AG347" s="17">
        <v>1992</v>
      </c>
      <c r="AH347" s="14">
        <f t="shared" si="26"/>
        <v>0</v>
      </c>
      <c r="AI347" s="17">
        <f t="shared" si="27"/>
        <v>19</v>
      </c>
      <c r="AJ347" s="17"/>
      <c r="AK347" s="17" t="s">
        <v>58</v>
      </c>
      <c r="AL347" s="16" t="s">
        <v>1055</v>
      </c>
      <c r="AM347" s="15">
        <v>2014</v>
      </c>
      <c r="AN347" s="15" t="s">
        <v>1056</v>
      </c>
      <c r="AO347" s="15" t="s">
        <v>58</v>
      </c>
      <c r="AP347" s="15" t="s">
        <v>1057</v>
      </c>
      <c r="AQ347" s="15" t="s">
        <v>56</v>
      </c>
      <c r="AR347" s="15" t="s">
        <v>58</v>
      </c>
      <c r="AS347" s="15" t="s">
        <v>163</v>
      </c>
      <c r="AT347" s="12"/>
      <c r="AU347" s="45" t="s">
        <v>2866</v>
      </c>
      <c r="AV347" s="15"/>
      <c r="AW347" s="12" t="str">
        <f>B347&amp;C347&amp;L347&amp;M347&amp;O347&amp;U347&amp;AL347&amp;AM347</f>
        <v>New ZealandKapiti Marine Reserve WestCheilodactylus spectabilisred mokidensityN/AEddy2014</v>
      </c>
    </row>
    <row r="348" spans="1:49" ht="14.25" customHeight="1" x14ac:dyDescent="0.35">
      <c r="A348" s="12">
        <v>347</v>
      </c>
      <c r="B348" s="15" t="s">
        <v>551</v>
      </c>
      <c r="C348" s="15" t="s">
        <v>1053</v>
      </c>
      <c r="D348" s="15" t="s">
        <v>1047</v>
      </c>
      <c r="E348" s="12" t="s">
        <v>136</v>
      </c>
      <c r="F348" s="13" t="s">
        <v>50</v>
      </c>
      <c r="G348" s="13" t="s">
        <v>51</v>
      </c>
      <c r="H348" s="16" t="s">
        <v>52</v>
      </c>
      <c r="I348" s="16" t="s">
        <v>53</v>
      </c>
      <c r="J348" s="17">
        <v>3.42</v>
      </c>
      <c r="K348" s="17"/>
      <c r="L348" s="17" t="s">
        <v>1064</v>
      </c>
      <c r="M348" s="17" t="s">
        <v>1065</v>
      </c>
      <c r="N348" s="17" t="s">
        <v>85</v>
      </c>
      <c r="O348" s="17" t="s">
        <v>86</v>
      </c>
      <c r="P348" s="17"/>
      <c r="Q348" s="17">
        <f>AVERAGE(19.83,2)*8000</f>
        <v>87320</v>
      </c>
      <c r="R348" s="17">
        <f>AVERAGE(6.67,12.83)*8000</f>
        <v>78000</v>
      </c>
      <c r="S348" s="17">
        <f>AVERAGE(0.42,0.6)*8000</f>
        <v>4080</v>
      </c>
      <c r="T348" s="17">
        <f>AVERAGE(2.36,0.84)*8000</f>
        <v>12799.999999999998</v>
      </c>
      <c r="U348" s="19">
        <f t="shared" si="25"/>
        <v>3.5121166415284057</v>
      </c>
      <c r="V348" s="41">
        <f t="shared" si="28"/>
        <v>251.21166415284057</v>
      </c>
      <c r="W348" s="14"/>
      <c r="X348" s="17" t="s">
        <v>56</v>
      </c>
      <c r="Y348" s="17"/>
      <c r="Z348" s="17" t="s">
        <v>56</v>
      </c>
      <c r="AA348" s="17"/>
      <c r="AB348" s="17" t="s">
        <v>111</v>
      </c>
      <c r="AC348" s="17">
        <v>1992</v>
      </c>
      <c r="AD348" s="17">
        <v>19</v>
      </c>
      <c r="AE348" s="17"/>
      <c r="AF348" s="17"/>
      <c r="AG348" s="17">
        <v>1992</v>
      </c>
      <c r="AH348" s="14">
        <f t="shared" si="26"/>
        <v>0</v>
      </c>
      <c r="AI348" s="17">
        <f t="shared" si="27"/>
        <v>19</v>
      </c>
      <c r="AJ348" s="17"/>
      <c r="AK348" s="17" t="s">
        <v>58</v>
      </c>
      <c r="AL348" s="16" t="s">
        <v>1055</v>
      </c>
      <c r="AM348" s="15">
        <v>2014</v>
      </c>
      <c r="AN348" s="15" t="s">
        <v>1056</v>
      </c>
      <c r="AO348" s="15" t="s">
        <v>58</v>
      </c>
      <c r="AP348" s="15" t="s">
        <v>1057</v>
      </c>
      <c r="AQ348" s="15" t="s">
        <v>56</v>
      </c>
      <c r="AR348" s="15" t="s">
        <v>58</v>
      </c>
      <c r="AS348" s="15" t="s">
        <v>163</v>
      </c>
      <c r="AT348" s="12"/>
      <c r="AU348" s="45" t="s">
        <v>2866</v>
      </c>
      <c r="AV348" s="15"/>
      <c r="AW348" s="12" t="str">
        <f>B348&amp;C348&amp;L348&amp;M348&amp;O348&amp;U348&amp;AL348&amp;AM348</f>
        <v>New ZealandKapiti Marine Reserve WestPseudolabrus milesscarlet wrassedensity3.51211664152841Eddy2014</v>
      </c>
    </row>
    <row r="349" spans="1:49" ht="14.25" customHeight="1" x14ac:dyDescent="0.35">
      <c r="A349" s="12">
        <v>348</v>
      </c>
      <c r="B349" s="15" t="s">
        <v>551</v>
      </c>
      <c r="C349" s="15" t="s">
        <v>1053</v>
      </c>
      <c r="D349" s="15" t="s">
        <v>1047</v>
      </c>
      <c r="E349" s="12" t="s">
        <v>136</v>
      </c>
      <c r="F349" s="13" t="s">
        <v>50</v>
      </c>
      <c r="G349" s="13" t="s">
        <v>51</v>
      </c>
      <c r="H349" s="16" t="s">
        <v>52</v>
      </c>
      <c r="I349" s="16" t="s">
        <v>53</v>
      </c>
      <c r="J349" s="17">
        <v>3.42</v>
      </c>
      <c r="K349" s="17"/>
      <c r="L349" s="17" t="s">
        <v>1066</v>
      </c>
      <c r="M349" s="17" t="s">
        <v>1067</v>
      </c>
      <c r="N349" s="17" t="s">
        <v>85</v>
      </c>
      <c r="O349" s="17" t="s">
        <v>86</v>
      </c>
      <c r="P349" s="17"/>
      <c r="Q349" s="17">
        <f>AVERAGE(1.5,7.5)*8000</f>
        <v>36000</v>
      </c>
      <c r="R349" s="17">
        <f>AVERAGE(3.17,27.33)*8000</f>
        <v>122000</v>
      </c>
      <c r="S349" s="17">
        <f>AVERAGE(1.64,3.93)*8000</f>
        <v>22280</v>
      </c>
      <c r="T349" s="17">
        <f>AVERAGE(6.84,1.42)*8000</f>
        <v>33040</v>
      </c>
      <c r="U349" s="19">
        <f t="shared" si="25"/>
        <v>0.43759013450275186</v>
      </c>
      <c r="V349" s="41">
        <f t="shared" si="28"/>
        <v>-56.240986549724816</v>
      </c>
      <c r="W349" s="14"/>
      <c r="X349" s="17" t="s">
        <v>56</v>
      </c>
      <c r="Y349" s="17"/>
      <c r="Z349" s="17" t="s">
        <v>56</v>
      </c>
      <c r="AA349" s="17"/>
      <c r="AB349" s="17" t="s">
        <v>111</v>
      </c>
      <c r="AC349" s="17">
        <v>1992</v>
      </c>
      <c r="AD349" s="17">
        <v>19</v>
      </c>
      <c r="AE349" s="17"/>
      <c r="AF349" s="17"/>
      <c r="AG349" s="17">
        <v>1992</v>
      </c>
      <c r="AH349" s="14">
        <f t="shared" si="26"/>
        <v>0</v>
      </c>
      <c r="AI349" s="17">
        <f t="shared" si="27"/>
        <v>19</v>
      </c>
      <c r="AJ349" s="17"/>
      <c r="AK349" s="17" t="s">
        <v>58</v>
      </c>
      <c r="AL349" s="16" t="s">
        <v>1055</v>
      </c>
      <c r="AM349" s="15">
        <v>2014</v>
      </c>
      <c r="AN349" s="15" t="s">
        <v>1056</v>
      </c>
      <c r="AO349" s="15" t="s">
        <v>58</v>
      </c>
      <c r="AP349" s="15" t="s">
        <v>1057</v>
      </c>
      <c r="AQ349" s="15" t="s">
        <v>56</v>
      </c>
      <c r="AR349" s="15" t="s">
        <v>58</v>
      </c>
      <c r="AS349" s="15" t="s">
        <v>163</v>
      </c>
      <c r="AT349" s="12"/>
      <c r="AU349" s="45" t="s">
        <v>2866</v>
      </c>
      <c r="AV349" s="15"/>
      <c r="AW349" s="12" t="str">
        <f>B349&amp;C349&amp;L349&amp;M349&amp;O349&amp;U349&amp;AL349&amp;AM349</f>
        <v>New ZealandKapiti Marine Reserve WestNotolabrus celidotusspottydensity0.437590134502752Eddy2014</v>
      </c>
    </row>
    <row r="350" spans="1:49" ht="14.25" customHeight="1" x14ac:dyDescent="0.35">
      <c r="A350" s="12">
        <v>349</v>
      </c>
      <c r="B350" s="15" t="s">
        <v>551</v>
      </c>
      <c r="C350" s="15" t="s">
        <v>1053</v>
      </c>
      <c r="D350" s="15" t="s">
        <v>1047</v>
      </c>
      <c r="E350" s="12" t="s">
        <v>136</v>
      </c>
      <c r="F350" s="13" t="s">
        <v>50</v>
      </c>
      <c r="G350" s="13" t="s">
        <v>51</v>
      </c>
      <c r="H350" s="16" t="s">
        <v>52</v>
      </c>
      <c r="I350" s="16" t="s">
        <v>53</v>
      </c>
      <c r="J350" s="17">
        <v>3.42</v>
      </c>
      <c r="K350" s="17"/>
      <c r="L350" s="17" t="s">
        <v>881</v>
      </c>
      <c r="M350" s="17" t="s">
        <v>1054</v>
      </c>
      <c r="N350" s="17" t="s">
        <v>85</v>
      </c>
      <c r="O350" s="17" t="s">
        <v>104</v>
      </c>
      <c r="P350" s="17"/>
      <c r="Q350" s="17">
        <f>AVERAGE(30)</f>
        <v>30</v>
      </c>
      <c r="R350" s="17">
        <f>AVERAGE(16,23)</f>
        <v>19.5</v>
      </c>
      <c r="S350" s="17">
        <f>AVERAGE(18.67,23.52)</f>
        <v>21.094999999999999</v>
      </c>
      <c r="T350" s="17">
        <f>AVERAGE(24.48,26.93)</f>
        <v>25.704999999999998</v>
      </c>
      <c r="U350" s="19">
        <f t="shared" si="25"/>
        <v>1.8746695352526119</v>
      </c>
      <c r="V350" s="41">
        <f t="shared" si="28"/>
        <v>87.466953525261189</v>
      </c>
      <c r="W350" s="14"/>
      <c r="X350" s="17" t="s">
        <v>56</v>
      </c>
      <c r="Y350" s="17"/>
      <c r="Z350" s="17" t="s">
        <v>56</v>
      </c>
      <c r="AA350" s="17"/>
      <c r="AB350" s="17" t="s">
        <v>111</v>
      </c>
      <c r="AC350" s="17">
        <v>1992</v>
      </c>
      <c r="AD350" s="17">
        <v>19</v>
      </c>
      <c r="AE350" s="17"/>
      <c r="AF350" s="17"/>
      <c r="AG350" s="17">
        <v>1992</v>
      </c>
      <c r="AH350" s="14">
        <f t="shared" si="26"/>
        <v>0</v>
      </c>
      <c r="AI350" s="17">
        <f t="shared" si="27"/>
        <v>19</v>
      </c>
      <c r="AJ350" s="17"/>
      <c r="AK350" s="17" t="s">
        <v>58</v>
      </c>
      <c r="AL350" s="16" t="s">
        <v>1055</v>
      </c>
      <c r="AM350" s="15">
        <v>2014</v>
      </c>
      <c r="AN350" s="15" t="s">
        <v>1056</v>
      </c>
      <c r="AO350" s="15" t="s">
        <v>58</v>
      </c>
      <c r="AP350" s="15" t="s">
        <v>1057</v>
      </c>
      <c r="AQ350" s="15" t="s">
        <v>56</v>
      </c>
      <c r="AR350" s="15" t="s">
        <v>58</v>
      </c>
      <c r="AS350" s="15" t="s">
        <v>163</v>
      </c>
      <c r="AT350" s="12"/>
      <c r="AU350" s="45" t="s">
        <v>2866</v>
      </c>
      <c r="AV350" s="15"/>
      <c r="AW350" s="12" t="str">
        <f>B350&amp;C350&amp;L350&amp;M350&amp;O350&amp;U350&amp;AL350&amp;AM350</f>
        <v>New ZealandKapiti Marine Reserve WestNotolabrus fucicolaBanded wrassesize1.87466953525261Eddy2014</v>
      </c>
    </row>
    <row r="351" spans="1:49" ht="14.25" customHeight="1" x14ac:dyDescent="0.35">
      <c r="A351" s="12">
        <v>350</v>
      </c>
      <c r="B351" s="15" t="s">
        <v>551</v>
      </c>
      <c r="C351" s="15" t="s">
        <v>1053</v>
      </c>
      <c r="D351" s="15" t="s">
        <v>1047</v>
      </c>
      <c r="E351" s="12" t="s">
        <v>136</v>
      </c>
      <c r="F351" s="13" t="s">
        <v>50</v>
      </c>
      <c r="G351" s="13" t="s">
        <v>51</v>
      </c>
      <c r="H351" s="16" t="s">
        <v>52</v>
      </c>
      <c r="I351" s="16" t="s">
        <v>53</v>
      </c>
      <c r="J351" s="17">
        <v>3.42</v>
      </c>
      <c r="K351" s="17"/>
      <c r="L351" s="51" t="s">
        <v>1051</v>
      </c>
      <c r="M351" s="17" t="s">
        <v>1052</v>
      </c>
      <c r="N351" s="17" t="s">
        <v>85</v>
      </c>
      <c r="O351" s="17" t="s">
        <v>104</v>
      </c>
      <c r="P351" s="17"/>
      <c r="Q351" s="17">
        <f>AVERAGE(17.88)</f>
        <v>17.88</v>
      </c>
      <c r="R351" s="17">
        <f>AVERAGE(21.11,20.83)</f>
        <v>20.97</v>
      </c>
      <c r="S351" s="17">
        <f>AVERAGE(21.88)</f>
        <v>21.88</v>
      </c>
      <c r="T351" s="17">
        <f>AVERAGE(25.53,32.3)</f>
        <v>28.914999999999999</v>
      </c>
      <c r="U351" s="19">
        <f t="shared" si="25"/>
        <v>1.1267951343392102</v>
      </c>
      <c r="V351" s="41">
        <f t="shared" si="28"/>
        <v>12.67951343392102</v>
      </c>
      <c r="W351" s="14"/>
      <c r="X351" s="17" t="s">
        <v>56</v>
      </c>
      <c r="Y351" s="17"/>
      <c r="Z351" s="17" t="s">
        <v>56</v>
      </c>
      <c r="AA351" s="17"/>
      <c r="AB351" s="17" t="s">
        <v>111</v>
      </c>
      <c r="AC351" s="17">
        <v>1992</v>
      </c>
      <c r="AD351" s="17">
        <v>19</v>
      </c>
      <c r="AE351" s="17"/>
      <c r="AF351" s="17"/>
      <c r="AG351" s="17">
        <v>1992</v>
      </c>
      <c r="AH351" s="14">
        <f t="shared" si="26"/>
        <v>0</v>
      </c>
      <c r="AI351" s="17">
        <f t="shared" si="27"/>
        <v>19</v>
      </c>
      <c r="AJ351" s="17"/>
      <c r="AK351" s="17" t="s">
        <v>58</v>
      </c>
      <c r="AL351" s="16" t="s">
        <v>1055</v>
      </c>
      <c r="AM351" s="15">
        <v>2014</v>
      </c>
      <c r="AN351" s="15" t="s">
        <v>1056</v>
      </c>
      <c r="AO351" s="15" t="s">
        <v>58</v>
      </c>
      <c r="AP351" s="15" t="s">
        <v>1057</v>
      </c>
      <c r="AQ351" s="15" t="s">
        <v>56</v>
      </c>
      <c r="AR351" s="15" t="s">
        <v>58</v>
      </c>
      <c r="AS351" s="15" t="s">
        <v>163</v>
      </c>
      <c r="AT351" s="12"/>
      <c r="AU351" s="45" t="s">
        <v>2866</v>
      </c>
      <c r="AV351" s="15"/>
      <c r="AW351" s="12" t="str">
        <f>B351&amp;C351&amp;L351&amp;M351&amp;O351&amp;U351&amp;AL351&amp;AM351</f>
        <v>New ZealandKapiti Marine Reserve WestParapercis coliasblue codsize1.12679513433921Eddy2014</v>
      </c>
    </row>
    <row r="352" spans="1:49" ht="14.25" customHeight="1" x14ac:dyDescent="0.35">
      <c r="A352" s="12">
        <v>351</v>
      </c>
      <c r="B352" s="15" t="s">
        <v>551</v>
      </c>
      <c r="C352" s="15" t="s">
        <v>1053</v>
      </c>
      <c r="D352" s="15" t="s">
        <v>1047</v>
      </c>
      <c r="E352" s="12" t="s">
        <v>136</v>
      </c>
      <c r="F352" s="13" t="s">
        <v>50</v>
      </c>
      <c r="G352" s="13" t="s">
        <v>51</v>
      </c>
      <c r="H352" s="16" t="s">
        <v>52</v>
      </c>
      <c r="I352" s="16" t="s">
        <v>53</v>
      </c>
      <c r="J352" s="17">
        <v>3.42</v>
      </c>
      <c r="K352" s="17"/>
      <c r="L352" s="17" t="s">
        <v>1058</v>
      </c>
      <c r="M352" s="17" t="s">
        <v>1059</v>
      </c>
      <c r="N352" s="17" t="s">
        <v>85</v>
      </c>
      <c r="O352" s="17" t="s">
        <v>104</v>
      </c>
      <c r="P352" s="17"/>
      <c r="Q352" s="17">
        <v>40</v>
      </c>
      <c r="R352" s="17">
        <f>AVERAGE(25,23.33)</f>
        <v>24.164999999999999</v>
      </c>
      <c r="S352" s="17">
        <v>38.33</v>
      </c>
      <c r="T352" s="17">
        <f>AVERAGE(27.19,30.31)</f>
        <v>28.75</v>
      </c>
      <c r="U352" s="19">
        <f t="shared" si="25"/>
        <v>1.2415728914758952</v>
      </c>
      <c r="V352" s="41">
        <f t="shared" si="28"/>
        <v>24.157289147589523</v>
      </c>
      <c r="W352" s="14"/>
      <c r="X352" s="17" t="s">
        <v>56</v>
      </c>
      <c r="Y352" s="17"/>
      <c r="Z352" s="17" t="s">
        <v>56</v>
      </c>
      <c r="AA352" s="17"/>
      <c r="AB352" s="17" t="s">
        <v>111</v>
      </c>
      <c r="AC352" s="17">
        <v>1992</v>
      </c>
      <c r="AD352" s="17">
        <v>19</v>
      </c>
      <c r="AE352" s="17"/>
      <c r="AF352" s="17"/>
      <c r="AG352" s="17">
        <v>1992</v>
      </c>
      <c r="AH352" s="14">
        <f t="shared" si="26"/>
        <v>0</v>
      </c>
      <c r="AI352" s="17">
        <f t="shared" si="27"/>
        <v>19</v>
      </c>
      <c r="AJ352" s="17"/>
      <c r="AK352" s="17" t="s">
        <v>58</v>
      </c>
      <c r="AL352" s="16" t="s">
        <v>1055</v>
      </c>
      <c r="AM352" s="15">
        <v>2014</v>
      </c>
      <c r="AN352" s="15" t="s">
        <v>1056</v>
      </c>
      <c r="AO352" s="15" t="s">
        <v>58</v>
      </c>
      <c r="AP352" s="15" t="s">
        <v>1057</v>
      </c>
      <c r="AQ352" s="15" t="s">
        <v>56</v>
      </c>
      <c r="AR352" s="15" t="s">
        <v>58</v>
      </c>
      <c r="AS352" s="15" t="s">
        <v>163</v>
      </c>
      <c r="AT352" s="12"/>
      <c r="AU352" s="45" t="s">
        <v>2866</v>
      </c>
      <c r="AV352" s="15"/>
      <c r="AW352" s="12" t="str">
        <f>B352&amp;C352&amp;L352&amp;M352&amp;O352&amp;U352&amp;AL352&amp;AM352</f>
        <v>New ZealandKapiti Marine Reserve WestLatridopsis ciliarisblue mokisize1.2415728914759Eddy2014</v>
      </c>
    </row>
    <row r="353" spans="1:49" ht="14.25" customHeight="1" x14ac:dyDescent="0.35">
      <c r="A353" s="12">
        <v>352</v>
      </c>
      <c r="B353" s="15" t="s">
        <v>551</v>
      </c>
      <c r="C353" s="15" t="s">
        <v>1053</v>
      </c>
      <c r="D353" s="15" t="s">
        <v>1047</v>
      </c>
      <c r="E353" s="15" t="s">
        <v>136</v>
      </c>
      <c r="F353" s="16" t="s">
        <v>50</v>
      </c>
      <c r="G353" s="16" t="s">
        <v>51</v>
      </c>
      <c r="H353" s="16" t="s">
        <v>52</v>
      </c>
      <c r="I353" s="16" t="s">
        <v>53</v>
      </c>
      <c r="J353" s="17">
        <v>3.42</v>
      </c>
      <c r="K353" s="17"/>
      <c r="L353" s="17" t="s">
        <v>1060</v>
      </c>
      <c r="M353" s="17" t="s">
        <v>1061</v>
      </c>
      <c r="N353" s="17" t="s">
        <v>85</v>
      </c>
      <c r="O353" s="17" t="s">
        <v>104</v>
      </c>
      <c r="P353" s="17"/>
      <c r="Q353" s="17">
        <v>30</v>
      </c>
      <c r="R353" s="17">
        <f>AVERAGE(27.5,37.5)</f>
        <v>32.5</v>
      </c>
      <c r="S353" s="17">
        <f>AVERAGE(40.99,34.35)</f>
        <v>37.67</v>
      </c>
      <c r="T353" s="17">
        <f>AVERAGE(41.94,46.22)</f>
        <v>44.08</v>
      </c>
      <c r="U353" s="20">
        <f t="shared" si="25"/>
        <v>1.0801494762206203</v>
      </c>
      <c r="V353" s="22">
        <f t="shared" si="28"/>
        <v>8.0149476220620297</v>
      </c>
      <c r="W353" s="17"/>
      <c r="X353" s="17" t="s">
        <v>56</v>
      </c>
      <c r="Y353" s="17"/>
      <c r="Z353" s="17" t="s">
        <v>56</v>
      </c>
      <c r="AA353" s="17"/>
      <c r="AB353" s="17" t="s">
        <v>111</v>
      </c>
      <c r="AC353" s="17">
        <v>1992</v>
      </c>
      <c r="AD353" s="17">
        <v>19</v>
      </c>
      <c r="AE353" s="17"/>
      <c r="AF353" s="17"/>
      <c r="AG353" s="17">
        <v>1992</v>
      </c>
      <c r="AH353" s="14">
        <f t="shared" si="26"/>
        <v>0</v>
      </c>
      <c r="AI353" s="17">
        <f t="shared" si="27"/>
        <v>19</v>
      </c>
      <c r="AJ353" s="17"/>
      <c r="AK353" s="17" t="s">
        <v>58</v>
      </c>
      <c r="AL353" s="16" t="s">
        <v>1055</v>
      </c>
      <c r="AM353" s="15">
        <v>2014</v>
      </c>
      <c r="AN353" s="15" t="s">
        <v>1056</v>
      </c>
      <c r="AO353" s="15" t="s">
        <v>58</v>
      </c>
      <c r="AP353" s="15" t="s">
        <v>1057</v>
      </c>
      <c r="AQ353" s="15" t="s">
        <v>56</v>
      </c>
      <c r="AR353" s="15" t="s">
        <v>58</v>
      </c>
      <c r="AS353" s="15" t="s">
        <v>163</v>
      </c>
      <c r="AT353" s="15"/>
      <c r="AU353" s="45" t="s">
        <v>2866</v>
      </c>
      <c r="AV353" s="15"/>
      <c r="AW353" s="12" t="str">
        <f>B353&amp;C353&amp;L353&amp;M353&amp;O353&amp;U353&amp;AL353&amp;AM353</f>
        <v>New ZealandKapiti Marine Reserve WestOdax pullusButterfishsize1.08014947622062Eddy2014</v>
      </c>
    </row>
    <row r="354" spans="1:49" ht="14.25" customHeight="1" x14ac:dyDescent="0.35">
      <c r="A354" s="12">
        <v>353</v>
      </c>
      <c r="B354" s="15" t="s">
        <v>551</v>
      </c>
      <c r="C354" s="15" t="s">
        <v>1053</v>
      </c>
      <c r="D354" s="15" t="s">
        <v>1047</v>
      </c>
      <c r="E354" s="12" t="s">
        <v>136</v>
      </c>
      <c r="F354" s="13" t="s">
        <v>50</v>
      </c>
      <c r="G354" s="13" t="s">
        <v>51</v>
      </c>
      <c r="H354" s="16" t="s">
        <v>52</v>
      </c>
      <c r="I354" s="16" t="s">
        <v>53</v>
      </c>
      <c r="J354" s="17">
        <v>3.42</v>
      </c>
      <c r="K354" s="17"/>
      <c r="L354" s="17" t="s">
        <v>1062</v>
      </c>
      <c r="M354" s="17" t="s">
        <v>1063</v>
      </c>
      <c r="N354" s="17" t="s">
        <v>85</v>
      </c>
      <c r="O354" s="17" t="s">
        <v>104</v>
      </c>
      <c r="P354" s="17"/>
      <c r="Q354" s="17"/>
      <c r="R354" s="17">
        <f>AVERAGE(60)</f>
        <v>60</v>
      </c>
      <c r="S354" s="17">
        <f>AVERAGE(42.02,45.42)</f>
        <v>43.72</v>
      </c>
      <c r="T354" s="17">
        <f>AVERAGE(44.17,47.63)</f>
        <v>45.900000000000006</v>
      </c>
      <c r="U354" s="19">
        <f t="shared" si="25"/>
        <v>1.0498627630375117</v>
      </c>
      <c r="V354" s="41">
        <f t="shared" si="28"/>
        <v>4.9862763037511693</v>
      </c>
      <c r="W354" s="14"/>
      <c r="X354" s="17" t="s">
        <v>56</v>
      </c>
      <c r="Y354" s="17"/>
      <c r="Z354" s="17" t="s">
        <v>56</v>
      </c>
      <c r="AA354" s="17"/>
      <c r="AB354" s="17" t="s">
        <v>111</v>
      </c>
      <c r="AC354" s="17">
        <v>1992</v>
      </c>
      <c r="AD354" s="17">
        <v>19</v>
      </c>
      <c r="AE354" s="17"/>
      <c r="AF354" s="17"/>
      <c r="AG354" s="17">
        <v>1992</v>
      </c>
      <c r="AH354" s="14">
        <f t="shared" si="26"/>
        <v>0</v>
      </c>
      <c r="AI354" s="17">
        <f t="shared" si="27"/>
        <v>19</v>
      </c>
      <c r="AJ354" s="17"/>
      <c r="AK354" s="17" t="s">
        <v>58</v>
      </c>
      <c r="AL354" s="16" t="s">
        <v>1055</v>
      </c>
      <c r="AM354" s="15">
        <v>2014</v>
      </c>
      <c r="AN354" s="15" t="s">
        <v>1056</v>
      </c>
      <c r="AO354" s="15" t="s">
        <v>58</v>
      </c>
      <c r="AP354" s="15" t="s">
        <v>1057</v>
      </c>
      <c r="AQ354" s="15" t="s">
        <v>56</v>
      </c>
      <c r="AR354" s="15" t="s">
        <v>58</v>
      </c>
      <c r="AS354" s="15" t="s">
        <v>163</v>
      </c>
      <c r="AT354" s="12"/>
      <c r="AU354" s="45" t="s">
        <v>2866</v>
      </c>
      <c r="AV354" s="15"/>
      <c r="AW354" s="12" t="str">
        <f>B354&amp;C354&amp;L354&amp;M354&amp;O354&amp;U354&amp;AL354&amp;AM354</f>
        <v>New ZealandKapiti Marine Reserve WestCheilodactylus spectabilisred mokisize1.04986276303751Eddy2014</v>
      </c>
    </row>
    <row r="355" spans="1:49" ht="14.25" customHeight="1" x14ac:dyDescent="0.35">
      <c r="A355" s="12">
        <v>354</v>
      </c>
      <c r="B355" s="12" t="s">
        <v>551</v>
      </c>
      <c r="C355" s="12" t="s">
        <v>1053</v>
      </c>
      <c r="D355" s="12" t="s">
        <v>1047</v>
      </c>
      <c r="E355" s="12" t="s">
        <v>136</v>
      </c>
      <c r="F355" s="13" t="s">
        <v>50</v>
      </c>
      <c r="G355" s="13" t="s">
        <v>51</v>
      </c>
      <c r="H355" s="13" t="s">
        <v>52</v>
      </c>
      <c r="I355" s="13" t="s">
        <v>53</v>
      </c>
      <c r="J355" s="14">
        <v>3.42</v>
      </c>
      <c r="K355" s="17"/>
      <c r="L355" s="14" t="s">
        <v>1064</v>
      </c>
      <c r="M355" s="14" t="s">
        <v>1065</v>
      </c>
      <c r="N355" s="14" t="s">
        <v>85</v>
      </c>
      <c r="O355" s="17" t="s">
        <v>104</v>
      </c>
      <c r="P355" s="14"/>
      <c r="Q355" s="14">
        <v>20</v>
      </c>
      <c r="R355" s="14">
        <f>AVERAGE(13.63,20)</f>
        <v>16.815000000000001</v>
      </c>
      <c r="S355" s="14">
        <f>AVERAGE(18.5,21.47)</f>
        <v>19.984999999999999</v>
      </c>
      <c r="T355" s="14">
        <f>AVERAGE(20.66,20.27)</f>
        <v>20.465</v>
      </c>
      <c r="U355" s="19">
        <f t="shared" si="25"/>
        <v>1.2179815801488345</v>
      </c>
      <c r="V355" s="41">
        <f t="shared" si="28"/>
        <v>21.798158014883452</v>
      </c>
      <c r="W355" s="14"/>
      <c r="X355" s="14" t="s">
        <v>56</v>
      </c>
      <c r="Z355" s="14" t="s">
        <v>56</v>
      </c>
      <c r="AA355" s="17"/>
      <c r="AB355" s="14" t="s">
        <v>111</v>
      </c>
      <c r="AC355" s="14">
        <v>1992</v>
      </c>
      <c r="AD355" s="14">
        <v>19</v>
      </c>
      <c r="AE355" s="14"/>
      <c r="AF355" s="14"/>
      <c r="AG355" s="14">
        <v>1992</v>
      </c>
      <c r="AH355" s="14">
        <f t="shared" si="26"/>
        <v>0</v>
      </c>
      <c r="AI355" s="17">
        <f t="shared" si="27"/>
        <v>19</v>
      </c>
      <c r="AJ355" s="14"/>
      <c r="AK355" s="14" t="s">
        <v>58</v>
      </c>
      <c r="AL355" s="13" t="s">
        <v>1055</v>
      </c>
      <c r="AM355" s="12">
        <v>2014</v>
      </c>
      <c r="AN355" s="12" t="s">
        <v>1056</v>
      </c>
      <c r="AO355" s="12" t="s">
        <v>58</v>
      </c>
      <c r="AP355" s="12" t="s">
        <v>1057</v>
      </c>
      <c r="AQ355" s="12" t="s">
        <v>56</v>
      </c>
      <c r="AR355" s="12" t="s">
        <v>58</v>
      </c>
      <c r="AS355" s="12" t="s">
        <v>163</v>
      </c>
      <c r="AT355" s="12"/>
      <c r="AU355" s="45" t="s">
        <v>2866</v>
      </c>
      <c r="AV355" s="15"/>
      <c r="AW355" s="12" t="str">
        <f>B355&amp;C355&amp;L355&amp;M355&amp;O355&amp;U355&amp;AL355&amp;AM355</f>
        <v>New ZealandKapiti Marine Reserve WestPseudolabrus milesscarlet wrassesize1.21798158014883Eddy2014</v>
      </c>
    </row>
    <row r="356" spans="1:49" ht="14.25" customHeight="1" x14ac:dyDescent="0.35">
      <c r="A356" s="12">
        <v>355</v>
      </c>
      <c r="B356" s="12" t="s">
        <v>551</v>
      </c>
      <c r="C356" s="12" t="s">
        <v>1053</v>
      </c>
      <c r="D356" s="12" t="s">
        <v>1047</v>
      </c>
      <c r="E356" s="12" t="s">
        <v>136</v>
      </c>
      <c r="F356" s="13" t="s">
        <v>50</v>
      </c>
      <c r="G356" s="13" t="s">
        <v>51</v>
      </c>
      <c r="H356" s="13" t="s">
        <v>52</v>
      </c>
      <c r="I356" s="13" t="s">
        <v>53</v>
      </c>
      <c r="J356" s="14">
        <v>3.42</v>
      </c>
      <c r="K356" s="17"/>
      <c r="L356" s="14" t="s">
        <v>1066</v>
      </c>
      <c r="M356" s="14" t="s">
        <v>1067</v>
      </c>
      <c r="N356" s="14" t="s">
        <v>85</v>
      </c>
      <c r="O356" s="17" t="s">
        <v>104</v>
      </c>
      <c r="P356" s="14"/>
      <c r="Q356" s="14">
        <v>12.5</v>
      </c>
      <c r="R356" s="14">
        <f>AVERAGE(12.36,20)</f>
        <v>16.18</v>
      </c>
      <c r="S356" s="14">
        <f>AVERAGE(11.01,10.57)</f>
        <v>10.79</v>
      </c>
      <c r="T356" s="14">
        <f>AVERAGE(10.58,11.6)</f>
        <v>11.09</v>
      </c>
      <c r="U356" s="19">
        <f t="shared" si="25"/>
        <v>0.79403856750573654</v>
      </c>
      <c r="V356" s="41">
        <f t="shared" si="28"/>
        <v>-20.596143249426348</v>
      </c>
      <c r="W356" s="14"/>
      <c r="X356" s="14" t="s">
        <v>56</v>
      </c>
      <c r="Z356" s="14" t="s">
        <v>56</v>
      </c>
      <c r="AA356" s="17"/>
      <c r="AB356" s="14" t="s">
        <v>111</v>
      </c>
      <c r="AC356" s="14">
        <v>1992</v>
      </c>
      <c r="AD356" s="14">
        <v>19</v>
      </c>
      <c r="AE356" s="14"/>
      <c r="AF356" s="14"/>
      <c r="AG356" s="14">
        <v>1992</v>
      </c>
      <c r="AH356" s="14">
        <f t="shared" si="26"/>
        <v>0</v>
      </c>
      <c r="AI356" s="17">
        <f t="shared" si="27"/>
        <v>19</v>
      </c>
      <c r="AJ356" s="14"/>
      <c r="AK356" s="14" t="s">
        <v>58</v>
      </c>
      <c r="AL356" s="13" t="s">
        <v>1055</v>
      </c>
      <c r="AM356" s="12">
        <v>2014</v>
      </c>
      <c r="AN356" s="12" t="s">
        <v>1056</v>
      </c>
      <c r="AO356" s="12" t="s">
        <v>58</v>
      </c>
      <c r="AP356" s="12" t="s">
        <v>1057</v>
      </c>
      <c r="AQ356" s="12" t="s">
        <v>56</v>
      </c>
      <c r="AR356" s="12" t="s">
        <v>58</v>
      </c>
      <c r="AS356" s="12" t="s">
        <v>163</v>
      </c>
      <c r="AT356" s="12"/>
      <c r="AU356" s="45" t="s">
        <v>2866</v>
      </c>
      <c r="AV356" s="15"/>
      <c r="AW356" s="12" t="str">
        <f>B356&amp;C356&amp;L356&amp;M356&amp;O356&amp;U356&amp;AL356&amp;AM356</f>
        <v>New ZealandKapiti Marine Reserve WestNotolabrus celidotusspottysize0.794038567505737Eddy2014</v>
      </c>
    </row>
    <row r="357" spans="1:49" ht="14.25" customHeight="1" x14ac:dyDescent="0.35">
      <c r="A357" s="12">
        <v>356</v>
      </c>
      <c r="B357" s="15" t="s">
        <v>551</v>
      </c>
      <c r="C357" s="12" t="s">
        <v>1053</v>
      </c>
      <c r="D357" s="12" t="s">
        <v>1047</v>
      </c>
      <c r="E357" s="15" t="s">
        <v>136</v>
      </c>
      <c r="F357" s="16" t="s">
        <v>50</v>
      </c>
      <c r="G357" s="16" t="s">
        <v>51</v>
      </c>
      <c r="H357" s="16" t="s">
        <v>52</v>
      </c>
      <c r="I357" s="16" t="s">
        <v>53</v>
      </c>
      <c r="J357" s="14">
        <v>3.42</v>
      </c>
      <c r="K357" s="17"/>
      <c r="L357" s="17" t="s">
        <v>881</v>
      </c>
      <c r="M357" s="17" t="s">
        <v>1054</v>
      </c>
      <c r="N357" s="17" t="s">
        <v>85</v>
      </c>
      <c r="O357" s="17" t="s">
        <v>70</v>
      </c>
      <c r="P357" s="17"/>
      <c r="Q357" s="17">
        <f>AVERAGE(0,0.09)*8000</f>
        <v>360</v>
      </c>
      <c r="R357" s="17">
        <f>AVERAGE(0.06,0.21)*8000</f>
        <v>1080</v>
      </c>
      <c r="S357" s="17">
        <f>AVERAGE(0.09,0.48)*8000</f>
        <v>2280</v>
      </c>
      <c r="T357" s="17">
        <f>AVERAGE(1.03,0.61)*8000</f>
        <v>6560.0000000000009</v>
      </c>
      <c r="U357" s="20">
        <f t="shared" si="25"/>
        <v>0.9590643274853804</v>
      </c>
      <c r="V357" s="22">
        <f t="shared" si="28"/>
        <v>-4.0935672514619608</v>
      </c>
      <c r="W357" s="17"/>
      <c r="X357" s="17" t="s">
        <v>56</v>
      </c>
      <c r="Y357" s="17"/>
      <c r="Z357" s="17" t="s">
        <v>56</v>
      </c>
      <c r="AA357" s="17"/>
      <c r="AB357" s="17" t="s">
        <v>111</v>
      </c>
      <c r="AC357" s="17">
        <v>1992</v>
      </c>
      <c r="AD357" s="17">
        <v>19</v>
      </c>
      <c r="AE357" s="17"/>
      <c r="AF357" s="17"/>
      <c r="AG357" s="17">
        <v>1992</v>
      </c>
      <c r="AH357" s="14">
        <f t="shared" si="26"/>
        <v>0</v>
      </c>
      <c r="AI357" s="17">
        <f t="shared" si="27"/>
        <v>19</v>
      </c>
      <c r="AJ357" s="17"/>
      <c r="AK357" s="17" t="s">
        <v>58</v>
      </c>
      <c r="AL357" s="16" t="s">
        <v>1055</v>
      </c>
      <c r="AM357" s="15">
        <v>2014</v>
      </c>
      <c r="AN357" s="15" t="s">
        <v>1056</v>
      </c>
      <c r="AO357" s="15" t="s">
        <v>58</v>
      </c>
      <c r="AP357" s="15" t="s">
        <v>1057</v>
      </c>
      <c r="AQ357" s="15" t="s">
        <v>56</v>
      </c>
      <c r="AR357" s="15" t="s">
        <v>58</v>
      </c>
      <c r="AS357" s="15" t="s">
        <v>163</v>
      </c>
      <c r="AT357" s="15"/>
      <c r="AU357" s="45" t="s">
        <v>2866</v>
      </c>
      <c r="AV357" s="15"/>
      <c r="AW357" s="12" t="str">
        <f>B357&amp;C357&amp;L357&amp;M357&amp;O357&amp;U357&amp;AL357&amp;AM357</f>
        <v>New ZealandKapiti Marine Reserve WestNotolabrus fucicolaBanded wrassebiomassden0.95906432748538Eddy2014</v>
      </c>
    </row>
    <row r="358" spans="1:49" ht="14.25" customHeight="1" x14ac:dyDescent="0.35">
      <c r="A358" s="12">
        <v>357</v>
      </c>
      <c r="B358" s="15" t="s">
        <v>551</v>
      </c>
      <c r="C358" s="15" t="s">
        <v>1053</v>
      </c>
      <c r="D358" s="15" t="s">
        <v>1047</v>
      </c>
      <c r="E358" s="15" t="s">
        <v>136</v>
      </c>
      <c r="F358" s="13" t="s">
        <v>50</v>
      </c>
      <c r="G358" s="13" t="s">
        <v>51</v>
      </c>
      <c r="H358" s="16" t="s">
        <v>52</v>
      </c>
      <c r="I358" s="16" t="s">
        <v>53</v>
      </c>
      <c r="J358" s="14">
        <v>3.42</v>
      </c>
      <c r="K358" s="17"/>
      <c r="L358" s="51" t="s">
        <v>1051</v>
      </c>
      <c r="M358" s="17" t="s">
        <v>1052</v>
      </c>
      <c r="N358" s="17" t="s">
        <v>85</v>
      </c>
      <c r="O358" s="17" t="s">
        <v>70</v>
      </c>
      <c r="P358" s="17"/>
      <c r="Q358" s="17">
        <f>AVERAGE(1.2,0)*8000</f>
        <v>4800</v>
      </c>
      <c r="R358" s="17">
        <f>AVERAGE(0.26,1.3)*8000</f>
        <v>6240</v>
      </c>
      <c r="S358" s="17">
        <f>AVERAGE(0,0.05)*8000</f>
        <v>200</v>
      </c>
      <c r="T358" s="17">
        <f>AVERAGE(1.3,0.77)*8000</f>
        <v>8280.0000000000018</v>
      </c>
      <c r="U358" s="20">
        <f t="shared" si="25"/>
        <v>31.846153846153857</v>
      </c>
      <c r="V358" s="22">
        <f t="shared" si="28"/>
        <v>3084.6153846153857</v>
      </c>
      <c r="W358" s="17"/>
      <c r="X358" s="17" t="s">
        <v>56</v>
      </c>
      <c r="Y358" s="17"/>
      <c r="Z358" s="17" t="s">
        <v>56</v>
      </c>
      <c r="AA358" s="17"/>
      <c r="AB358" s="17" t="s">
        <v>111</v>
      </c>
      <c r="AC358" s="17">
        <v>1992</v>
      </c>
      <c r="AD358" s="17">
        <v>19</v>
      </c>
      <c r="AE358" s="17"/>
      <c r="AF358" s="17"/>
      <c r="AG358" s="14">
        <v>1992</v>
      </c>
      <c r="AH358" s="14">
        <f t="shared" si="26"/>
        <v>0</v>
      </c>
      <c r="AI358" s="17">
        <f t="shared" si="27"/>
        <v>19</v>
      </c>
      <c r="AJ358" s="17"/>
      <c r="AK358" s="17" t="s">
        <v>58</v>
      </c>
      <c r="AL358" s="16" t="s">
        <v>1055</v>
      </c>
      <c r="AM358" s="15">
        <v>2014</v>
      </c>
      <c r="AN358" s="12" t="s">
        <v>1056</v>
      </c>
      <c r="AO358" s="15" t="s">
        <v>58</v>
      </c>
      <c r="AP358" s="15" t="s">
        <v>1057</v>
      </c>
      <c r="AQ358" s="15" t="s">
        <v>56</v>
      </c>
      <c r="AR358" s="15" t="s">
        <v>58</v>
      </c>
      <c r="AS358" s="15" t="s">
        <v>163</v>
      </c>
      <c r="AT358" s="15"/>
      <c r="AU358" s="45" t="s">
        <v>2866</v>
      </c>
      <c r="AV358" s="15"/>
      <c r="AW358" s="12" t="str">
        <f>B358&amp;C358&amp;L358&amp;M358&amp;O358&amp;U358&amp;AL358&amp;AM358</f>
        <v>New ZealandKapiti Marine Reserve WestParapercis coliasblue codbiomassden31.8461538461539Eddy2014</v>
      </c>
    </row>
    <row r="359" spans="1:49" ht="14.25" customHeight="1" x14ac:dyDescent="0.35">
      <c r="A359" s="12">
        <v>358</v>
      </c>
      <c r="B359" s="15" t="s">
        <v>551</v>
      </c>
      <c r="C359" s="15" t="s">
        <v>1053</v>
      </c>
      <c r="D359" s="15" t="s">
        <v>1047</v>
      </c>
      <c r="E359" s="15" t="s">
        <v>136</v>
      </c>
      <c r="F359" s="13" t="s">
        <v>50</v>
      </c>
      <c r="G359" s="13" t="s">
        <v>51</v>
      </c>
      <c r="H359" s="16" t="s">
        <v>52</v>
      </c>
      <c r="I359" s="16" t="s">
        <v>53</v>
      </c>
      <c r="J359" s="14">
        <v>3.42</v>
      </c>
      <c r="K359" s="17"/>
      <c r="L359" s="17" t="s">
        <v>1058</v>
      </c>
      <c r="M359" s="17" t="s">
        <v>1059</v>
      </c>
      <c r="N359" s="17" t="s">
        <v>85</v>
      </c>
      <c r="O359" s="17" t="s">
        <v>70</v>
      </c>
      <c r="P359" s="17"/>
      <c r="Q359" s="17">
        <f>AVERAGE(0.41,0)*8000</f>
        <v>1640</v>
      </c>
      <c r="R359" s="17">
        <f>AVERAGE(0.56,0.31)*8000</f>
        <v>3480.0000000000005</v>
      </c>
      <c r="S359" s="17">
        <f>AVERAGE(0,0.08)*8000</f>
        <v>320</v>
      </c>
      <c r="T359" s="17">
        <f>AVERAGE(0.17,0.14)*8000</f>
        <v>1240.0000000000002</v>
      </c>
      <c r="U359" s="20">
        <f t="shared" si="25"/>
        <v>1.8261494252873562</v>
      </c>
      <c r="V359" s="22">
        <f t="shared" si="28"/>
        <v>82.614942528735625</v>
      </c>
      <c r="W359" s="17"/>
      <c r="X359" s="17" t="s">
        <v>56</v>
      </c>
      <c r="Y359" s="17"/>
      <c r="Z359" s="17" t="s">
        <v>56</v>
      </c>
      <c r="AA359" s="17"/>
      <c r="AB359" s="17" t="s">
        <v>111</v>
      </c>
      <c r="AC359" s="17">
        <v>1992</v>
      </c>
      <c r="AD359" s="17">
        <v>19</v>
      </c>
      <c r="AE359" s="17"/>
      <c r="AF359" s="17"/>
      <c r="AG359" s="14">
        <v>1992</v>
      </c>
      <c r="AH359" s="14">
        <f t="shared" si="26"/>
        <v>0</v>
      </c>
      <c r="AI359" s="17">
        <f t="shared" si="27"/>
        <v>19</v>
      </c>
      <c r="AJ359" s="17"/>
      <c r="AK359" s="17" t="s">
        <v>58</v>
      </c>
      <c r="AL359" s="16" t="s">
        <v>1055</v>
      </c>
      <c r="AM359" s="15">
        <v>2014</v>
      </c>
      <c r="AN359" s="12" t="s">
        <v>1056</v>
      </c>
      <c r="AO359" s="15" t="s">
        <v>58</v>
      </c>
      <c r="AP359" s="15" t="s">
        <v>1057</v>
      </c>
      <c r="AQ359" s="15" t="s">
        <v>56</v>
      </c>
      <c r="AR359" s="15" t="s">
        <v>58</v>
      </c>
      <c r="AS359" s="15" t="s">
        <v>163</v>
      </c>
      <c r="AT359" s="15"/>
      <c r="AU359" s="45" t="s">
        <v>2866</v>
      </c>
      <c r="AV359" s="15"/>
      <c r="AW359" s="12" t="str">
        <f>B359&amp;C359&amp;L359&amp;M359&amp;O359&amp;U359&amp;AL359&amp;AM359</f>
        <v>New ZealandKapiti Marine Reserve WestLatridopsis ciliarisblue mokibiomassden1.82614942528736Eddy2014</v>
      </c>
    </row>
    <row r="360" spans="1:49" ht="14.25" customHeight="1" x14ac:dyDescent="0.35">
      <c r="A360" s="12">
        <v>359</v>
      </c>
      <c r="B360" s="15" t="s">
        <v>551</v>
      </c>
      <c r="C360" s="15" t="s">
        <v>1053</v>
      </c>
      <c r="D360" s="15" t="s">
        <v>1047</v>
      </c>
      <c r="E360" s="12" t="s">
        <v>136</v>
      </c>
      <c r="F360" s="13" t="s">
        <v>50</v>
      </c>
      <c r="G360" s="13" t="s">
        <v>51</v>
      </c>
      <c r="H360" s="16" t="s">
        <v>52</v>
      </c>
      <c r="I360" s="16" t="s">
        <v>53</v>
      </c>
      <c r="J360" s="14">
        <v>3.42</v>
      </c>
      <c r="K360" s="17"/>
      <c r="L360" s="17" t="s">
        <v>1060</v>
      </c>
      <c r="M360" s="17" t="s">
        <v>1061</v>
      </c>
      <c r="N360" s="17" t="s">
        <v>85</v>
      </c>
      <c r="O360" s="17" t="s">
        <v>70</v>
      </c>
      <c r="P360" s="17"/>
      <c r="Q360" s="17">
        <f>AVERAGE(0.15,0.01)*8000</f>
        <v>640</v>
      </c>
      <c r="R360" s="17">
        <f>AVERAGE(0.27,0.25)*8000</f>
        <v>2080</v>
      </c>
      <c r="S360" s="17">
        <f>AVERAGE(1.81,2.03)*8000</f>
        <v>15360</v>
      </c>
      <c r="T360" s="17">
        <f>AVERAGE(6.4,4.79)*8000</f>
        <v>44760.000000000007</v>
      </c>
      <c r="U360" s="19">
        <f t="shared" si="25"/>
        <v>0.89663461538461553</v>
      </c>
      <c r="V360" s="41">
        <f t="shared" si="28"/>
        <v>-10.336538461538447</v>
      </c>
      <c r="W360" s="14"/>
      <c r="X360" s="17" t="s">
        <v>56</v>
      </c>
      <c r="Y360" s="17"/>
      <c r="Z360" s="17" t="s">
        <v>56</v>
      </c>
      <c r="AA360" s="17"/>
      <c r="AB360" s="17" t="s">
        <v>111</v>
      </c>
      <c r="AC360" s="17">
        <v>1992</v>
      </c>
      <c r="AD360" s="17">
        <v>19</v>
      </c>
      <c r="AE360" s="17"/>
      <c r="AF360" s="17"/>
      <c r="AG360" s="14">
        <v>1992</v>
      </c>
      <c r="AH360" s="14">
        <f t="shared" si="26"/>
        <v>0</v>
      </c>
      <c r="AI360" s="17">
        <f t="shared" si="27"/>
        <v>19</v>
      </c>
      <c r="AJ360" s="17"/>
      <c r="AK360" s="17" t="s">
        <v>58</v>
      </c>
      <c r="AL360" s="16" t="s">
        <v>1055</v>
      </c>
      <c r="AM360" s="15">
        <v>2014</v>
      </c>
      <c r="AN360" s="12" t="s">
        <v>1056</v>
      </c>
      <c r="AO360" s="15" t="s">
        <v>58</v>
      </c>
      <c r="AP360" s="15" t="s">
        <v>1057</v>
      </c>
      <c r="AQ360" s="15" t="s">
        <v>56</v>
      </c>
      <c r="AR360" s="15" t="s">
        <v>58</v>
      </c>
      <c r="AS360" s="15" t="s">
        <v>163</v>
      </c>
      <c r="AT360" s="12"/>
      <c r="AU360" s="45" t="s">
        <v>2866</v>
      </c>
      <c r="AV360" s="15"/>
      <c r="AW360" s="12" t="str">
        <f>B360&amp;C360&amp;L360&amp;M360&amp;O360&amp;U360&amp;AL360&amp;AM360</f>
        <v>New ZealandKapiti Marine Reserve WestOdax pullusButterfishbiomassden0.896634615384616Eddy2014</v>
      </c>
    </row>
    <row r="361" spans="1:49" ht="14.25" customHeight="1" x14ac:dyDescent="0.35">
      <c r="A361" s="12">
        <v>360</v>
      </c>
      <c r="B361" s="12" t="s">
        <v>551</v>
      </c>
      <c r="C361" s="15" t="s">
        <v>1053</v>
      </c>
      <c r="D361" s="15" t="s">
        <v>1047</v>
      </c>
      <c r="E361" s="15" t="s">
        <v>136</v>
      </c>
      <c r="F361" s="13" t="s">
        <v>50</v>
      </c>
      <c r="G361" s="13" t="s">
        <v>51</v>
      </c>
      <c r="H361" s="16" t="s">
        <v>52</v>
      </c>
      <c r="I361" s="16" t="s">
        <v>53</v>
      </c>
      <c r="J361" s="14">
        <v>3.42</v>
      </c>
      <c r="K361" s="17"/>
      <c r="L361" s="17" t="s">
        <v>1062</v>
      </c>
      <c r="M361" s="17" t="s">
        <v>1063</v>
      </c>
      <c r="N361" s="17" t="s">
        <v>85</v>
      </c>
      <c r="O361" s="17" t="s">
        <v>70</v>
      </c>
      <c r="P361" s="17"/>
      <c r="Q361" s="17">
        <v>0</v>
      </c>
      <c r="R361" s="17">
        <f>AVERAGE(1.08,0)*8000</f>
        <v>4320</v>
      </c>
      <c r="S361" s="17">
        <f>AVERAGE(0.43,0.24)*8000</f>
        <v>2679.9999999999995</v>
      </c>
      <c r="T361" s="17">
        <f>AVERAGE(0.31,0.51)*8000</f>
        <v>3280.0000000000005</v>
      </c>
      <c r="U361" s="20" t="str">
        <f t="shared" si="25"/>
        <v>N/A</v>
      </c>
      <c r="V361" s="22" t="str">
        <f t="shared" si="28"/>
        <v>N/A</v>
      </c>
      <c r="W361" s="17"/>
      <c r="X361" s="17" t="s">
        <v>56</v>
      </c>
      <c r="Y361" s="17"/>
      <c r="Z361" s="17" t="s">
        <v>56</v>
      </c>
      <c r="AA361" s="17"/>
      <c r="AB361" s="17" t="s">
        <v>111</v>
      </c>
      <c r="AC361" s="17">
        <v>1992</v>
      </c>
      <c r="AD361" s="17">
        <v>19</v>
      </c>
      <c r="AE361" s="17"/>
      <c r="AF361" s="17"/>
      <c r="AG361" s="14">
        <v>1992</v>
      </c>
      <c r="AH361" s="14">
        <f t="shared" si="26"/>
        <v>0</v>
      </c>
      <c r="AI361" s="17">
        <f t="shared" si="27"/>
        <v>19</v>
      </c>
      <c r="AJ361" s="17"/>
      <c r="AK361" s="17" t="s">
        <v>58</v>
      </c>
      <c r="AL361" s="16" t="s">
        <v>1055</v>
      </c>
      <c r="AM361" s="15">
        <v>2014</v>
      </c>
      <c r="AN361" s="12" t="s">
        <v>1056</v>
      </c>
      <c r="AO361" s="15" t="s">
        <v>58</v>
      </c>
      <c r="AP361" s="15" t="s">
        <v>1057</v>
      </c>
      <c r="AQ361" s="15" t="s">
        <v>56</v>
      </c>
      <c r="AR361" s="15" t="s">
        <v>58</v>
      </c>
      <c r="AS361" s="15" t="s">
        <v>163</v>
      </c>
      <c r="AT361" s="15"/>
      <c r="AU361" s="45" t="s">
        <v>2866</v>
      </c>
      <c r="AV361" s="15"/>
      <c r="AW361" s="12" t="str">
        <f>B361&amp;C361&amp;L361&amp;M361&amp;O361&amp;U361&amp;AL361&amp;AM361</f>
        <v>New ZealandKapiti Marine Reserve WestCheilodactylus spectabilisred mokibiomassdenN/AEddy2014</v>
      </c>
    </row>
    <row r="362" spans="1:49" ht="14.25" customHeight="1" x14ac:dyDescent="0.35">
      <c r="A362" s="12">
        <v>361</v>
      </c>
      <c r="B362" s="12" t="s">
        <v>551</v>
      </c>
      <c r="C362" s="15" t="s">
        <v>1053</v>
      </c>
      <c r="D362" s="15" t="s">
        <v>1047</v>
      </c>
      <c r="E362" s="12" t="s">
        <v>136</v>
      </c>
      <c r="F362" s="13" t="s">
        <v>50</v>
      </c>
      <c r="G362" s="13" t="s">
        <v>51</v>
      </c>
      <c r="H362" s="16" t="s">
        <v>52</v>
      </c>
      <c r="I362" s="16" t="s">
        <v>53</v>
      </c>
      <c r="J362" s="14">
        <v>3.42</v>
      </c>
      <c r="K362" s="17"/>
      <c r="L362" s="17" t="s">
        <v>1064</v>
      </c>
      <c r="M362" s="17" t="s">
        <v>1065</v>
      </c>
      <c r="N362" s="17" t="s">
        <v>85</v>
      </c>
      <c r="O362" s="17" t="s">
        <v>70</v>
      </c>
      <c r="P362" s="17"/>
      <c r="Q362" s="17">
        <f>AVERAGE(0.99,0.1)*8000</f>
        <v>4360</v>
      </c>
      <c r="R362" s="17">
        <f>AVERAGE(0.23,0.68)*8000</f>
        <v>3640</v>
      </c>
      <c r="S362" s="17">
        <f>AVERAGE(0.04,0.1)*8000</f>
        <v>560</v>
      </c>
      <c r="T362" s="17">
        <f>AVERAGE(0.46,0.12)*8000</f>
        <v>2320.0000000000005</v>
      </c>
      <c r="U362" s="19">
        <f t="shared" si="25"/>
        <v>4.962323390894821</v>
      </c>
      <c r="V362" s="41">
        <f t="shared" si="28"/>
        <v>396.23233908948208</v>
      </c>
      <c r="W362" s="14"/>
      <c r="X362" s="17" t="s">
        <v>56</v>
      </c>
      <c r="Y362" s="17"/>
      <c r="Z362" s="17" t="s">
        <v>56</v>
      </c>
      <c r="AA362" s="17"/>
      <c r="AB362" s="17" t="s">
        <v>111</v>
      </c>
      <c r="AC362" s="17">
        <v>1992</v>
      </c>
      <c r="AD362" s="17">
        <v>19</v>
      </c>
      <c r="AE362" s="17"/>
      <c r="AF362" s="17"/>
      <c r="AG362" s="14">
        <v>1992</v>
      </c>
      <c r="AH362" s="14">
        <f t="shared" si="26"/>
        <v>0</v>
      </c>
      <c r="AI362" s="17">
        <f t="shared" si="27"/>
        <v>19</v>
      </c>
      <c r="AJ362" s="17"/>
      <c r="AK362" s="17" t="s">
        <v>58</v>
      </c>
      <c r="AL362" s="16" t="s">
        <v>1055</v>
      </c>
      <c r="AM362" s="15">
        <v>2014</v>
      </c>
      <c r="AN362" s="12" t="s">
        <v>1056</v>
      </c>
      <c r="AO362" s="15" t="s">
        <v>58</v>
      </c>
      <c r="AP362" s="15" t="s">
        <v>1057</v>
      </c>
      <c r="AQ362" s="15" t="s">
        <v>56</v>
      </c>
      <c r="AR362" s="15" t="s">
        <v>58</v>
      </c>
      <c r="AS362" s="15" t="s">
        <v>163</v>
      </c>
      <c r="AT362" s="12"/>
      <c r="AU362" s="45" t="s">
        <v>2866</v>
      </c>
      <c r="AV362" s="15"/>
      <c r="AW362" s="12" t="str">
        <f>B362&amp;C362&amp;L362&amp;M362&amp;O362&amp;U362&amp;AL362&amp;AM362</f>
        <v>New ZealandKapiti Marine Reserve WestPseudolabrus milesscarlet wrassebiomassden4.96232339089482Eddy2014</v>
      </c>
    </row>
    <row r="363" spans="1:49" ht="14.25" customHeight="1" x14ac:dyDescent="0.35">
      <c r="A363" s="12">
        <v>362</v>
      </c>
      <c r="B363" s="12" t="s">
        <v>551</v>
      </c>
      <c r="C363" s="15" t="s">
        <v>1053</v>
      </c>
      <c r="D363" s="15" t="s">
        <v>1047</v>
      </c>
      <c r="E363" s="12" t="s">
        <v>136</v>
      </c>
      <c r="F363" s="13" t="s">
        <v>50</v>
      </c>
      <c r="G363" s="13" t="s">
        <v>51</v>
      </c>
      <c r="H363" s="16" t="s">
        <v>52</v>
      </c>
      <c r="I363" s="16" t="s">
        <v>53</v>
      </c>
      <c r="J363" s="14">
        <v>3.42</v>
      </c>
      <c r="K363" s="17"/>
      <c r="L363" s="17" t="s">
        <v>1066</v>
      </c>
      <c r="M363" s="17" t="s">
        <v>1067</v>
      </c>
      <c r="N363" s="17" t="s">
        <v>85</v>
      </c>
      <c r="O363" s="17" t="s">
        <v>70</v>
      </c>
      <c r="P363" s="17"/>
      <c r="Q363" s="17">
        <f>AVERAGE(0.03,0.2)*8000</f>
        <v>920</v>
      </c>
      <c r="R363" s="17">
        <f>AVERAGE(0.1,1.36)*8000</f>
        <v>5840.0000000000009</v>
      </c>
      <c r="S363" s="17">
        <f>AVERAGE(0.05,0.15)*8000</f>
        <v>800</v>
      </c>
      <c r="T363" s="17">
        <f>AVERAGE(0.26,0.07)*8000</f>
        <v>1320</v>
      </c>
      <c r="U363" s="19">
        <f t="shared" si="25"/>
        <v>0.25993150684931504</v>
      </c>
      <c r="V363" s="41">
        <f t="shared" si="28"/>
        <v>-74.006849315068493</v>
      </c>
      <c r="W363" s="14"/>
      <c r="X363" s="17" t="s">
        <v>56</v>
      </c>
      <c r="Y363" s="17"/>
      <c r="Z363" s="17" t="s">
        <v>56</v>
      </c>
      <c r="AA363" s="17"/>
      <c r="AB363" s="17" t="s">
        <v>111</v>
      </c>
      <c r="AC363" s="17">
        <v>1992</v>
      </c>
      <c r="AD363" s="17">
        <v>19</v>
      </c>
      <c r="AE363" s="17"/>
      <c r="AF363" s="17"/>
      <c r="AG363" s="14">
        <v>1992</v>
      </c>
      <c r="AH363" s="14">
        <f t="shared" si="26"/>
        <v>0</v>
      </c>
      <c r="AI363" s="17">
        <f t="shared" si="27"/>
        <v>19</v>
      </c>
      <c r="AJ363" s="17"/>
      <c r="AK363" s="17" t="s">
        <v>58</v>
      </c>
      <c r="AL363" s="16" t="s">
        <v>1055</v>
      </c>
      <c r="AM363" s="15">
        <v>2014</v>
      </c>
      <c r="AN363" s="12" t="s">
        <v>1056</v>
      </c>
      <c r="AO363" s="15" t="s">
        <v>58</v>
      </c>
      <c r="AP363" s="15" t="s">
        <v>1057</v>
      </c>
      <c r="AQ363" s="15" t="s">
        <v>56</v>
      </c>
      <c r="AR363" s="15" t="s">
        <v>58</v>
      </c>
      <c r="AS363" s="15" t="s">
        <v>163</v>
      </c>
      <c r="AT363" s="12"/>
      <c r="AU363" s="45" t="s">
        <v>2866</v>
      </c>
      <c r="AV363" s="15"/>
      <c r="AW363" s="12" t="str">
        <f>B363&amp;C363&amp;L363&amp;M363&amp;O363&amp;U363&amp;AL363&amp;AM363</f>
        <v>New ZealandKapiti Marine Reserve WestNotolabrus celidotusspottybiomassden0.259931506849315Eddy2014</v>
      </c>
    </row>
    <row r="364" spans="1:49" ht="14.25" customHeight="1" x14ac:dyDescent="0.35">
      <c r="A364" s="12">
        <v>363</v>
      </c>
      <c r="B364" s="12" t="s">
        <v>153</v>
      </c>
      <c r="C364" s="15" t="s">
        <v>423</v>
      </c>
      <c r="D364" s="15" t="s">
        <v>423</v>
      </c>
      <c r="E364" s="15" t="s">
        <v>171</v>
      </c>
      <c r="F364" s="13" t="s">
        <v>50</v>
      </c>
      <c r="G364" s="13" t="s">
        <v>51</v>
      </c>
      <c r="H364" s="16" t="s">
        <v>52</v>
      </c>
      <c r="I364" s="16" t="s">
        <v>156</v>
      </c>
      <c r="J364" s="14">
        <v>0.08</v>
      </c>
      <c r="K364" s="17"/>
      <c r="L364" s="17" t="s">
        <v>185</v>
      </c>
      <c r="M364" s="17" t="s">
        <v>186</v>
      </c>
      <c r="N364" s="17" t="s">
        <v>288</v>
      </c>
      <c r="O364" s="17" t="s">
        <v>101</v>
      </c>
      <c r="P364" s="17"/>
      <c r="Q364" s="17"/>
      <c r="R364" s="17"/>
      <c r="S364" s="17">
        <v>22.8</v>
      </c>
      <c r="T364" s="17">
        <v>17.8</v>
      </c>
      <c r="U364" s="20">
        <f t="shared" si="25"/>
        <v>0.7807017543859649</v>
      </c>
      <c r="V364" s="22">
        <f t="shared" si="28"/>
        <v>-21.92982456140351</v>
      </c>
      <c r="W364" s="17"/>
      <c r="X364" s="17" t="s">
        <v>56</v>
      </c>
      <c r="Y364" s="17"/>
      <c r="Z364" s="17" t="s">
        <v>56</v>
      </c>
      <c r="AA364" s="17"/>
      <c r="AB364" s="17" t="s">
        <v>57</v>
      </c>
      <c r="AC364" s="17">
        <v>2006</v>
      </c>
      <c r="AD364" s="17">
        <v>0</v>
      </c>
      <c r="AE364" s="17"/>
      <c r="AF364" s="17"/>
      <c r="AG364" s="14">
        <v>2006</v>
      </c>
      <c r="AH364" s="14">
        <f t="shared" si="26"/>
        <v>0</v>
      </c>
      <c r="AI364" s="17">
        <f t="shared" si="27"/>
        <v>0</v>
      </c>
      <c r="AJ364" s="17"/>
      <c r="AK364" s="17" t="s">
        <v>56</v>
      </c>
      <c r="AL364" s="16" t="s">
        <v>289</v>
      </c>
      <c r="AM364" s="17">
        <v>2009</v>
      </c>
      <c r="AN364" s="12" t="s">
        <v>183</v>
      </c>
      <c r="AO364" s="15" t="s">
        <v>56</v>
      </c>
      <c r="AP364" s="15"/>
      <c r="AQ364" s="15" t="s">
        <v>56</v>
      </c>
      <c r="AR364" s="15" t="s">
        <v>58</v>
      </c>
      <c r="AS364" s="15" t="s">
        <v>83</v>
      </c>
      <c r="AT364" s="15"/>
      <c r="AU364" s="45" t="s">
        <v>290</v>
      </c>
      <c r="AV364" s="15"/>
      <c r="AW364" s="12" t="str">
        <f>B364&amp;C364&amp;L364&amp;M364&amp;O364&amp;U364&amp;AL364&amp;AM364</f>
        <v>PhilippinesBasak Marine ReserveScleractiniahard coralcover0.780701754385965Stockwell2009</v>
      </c>
    </row>
    <row r="365" spans="1:49" ht="14.25" customHeight="1" x14ac:dyDescent="0.35">
      <c r="A365" s="12">
        <v>364</v>
      </c>
      <c r="B365" s="12" t="s">
        <v>153</v>
      </c>
      <c r="C365" s="15" t="s">
        <v>423</v>
      </c>
      <c r="D365" s="15" t="s">
        <v>423</v>
      </c>
      <c r="E365" s="12" t="s">
        <v>171</v>
      </c>
      <c r="F365" s="13" t="s">
        <v>50</v>
      </c>
      <c r="G365" s="13" t="s">
        <v>51</v>
      </c>
      <c r="H365" s="16" t="s">
        <v>52</v>
      </c>
      <c r="I365" s="16" t="s">
        <v>156</v>
      </c>
      <c r="J365" s="14">
        <v>0.08</v>
      </c>
      <c r="K365" s="17"/>
      <c r="L365" s="17"/>
      <c r="M365" s="17" t="s">
        <v>291</v>
      </c>
      <c r="N365" s="53" t="s">
        <v>98</v>
      </c>
      <c r="O365" s="17" t="s">
        <v>101</v>
      </c>
      <c r="P365" s="17"/>
      <c r="Q365" s="17"/>
      <c r="R365" s="17"/>
      <c r="S365" s="17">
        <v>13.7</v>
      </c>
      <c r="T365" s="17">
        <v>9.6</v>
      </c>
      <c r="U365" s="19">
        <f t="shared" si="25"/>
        <v>0.7007299270072993</v>
      </c>
      <c r="V365" s="41">
        <f t="shared" si="28"/>
        <v>-29.92700729927007</v>
      </c>
      <c r="W365" s="14"/>
      <c r="X365" s="17" t="s">
        <v>56</v>
      </c>
      <c r="Y365" s="17"/>
      <c r="Z365" s="17" t="s">
        <v>56</v>
      </c>
      <c r="AA365" s="17"/>
      <c r="AB365" s="17" t="s">
        <v>57</v>
      </c>
      <c r="AC365" s="17">
        <v>2006</v>
      </c>
      <c r="AD365" s="17">
        <v>0</v>
      </c>
      <c r="AE365" s="17"/>
      <c r="AF365" s="17"/>
      <c r="AG365" s="14">
        <v>2006</v>
      </c>
      <c r="AH365" s="14">
        <f t="shared" si="26"/>
        <v>0</v>
      </c>
      <c r="AI365" s="17">
        <f t="shared" si="27"/>
        <v>0</v>
      </c>
      <c r="AJ365" s="17"/>
      <c r="AK365" s="17" t="s">
        <v>56</v>
      </c>
      <c r="AL365" s="16" t="s">
        <v>289</v>
      </c>
      <c r="AM365" s="17">
        <v>2009</v>
      </c>
      <c r="AN365" s="12" t="s">
        <v>183</v>
      </c>
      <c r="AO365" s="15" t="s">
        <v>56</v>
      </c>
      <c r="AP365" s="15"/>
      <c r="AQ365" s="15" t="s">
        <v>56</v>
      </c>
      <c r="AR365" s="15" t="s">
        <v>58</v>
      </c>
      <c r="AS365" s="15" t="s">
        <v>83</v>
      </c>
      <c r="AT365" s="12"/>
      <c r="AU365" s="45" t="s">
        <v>290</v>
      </c>
      <c r="AV365" s="15"/>
      <c r="AW365" s="12" t="str">
        <f>B365&amp;C365&amp;L365&amp;M365&amp;O365&amp;U365&amp;AL365&amp;AM365</f>
        <v>PhilippinesBasak Marine ReserveMacroalgaecover0.700729927007299Stockwell2009</v>
      </c>
    </row>
    <row r="366" spans="1:49" ht="14.25" customHeight="1" x14ac:dyDescent="0.35">
      <c r="A366" s="12">
        <v>365</v>
      </c>
      <c r="B366" s="12" t="s">
        <v>153</v>
      </c>
      <c r="C366" s="15" t="s">
        <v>423</v>
      </c>
      <c r="D366" s="15" t="s">
        <v>423</v>
      </c>
      <c r="E366" s="12" t="s">
        <v>171</v>
      </c>
      <c r="F366" s="13" t="s">
        <v>50</v>
      </c>
      <c r="G366" s="13" t="s">
        <v>51</v>
      </c>
      <c r="H366" s="16" t="s">
        <v>52</v>
      </c>
      <c r="I366" s="16" t="s">
        <v>156</v>
      </c>
      <c r="J366" s="14">
        <v>0.08</v>
      </c>
      <c r="K366" s="17"/>
      <c r="L366" s="17"/>
      <c r="M366" s="17" t="s">
        <v>292</v>
      </c>
      <c r="N366" s="53" t="s">
        <v>98</v>
      </c>
      <c r="O366" s="17" t="s">
        <v>70</v>
      </c>
      <c r="P366" s="17"/>
      <c r="Q366" s="17"/>
      <c r="R366" s="17"/>
      <c r="S366" s="17">
        <v>0.6</v>
      </c>
      <c r="T366" s="17">
        <v>0.7</v>
      </c>
      <c r="U366" s="19">
        <f t="shared" si="25"/>
        <v>1.1666666666666667</v>
      </c>
      <c r="V366" s="41">
        <f t="shared" si="28"/>
        <v>16.666666666666675</v>
      </c>
      <c r="W366" s="14"/>
      <c r="X366" s="17" t="s">
        <v>56</v>
      </c>
      <c r="Y366" s="17"/>
      <c r="Z366" s="17" t="s">
        <v>56</v>
      </c>
      <c r="AA366" s="17"/>
      <c r="AB366" s="17" t="s">
        <v>57</v>
      </c>
      <c r="AC366" s="17">
        <v>2006</v>
      </c>
      <c r="AD366" s="17">
        <v>0</v>
      </c>
      <c r="AE366" s="17"/>
      <c r="AF366" s="17"/>
      <c r="AG366" s="14">
        <v>2006</v>
      </c>
      <c r="AH366" s="14">
        <f t="shared" si="26"/>
        <v>0</v>
      </c>
      <c r="AI366" s="17">
        <f t="shared" si="27"/>
        <v>0</v>
      </c>
      <c r="AJ366" s="17"/>
      <c r="AK366" s="17" t="s">
        <v>56</v>
      </c>
      <c r="AL366" s="16" t="s">
        <v>289</v>
      </c>
      <c r="AM366" s="17">
        <v>2009</v>
      </c>
      <c r="AN366" s="12" t="s">
        <v>183</v>
      </c>
      <c r="AO366" s="15" t="s">
        <v>56</v>
      </c>
      <c r="AP366" s="15"/>
      <c r="AQ366" s="15" t="s">
        <v>56</v>
      </c>
      <c r="AR366" s="15" t="s">
        <v>58</v>
      </c>
      <c r="AS366" s="15" t="s">
        <v>83</v>
      </c>
      <c r="AT366" s="12"/>
      <c r="AU366" s="45" t="s">
        <v>293</v>
      </c>
      <c r="AV366" s="15"/>
      <c r="AW366" s="12" t="str">
        <f>B366&amp;C366&amp;L366&amp;M366&amp;O366&amp;U366&amp;AL366&amp;AM366</f>
        <v>PhilippinesBasak Marine ReserveHerbivorous fishbiomassden1.16666666666667Stockwell2009</v>
      </c>
    </row>
    <row r="367" spans="1:49" ht="14.25" customHeight="1" x14ac:dyDescent="0.35">
      <c r="A367" s="12">
        <v>366</v>
      </c>
      <c r="B367" s="12" t="s">
        <v>153</v>
      </c>
      <c r="C367" s="15" t="s">
        <v>1264</v>
      </c>
      <c r="D367" s="15" t="s">
        <v>1264</v>
      </c>
      <c r="E367" s="12" t="s">
        <v>171</v>
      </c>
      <c r="F367" s="13" t="s">
        <v>50</v>
      </c>
      <c r="G367" s="13" t="s">
        <v>51</v>
      </c>
      <c r="H367" s="16" t="s">
        <v>52</v>
      </c>
      <c r="I367" s="16" t="s">
        <v>156</v>
      </c>
      <c r="J367" s="14">
        <v>12</v>
      </c>
      <c r="K367" s="17"/>
      <c r="L367" s="17" t="s">
        <v>185</v>
      </c>
      <c r="M367" s="17" t="s">
        <v>186</v>
      </c>
      <c r="N367" s="17" t="s">
        <v>288</v>
      </c>
      <c r="O367" s="14" t="s">
        <v>101</v>
      </c>
      <c r="P367" s="17"/>
      <c r="Q367" s="17"/>
      <c r="R367" s="17"/>
      <c r="S367" s="17">
        <v>10.8</v>
      </c>
      <c r="T367" s="17">
        <v>30.7</v>
      </c>
      <c r="U367" s="19">
        <f t="shared" si="25"/>
        <v>2.8425925925925926</v>
      </c>
      <c r="V367" s="41">
        <f t="shared" si="28"/>
        <v>184.25925925925927</v>
      </c>
      <c r="W367" s="14"/>
      <c r="X367" s="17" t="s">
        <v>56</v>
      </c>
      <c r="Y367" s="17"/>
      <c r="Z367" s="17" t="s">
        <v>56</v>
      </c>
      <c r="AA367" s="17"/>
      <c r="AB367" s="17" t="s">
        <v>57</v>
      </c>
      <c r="AC367" s="17">
        <v>2007</v>
      </c>
      <c r="AD367" s="17">
        <v>0</v>
      </c>
      <c r="AE367" s="17"/>
      <c r="AF367" s="17"/>
      <c r="AG367" s="14">
        <v>2006</v>
      </c>
      <c r="AH367" s="14">
        <f t="shared" si="26"/>
        <v>1</v>
      </c>
      <c r="AI367" s="17">
        <f t="shared" si="27"/>
        <v>1</v>
      </c>
      <c r="AJ367" s="17"/>
      <c r="AK367" s="17" t="s">
        <v>56</v>
      </c>
      <c r="AL367" s="16" t="s">
        <v>289</v>
      </c>
      <c r="AM367" s="17">
        <v>2009</v>
      </c>
      <c r="AN367" s="12" t="s">
        <v>183</v>
      </c>
      <c r="AO367" s="15" t="s">
        <v>56</v>
      </c>
      <c r="AP367" s="15"/>
      <c r="AQ367" s="15" t="s">
        <v>56</v>
      </c>
      <c r="AR367" s="15" t="s">
        <v>58</v>
      </c>
      <c r="AS367" s="15" t="s">
        <v>83</v>
      </c>
      <c r="AT367" s="12"/>
      <c r="AU367" s="45" t="s">
        <v>290</v>
      </c>
      <c r="AV367" s="15"/>
      <c r="AW367" s="12" t="str">
        <f>B367&amp;C367&amp;L367&amp;M367&amp;O367&amp;U367&amp;AL367&amp;AM367</f>
        <v>PhilippinesLutoban Marine ReserveScleractiniahard coralcover2.84259259259259Stockwell2009</v>
      </c>
    </row>
    <row r="368" spans="1:49" ht="14.25" customHeight="1" x14ac:dyDescent="0.35">
      <c r="A368" s="12">
        <v>367</v>
      </c>
      <c r="B368" s="12" t="s">
        <v>153</v>
      </c>
      <c r="C368" s="15" t="s">
        <v>1264</v>
      </c>
      <c r="D368" s="15" t="s">
        <v>1264</v>
      </c>
      <c r="E368" s="15" t="s">
        <v>171</v>
      </c>
      <c r="F368" s="16" t="s">
        <v>50</v>
      </c>
      <c r="G368" s="16" t="s">
        <v>51</v>
      </c>
      <c r="H368" s="16" t="s">
        <v>52</v>
      </c>
      <c r="I368" s="16" t="s">
        <v>156</v>
      </c>
      <c r="J368" s="14">
        <v>12</v>
      </c>
      <c r="K368" s="17"/>
      <c r="L368" s="17"/>
      <c r="M368" s="17" t="s">
        <v>291</v>
      </c>
      <c r="N368" s="53" t="s">
        <v>98</v>
      </c>
      <c r="O368" s="17" t="s">
        <v>101</v>
      </c>
      <c r="P368" s="17"/>
      <c r="Q368" s="17"/>
      <c r="R368" s="17"/>
      <c r="S368" s="17">
        <v>17.7</v>
      </c>
      <c r="T368" s="17">
        <v>13.2</v>
      </c>
      <c r="U368" s="20">
        <f t="shared" si="25"/>
        <v>0.74576271186440679</v>
      </c>
      <c r="V368" s="22">
        <f t="shared" si="28"/>
        <v>-25.423728813559322</v>
      </c>
      <c r="W368" s="17"/>
      <c r="X368" s="17" t="s">
        <v>56</v>
      </c>
      <c r="Y368" s="17"/>
      <c r="Z368" s="17" t="s">
        <v>56</v>
      </c>
      <c r="AA368" s="17"/>
      <c r="AB368" s="17" t="s">
        <v>57</v>
      </c>
      <c r="AC368" s="17">
        <v>2007</v>
      </c>
      <c r="AD368" s="17">
        <v>0</v>
      </c>
      <c r="AE368" s="17"/>
      <c r="AF368" s="17"/>
      <c r="AG368" s="17">
        <v>2006</v>
      </c>
      <c r="AH368" s="14">
        <f t="shared" si="26"/>
        <v>1</v>
      </c>
      <c r="AI368" s="17">
        <f t="shared" si="27"/>
        <v>1</v>
      </c>
      <c r="AJ368" s="17"/>
      <c r="AK368" s="17" t="s">
        <v>56</v>
      </c>
      <c r="AL368" s="16" t="s">
        <v>289</v>
      </c>
      <c r="AM368" s="17">
        <v>2009</v>
      </c>
      <c r="AN368" s="15" t="s">
        <v>183</v>
      </c>
      <c r="AO368" s="15" t="s">
        <v>56</v>
      </c>
      <c r="AP368" s="15"/>
      <c r="AQ368" s="15" t="s">
        <v>56</v>
      </c>
      <c r="AR368" s="15" t="s">
        <v>58</v>
      </c>
      <c r="AS368" s="15" t="s">
        <v>83</v>
      </c>
      <c r="AT368" s="15"/>
      <c r="AU368" s="45" t="s">
        <v>290</v>
      </c>
      <c r="AV368" s="15"/>
      <c r="AW368" s="12" t="str">
        <f>B368&amp;C368&amp;L368&amp;M368&amp;O368&amp;U368&amp;AL368&amp;AM368</f>
        <v>PhilippinesLutoban Marine ReserveMacroalgaecover0.745762711864407Stockwell2009</v>
      </c>
    </row>
    <row r="369" spans="1:49" ht="14.25" customHeight="1" x14ac:dyDescent="0.35">
      <c r="A369" s="12">
        <v>368</v>
      </c>
      <c r="B369" s="12" t="s">
        <v>153</v>
      </c>
      <c r="C369" s="15" t="s">
        <v>1264</v>
      </c>
      <c r="D369" s="15" t="s">
        <v>1264</v>
      </c>
      <c r="E369" s="15" t="s">
        <v>171</v>
      </c>
      <c r="F369" s="16" t="s">
        <v>50</v>
      </c>
      <c r="G369" s="16" t="s">
        <v>51</v>
      </c>
      <c r="H369" s="16" t="s">
        <v>52</v>
      </c>
      <c r="I369" s="16" t="s">
        <v>156</v>
      </c>
      <c r="J369" s="17">
        <v>12</v>
      </c>
      <c r="K369" s="17"/>
      <c r="L369" s="17"/>
      <c r="M369" s="17" t="s">
        <v>292</v>
      </c>
      <c r="N369" s="53" t="s">
        <v>98</v>
      </c>
      <c r="O369" s="17" t="s">
        <v>70</v>
      </c>
      <c r="P369" s="17"/>
      <c r="Q369" s="17"/>
      <c r="R369" s="17"/>
      <c r="S369" s="17">
        <v>0.4</v>
      </c>
      <c r="T369" s="17">
        <v>3.8</v>
      </c>
      <c r="U369" s="20">
        <f t="shared" si="25"/>
        <v>9.4999999999999982</v>
      </c>
      <c r="V369" s="22">
        <f t="shared" si="28"/>
        <v>849.99999999999977</v>
      </c>
      <c r="W369" s="17"/>
      <c r="X369" s="17" t="s">
        <v>56</v>
      </c>
      <c r="Y369" s="17"/>
      <c r="Z369" s="17" t="s">
        <v>56</v>
      </c>
      <c r="AA369" s="17"/>
      <c r="AB369" s="17" t="s">
        <v>57</v>
      </c>
      <c r="AC369" s="17">
        <v>2007</v>
      </c>
      <c r="AD369" s="17">
        <v>0</v>
      </c>
      <c r="AE369" s="17"/>
      <c r="AF369" s="17"/>
      <c r="AG369" s="17">
        <v>2006</v>
      </c>
      <c r="AH369" s="14">
        <f t="shared" si="26"/>
        <v>1</v>
      </c>
      <c r="AI369" s="17">
        <f t="shared" si="27"/>
        <v>1</v>
      </c>
      <c r="AJ369" s="17"/>
      <c r="AK369" s="17" t="s">
        <v>56</v>
      </c>
      <c r="AL369" s="16" t="s">
        <v>289</v>
      </c>
      <c r="AM369" s="17">
        <v>2009</v>
      </c>
      <c r="AN369" s="15" t="s">
        <v>183</v>
      </c>
      <c r="AO369" s="15" t="s">
        <v>56</v>
      </c>
      <c r="AP369" s="15"/>
      <c r="AQ369" s="15" t="s">
        <v>56</v>
      </c>
      <c r="AR369" s="15" t="s">
        <v>58</v>
      </c>
      <c r="AS369" s="15" t="s">
        <v>83</v>
      </c>
      <c r="AT369" s="15"/>
      <c r="AU369" s="45" t="s">
        <v>293</v>
      </c>
      <c r="AV369" s="15"/>
      <c r="AW369" s="12" t="str">
        <f>B369&amp;C369&amp;L369&amp;M369&amp;O369&amp;U369&amp;AL369&amp;AM369</f>
        <v>PhilippinesLutoban Marine ReserveHerbivorous fishbiomassden9.5Stockwell2009</v>
      </c>
    </row>
    <row r="370" spans="1:49" ht="14.25" customHeight="1" x14ac:dyDescent="0.35">
      <c r="A370" s="12">
        <v>369</v>
      </c>
      <c r="B370" s="12" t="s">
        <v>153</v>
      </c>
      <c r="C370" s="15" t="s">
        <v>422</v>
      </c>
      <c r="D370" s="15" t="s">
        <v>422</v>
      </c>
      <c r="E370" s="12" t="s">
        <v>171</v>
      </c>
      <c r="F370" s="13" t="s">
        <v>50</v>
      </c>
      <c r="G370" s="13" t="s">
        <v>51</v>
      </c>
      <c r="H370" s="16" t="s">
        <v>52</v>
      </c>
      <c r="I370" s="16" t="s">
        <v>156</v>
      </c>
      <c r="J370" s="17">
        <v>0.3</v>
      </c>
      <c r="K370" s="17"/>
      <c r="L370" s="17" t="s">
        <v>185</v>
      </c>
      <c r="M370" s="17" t="s">
        <v>186</v>
      </c>
      <c r="N370" s="17" t="s">
        <v>288</v>
      </c>
      <c r="O370" s="17" t="s">
        <v>101</v>
      </c>
      <c r="P370" s="17"/>
      <c r="Q370" s="17"/>
      <c r="R370" s="17"/>
      <c r="S370" s="17">
        <v>46.3</v>
      </c>
      <c r="T370" s="17">
        <v>47.8</v>
      </c>
      <c r="U370" s="19">
        <f t="shared" si="25"/>
        <v>1.0323974082073435</v>
      </c>
      <c r="V370" s="41">
        <f t="shared" si="28"/>
        <v>3.2397408207343492</v>
      </c>
      <c r="W370" s="14"/>
      <c r="X370" s="17" t="s">
        <v>56</v>
      </c>
      <c r="Y370" s="17"/>
      <c r="Z370" s="17" t="s">
        <v>56</v>
      </c>
      <c r="AA370" s="17"/>
      <c r="AB370" s="17" t="s">
        <v>57</v>
      </c>
      <c r="AC370" s="17">
        <v>2006</v>
      </c>
      <c r="AD370" s="17">
        <v>0</v>
      </c>
      <c r="AE370" s="17"/>
      <c r="AF370" s="17"/>
      <c r="AG370" s="17">
        <v>2003</v>
      </c>
      <c r="AH370" s="14">
        <f t="shared" si="26"/>
        <v>3</v>
      </c>
      <c r="AI370" s="17">
        <f t="shared" si="27"/>
        <v>3</v>
      </c>
      <c r="AJ370" s="17"/>
      <c r="AK370" s="17" t="s">
        <v>56</v>
      </c>
      <c r="AL370" s="16" t="s">
        <v>289</v>
      </c>
      <c r="AM370" s="17">
        <v>2009</v>
      </c>
      <c r="AN370" s="15" t="s">
        <v>183</v>
      </c>
      <c r="AO370" s="15" t="s">
        <v>56</v>
      </c>
      <c r="AP370" s="15"/>
      <c r="AQ370" s="15" t="s">
        <v>56</v>
      </c>
      <c r="AR370" s="15" t="s">
        <v>58</v>
      </c>
      <c r="AS370" s="15" t="s">
        <v>83</v>
      </c>
      <c r="AT370" s="12"/>
      <c r="AU370" s="45" t="s">
        <v>290</v>
      </c>
      <c r="AV370" s="15"/>
      <c r="AW370" s="12" t="str">
        <f>B370&amp;C370&amp;L370&amp;M370&amp;O370&amp;U370&amp;AL370&amp;AM370</f>
        <v>PhilippinesBaobaon Marine ReserveScleractiniahard coralcover1.03239740820734Stockwell2009</v>
      </c>
    </row>
    <row r="371" spans="1:49" ht="14.25" customHeight="1" x14ac:dyDescent="0.35">
      <c r="A371" s="12">
        <v>370</v>
      </c>
      <c r="B371" s="12" t="s">
        <v>153</v>
      </c>
      <c r="C371" s="15" t="s">
        <v>422</v>
      </c>
      <c r="D371" s="15" t="s">
        <v>422</v>
      </c>
      <c r="E371" s="12" t="s">
        <v>171</v>
      </c>
      <c r="F371" s="13" t="s">
        <v>50</v>
      </c>
      <c r="G371" s="13" t="s">
        <v>51</v>
      </c>
      <c r="H371" s="16" t="s">
        <v>52</v>
      </c>
      <c r="I371" s="16" t="s">
        <v>156</v>
      </c>
      <c r="J371" s="17">
        <v>0.3</v>
      </c>
      <c r="K371" s="17"/>
      <c r="L371" s="17"/>
      <c r="M371" s="17" t="s">
        <v>291</v>
      </c>
      <c r="N371" s="53" t="s">
        <v>98</v>
      </c>
      <c r="O371" s="17" t="s">
        <v>101</v>
      </c>
      <c r="P371" s="17"/>
      <c r="Q371" s="17"/>
      <c r="R371" s="17"/>
      <c r="S371" s="17">
        <v>8.1999999999999993</v>
      </c>
      <c r="T371" s="17">
        <v>4.7</v>
      </c>
      <c r="U371" s="19">
        <f t="shared" si="25"/>
        <v>0.57317073170731714</v>
      </c>
      <c r="V371" s="41">
        <f t="shared" si="28"/>
        <v>-42.682926829268283</v>
      </c>
      <c r="W371" s="14"/>
      <c r="X371" s="17" t="s">
        <v>56</v>
      </c>
      <c r="Y371" s="17"/>
      <c r="Z371" s="17" t="s">
        <v>56</v>
      </c>
      <c r="AA371" s="17"/>
      <c r="AB371" s="17" t="s">
        <v>57</v>
      </c>
      <c r="AC371" s="17">
        <v>2006</v>
      </c>
      <c r="AD371" s="17">
        <v>0</v>
      </c>
      <c r="AE371" s="17"/>
      <c r="AF371" s="17"/>
      <c r="AG371" s="17">
        <v>2003</v>
      </c>
      <c r="AH371" s="14">
        <f t="shared" si="26"/>
        <v>3</v>
      </c>
      <c r="AI371" s="17">
        <f t="shared" si="27"/>
        <v>3</v>
      </c>
      <c r="AJ371" s="17"/>
      <c r="AK371" s="17" t="s">
        <v>56</v>
      </c>
      <c r="AL371" s="16" t="s">
        <v>289</v>
      </c>
      <c r="AM371" s="17">
        <v>2009</v>
      </c>
      <c r="AN371" s="15" t="s">
        <v>183</v>
      </c>
      <c r="AO371" s="15" t="s">
        <v>56</v>
      </c>
      <c r="AP371" s="15"/>
      <c r="AQ371" s="15" t="s">
        <v>56</v>
      </c>
      <c r="AR371" s="15" t="s">
        <v>58</v>
      </c>
      <c r="AS371" s="15" t="s">
        <v>83</v>
      </c>
      <c r="AT371" s="12"/>
      <c r="AU371" s="45" t="s">
        <v>290</v>
      </c>
      <c r="AV371" s="15"/>
      <c r="AW371" s="12" t="str">
        <f>B371&amp;C371&amp;L371&amp;M371&amp;O371&amp;U371&amp;AL371&amp;AM371</f>
        <v>PhilippinesBaobaon Marine ReserveMacroalgaecover0.573170731707317Stockwell2009</v>
      </c>
    </row>
    <row r="372" spans="1:49" ht="14.25" customHeight="1" x14ac:dyDescent="0.35">
      <c r="A372" s="12">
        <v>371</v>
      </c>
      <c r="B372" s="15" t="s">
        <v>153</v>
      </c>
      <c r="C372" s="15" t="s">
        <v>422</v>
      </c>
      <c r="D372" s="15" t="s">
        <v>422</v>
      </c>
      <c r="E372" s="15" t="s">
        <v>171</v>
      </c>
      <c r="F372" s="16" t="s">
        <v>50</v>
      </c>
      <c r="G372" s="16" t="s">
        <v>51</v>
      </c>
      <c r="H372" s="16" t="s">
        <v>52</v>
      </c>
      <c r="I372" s="16" t="s">
        <v>156</v>
      </c>
      <c r="J372" s="17">
        <v>0.3</v>
      </c>
      <c r="K372" s="17"/>
      <c r="L372" s="17"/>
      <c r="M372" s="17" t="s">
        <v>292</v>
      </c>
      <c r="N372" s="53" t="s">
        <v>98</v>
      </c>
      <c r="O372" s="17" t="s">
        <v>70</v>
      </c>
      <c r="P372" s="17"/>
      <c r="Q372" s="17"/>
      <c r="R372" s="17"/>
      <c r="S372" s="17">
        <v>3.95</v>
      </c>
      <c r="T372" s="17">
        <v>6.3</v>
      </c>
      <c r="U372" s="20">
        <f t="shared" si="25"/>
        <v>1.5949367088607593</v>
      </c>
      <c r="V372" s="22">
        <f t="shared" si="28"/>
        <v>59.493670886075932</v>
      </c>
      <c r="W372" s="17"/>
      <c r="X372" s="17" t="s">
        <v>56</v>
      </c>
      <c r="Y372" s="17"/>
      <c r="Z372" s="17" t="s">
        <v>56</v>
      </c>
      <c r="AA372" s="17"/>
      <c r="AB372" s="17" t="s">
        <v>57</v>
      </c>
      <c r="AC372" s="17">
        <v>2006</v>
      </c>
      <c r="AD372" s="17">
        <v>0</v>
      </c>
      <c r="AE372" s="17"/>
      <c r="AF372" s="17"/>
      <c r="AG372" s="17">
        <v>2003</v>
      </c>
      <c r="AH372" s="14">
        <f t="shared" si="26"/>
        <v>3</v>
      </c>
      <c r="AI372" s="17">
        <f t="shared" si="27"/>
        <v>3</v>
      </c>
      <c r="AJ372" s="17"/>
      <c r="AK372" s="17" t="s">
        <v>56</v>
      </c>
      <c r="AL372" s="16" t="s">
        <v>289</v>
      </c>
      <c r="AM372" s="17">
        <v>2009</v>
      </c>
      <c r="AN372" s="15" t="s">
        <v>183</v>
      </c>
      <c r="AO372" s="15" t="s">
        <v>56</v>
      </c>
      <c r="AP372" s="15"/>
      <c r="AQ372" s="15" t="s">
        <v>56</v>
      </c>
      <c r="AR372" s="15" t="s">
        <v>58</v>
      </c>
      <c r="AS372" s="15" t="s">
        <v>83</v>
      </c>
      <c r="AT372" s="15"/>
      <c r="AU372" s="45" t="s">
        <v>293</v>
      </c>
      <c r="AV372" s="15"/>
      <c r="AW372" s="12" t="str">
        <f>B372&amp;C372&amp;L372&amp;M372&amp;O372&amp;U372&amp;AL372&amp;AM372</f>
        <v>PhilippinesBaobaon Marine ReserveHerbivorous fishbiomassden1.59493670886076Stockwell2009</v>
      </c>
    </row>
    <row r="373" spans="1:49" ht="14.25" customHeight="1" x14ac:dyDescent="0.35">
      <c r="A373" s="12">
        <v>372</v>
      </c>
      <c r="B373" s="15" t="s">
        <v>153</v>
      </c>
      <c r="C373" s="15" t="s">
        <v>451</v>
      </c>
      <c r="D373" s="15" t="s">
        <v>451</v>
      </c>
      <c r="E373" s="15" t="s">
        <v>171</v>
      </c>
      <c r="F373" s="13" t="s">
        <v>50</v>
      </c>
      <c r="G373" s="13" t="s">
        <v>51</v>
      </c>
      <c r="H373" s="16" t="s">
        <v>52</v>
      </c>
      <c r="I373" s="16" t="s">
        <v>156</v>
      </c>
      <c r="J373" s="17">
        <v>0.1</v>
      </c>
      <c r="K373" s="17"/>
      <c r="L373" s="17" t="s">
        <v>185</v>
      </c>
      <c r="M373" s="17" t="s">
        <v>186</v>
      </c>
      <c r="N373" s="17" t="s">
        <v>288</v>
      </c>
      <c r="O373" s="17" t="s">
        <v>101</v>
      </c>
      <c r="P373" s="17"/>
      <c r="Q373" s="17"/>
      <c r="R373" s="17"/>
      <c r="S373" s="17">
        <v>52.2</v>
      </c>
      <c r="T373" s="17">
        <v>52.8</v>
      </c>
      <c r="U373" s="20">
        <f t="shared" si="25"/>
        <v>1.0114942528735631</v>
      </c>
      <c r="V373" s="22">
        <f t="shared" si="28"/>
        <v>1.1494252873563093</v>
      </c>
      <c r="W373" s="17"/>
      <c r="X373" s="17" t="s">
        <v>56</v>
      </c>
      <c r="Y373" s="17"/>
      <c r="Z373" s="17" t="s">
        <v>56</v>
      </c>
      <c r="AA373" s="17"/>
      <c r="AB373" s="17" t="s">
        <v>57</v>
      </c>
      <c r="AC373" s="17">
        <v>2006</v>
      </c>
      <c r="AD373" s="17">
        <v>0</v>
      </c>
      <c r="AE373" s="17"/>
      <c r="AF373" s="17"/>
      <c r="AG373" s="17">
        <v>2003</v>
      </c>
      <c r="AH373" s="14">
        <f t="shared" si="26"/>
        <v>3</v>
      </c>
      <c r="AI373" s="17">
        <f t="shared" si="27"/>
        <v>3</v>
      </c>
      <c r="AJ373" s="17"/>
      <c r="AK373" s="17" t="s">
        <v>56</v>
      </c>
      <c r="AL373" s="16" t="s">
        <v>289</v>
      </c>
      <c r="AM373" s="17">
        <v>2009</v>
      </c>
      <c r="AN373" s="15" t="s">
        <v>183</v>
      </c>
      <c r="AO373" s="15" t="s">
        <v>56</v>
      </c>
      <c r="AP373" s="15"/>
      <c r="AQ373" s="15" t="s">
        <v>56</v>
      </c>
      <c r="AR373" s="15" t="s">
        <v>58</v>
      </c>
      <c r="AS373" s="15" t="s">
        <v>83</v>
      </c>
      <c r="AT373" s="15"/>
      <c r="AU373" s="45" t="s">
        <v>290</v>
      </c>
      <c r="AV373" s="15"/>
      <c r="AW373" s="12" t="str">
        <f>B373&amp;C373&amp;L373&amp;M373&amp;O373&amp;U373&amp;AL373&amp;AM373</f>
        <v>PhilippinesBaylimango Marine ReserveScleractiniahard coralcover1.01149425287356Stockwell2009</v>
      </c>
    </row>
    <row r="374" spans="1:49" ht="14.25" customHeight="1" x14ac:dyDescent="0.35">
      <c r="A374" s="12">
        <v>373</v>
      </c>
      <c r="B374" s="15" t="s">
        <v>153</v>
      </c>
      <c r="C374" s="15" t="s">
        <v>451</v>
      </c>
      <c r="D374" s="15" t="s">
        <v>451</v>
      </c>
      <c r="E374" s="15" t="s">
        <v>171</v>
      </c>
      <c r="F374" s="13" t="s">
        <v>50</v>
      </c>
      <c r="G374" s="13" t="s">
        <v>51</v>
      </c>
      <c r="H374" s="16" t="s">
        <v>52</v>
      </c>
      <c r="I374" s="16" t="s">
        <v>156</v>
      </c>
      <c r="J374" s="17">
        <v>0.1</v>
      </c>
      <c r="K374" s="17"/>
      <c r="L374" s="17"/>
      <c r="M374" s="17" t="s">
        <v>291</v>
      </c>
      <c r="N374" s="53" t="s">
        <v>98</v>
      </c>
      <c r="O374" s="17" t="s">
        <v>101</v>
      </c>
      <c r="P374" s="17"/>
      <c r="Q374" s="17"/>
      <c r="R374" s="17"/>
      <c r="S374" s="17">
        <v>12.2</v>
      </c>
      <c r="T374" s="17">
        <v>13.5</v>
      </c>
      <c r="U374" s="20">
        <f t="shared" si="25"/>
        <v>1.1065573770491803</v>
      </c>
      <c r="V374" s="22">
        <f t="shared" si="28"/>
        <v>10.655737704918034</v>
      </c>
      <c r="W374" s="17"/>
      <c r="X374" s="17" t="s">
        <v>56</v>
      </c>
      <c r="Y374" s="17"/>
      <c r="Z374" s="17" t="s">
        <v>56</v>
      </c>
      <c r="AA374" s="17"/>
      <c r="AB374" s="17" t="s">
        <v>57</v>
      </c>
      <c r="AC374" s="17">
        <v>2006</v>
      </c>
      <c r="AD374" s="17">
        <v>0</v>
      </c>
      <c r="AE374" s="17"/>
      <c r="AF374" s="17"/>
      <c r="AG374" s="17">
        <v>2003</v>
      </c>
      <c r="AH374" s="14">
        <f t="shared" si="26"/>
        <v>3</v>
      </c>
      <c r="AI374" s="17">
        <f t="shared" si="27"/>
        <v>3</v>
      </c>
      <c r="AJ374" s="17"/>
      <c r="AK374" s="17" t="s">
        <v>56</v>
      </c>
      <c r="AL374" s="16" t="s">
        <v>289</v>
      </c>
      <c r="AM374" s="17">
        <v>2009</v>
      </c>
      <c r="AN374" s="15" t="s">
        <v>183</v>
      </c>
      <c r="AO374" s="15" t="s">
        <v>56</v>
      </c>
      <c r="AP374" s="15"/>
      <c r="AQ374" s="15" t="s">
        <v>56</v>
      </c>
      <c r="AR374" s="15" t="s">
        <v>58</v>
      </c>
      <c r="AS374" s="15" t="s">
        <v>83</v>
      </c>
      <c r="AT374" s="15"/>
      <c r="AU374" s="45" t="s">
        <v>290</v>
      </c>
      <c r="AV374" s="15"/>
      <c r="AW374" s="12" t="str">
        <f>B374&amp;C374&amp;L374&amp;M374&amp;O374&amp;U374&amp;AL374&amp;AM374</f>
        <v>PhilippinesBaylimango Marine ReserveMacroalgaecover1.10655737704918Stockwell2009</v>
      </c>
    </row>
    <row r="375" spans="1:49" ht="14.25" customHeight="1" x14ac:dyDescent="0.35">
      <c r="A375" s="12">
        <v>374</v>
      </c>
      <c r="B375" s="15" t="s">
        <v>153</v>
      </c>
      <c r="C375" s="15" t="s">
        <v>451</v>
      </c>
      <c r="D375" s="15" t="s">
        <v>451</v>
      </c>
      <c r="E375" s="15" t="s">
        <v>171</v>
      </c>
      <c r="F375" s="13" t="s">
        <v>50</v>
      </c>
      <c r="G375" s="13" t="s">
        <v>51</v>
      </c>
      <c r="H375" s="16" t="s">
        <v>52</v>
      </c>
      <c r="I375" s="16" t="s">
        <v>156</v>
      </c>
      <c r="J375" s="17">
        <v>0.1</v>
      </c>
      <c r="K375" s="17"/>
      <c r="L375" s="17"/>
      <c r="M375" s="17" t="s">
        <v>292</v>
      </c>
      <c r="N375" s="53" t="s">
        <v>98</v>
      </c>
      <c r="O375" s="17" t="s">
        <v>70</v>
      </c>
      <c r="P375" s="17"/>
      <c r="Q375" s="17"/>
      <c r="R375" s="17"/>
      <c r="S375" s="17">
        <v>4</v>
      </c>
      <c r="T375" s="17">
        <v>7.5</v>
      </c>
      <c r="U375" s="20">
        <f t="shared" si="25"/>
        <v>1.875</v>
      </c>
      <c r="V375" s="22">
        <f t="shared" si="28"/>
        <v>87.5</v>
      </c>
      <c r="W375" s="17"/>
      <c r="X375" s="17" t="s">
        <v>56</v>
      </c>
      <c r="Y375" s="17"/>
      <c r="Z375" s="17" t="s">
        <v>56</v>
      </c>
      <c r="AA375" s="17"/>
      <c r="AB375" s="17" t="s">
        <v>57</v>
      </c>
      <c r="AC375" s="17">
        <v>2006</v>
      </c>
      <c r="AD375" s="17">
        <v>0</v>
      </c>
      <c r="AE375" s="17"/>
      <c r="AF375" s="17"/>
      <c r="AG375" s="17">
        <v>2003</v>
      </c>
      <c r="AH375" s="14">
        <f t="shared" si="26"/>
        <v>3</v>
      </c>
      <c r="AI375" s="17">
        <f t="shared" si="27"/>
        <v>3</v>
      </c>
      <c r="AJ375" s="17"/>
      <c r="AK375" s="17" t="s">
        <v>56</v>
      </c>
      <c r="AL375" s="16" t="s">
        <v>289</v>
      </c>
      <c r="AM375" s="17">
        <v>2009</v>
      </c>
      <c r="AN375" s="15" t="s">
        <v>183</v>
      </c>
      <c r="AO375" s="15" t="s">
        <v>56</v>
      </c>
      <c r="AP375" s="15"/>
      <c r="AQ375" s="15" t="s">
        <v>56</v>
      </c>
      <c r="AR375" s="15" t="s">
        <v>58</v>
      </c>
      <c r="AS375" s="15" t="s">
        <v>83</v>
      </c>
      <c r="AT375" s="15"/>
      <c r="AU375" s="45" t="s">
        <v>293</v>
      </c>
      <c r="AV375" s="15"/>
      <c r="AW375" s="12" t="str">
        <f>B375&amp;C375&amp;L375&amp;M375&amp;O375&amp;U375&amp;AL375&amp;AM375</f>
        <v>PhilippinesBaylimango Marine ReserveHerbivorous fishbiomassden1.875Stockwell2009</v>
      </c>
    </row>
    <row r="376" spans="1:49" ht="14.25" customHeight="1" x14ac:dyDescent="0.35">
      <c r="A376" s="12">
        <v>375</v>
      </c>
      <c r="B376" s="15" t="s">
        <v>153</v>
      </c>
      <c r="C376" s="15" t="s">
        <v>578</v>
      </c>
      <c r="D376" s="15" t="s">
        <v>578</v>
      </c>
      <c r="E376" s="12" t="s">
        <v>171</v>
      </c>
      <c r="F376" s="13" t="s">
        <v>50</v>
      </c>
      <c r="G376" s="13" t="s">
        <v>51</v>
      </c>
      <c r="H376" s="16" t="s">
        <v>52</v>
      </c>
      <c r="I376" s="16" t="s">
        <v>156</v>
      </c>
      <c r="J376" s="17">
        <v>0.12</v>
      </c>
      <c r="K376" s="17"/>
      <c r="L376" s="17" t="s">
        <v>185</v>
      </c>
      <c r="M376" s="17" t="s">
        <v>186</v>
      </c>
      <c r="N376" s="17" t="s">
        <v>288</v>
      </c>
      <c r="O376" s="17" t="s">
        <v>101</v>
      </c>
      <c r="P376" s="17"/>
      <c r="Q376" s="17"/>
      <c r="R376" s="17"/>
      <c r="S376" s="17">
        <v>52.5</v>
      </c>
      <c r="T376" s="17">
        <v>30.7</v>
      </c>
      <c r="U376" s="19">
        <f t="shared" si="25"/>
        <v>0.58476190476190471</v>
      </c>
      <c r="V376" s="41">
        <f t="shared" si="28"/>
        <v>-41.523809523809533</v>
      </c>
      <c r="W376" s="14"/>
      <c r="X376" s="17" t="s">
        <v>56</v>
      </c>
      <c r="Y376" s="17"/>
      <c r="Z376" s="17" t="s">
        <v>56</v>
      </c>
      <c r="AA376" s="17"/>
      <c r="AB376" s="17" t="s">
        <v>57</v>
      </c>
      <c r="AC376" s="17">
        <v>2006</v>
      </c>
      <c r="AD376" s="17">
        <v>0</v>
      </c>
      <c r="AE376" s="17"/>
      <c r="AF376" s="17"/>
      <c r="AG376" s="17">
        <v>2001</v>
      </c>
      <c r="AH376" s="14">
        <f t="shared" si="26"/>
        <v>5</v>
      </c>
      <c r="AI376" s="17">
        <f t="shared" si="27"/>
        <v>5</v>
      </c>
      <c r="AJ376" s="17"/>
      <c r="AK376" s="17" t="s">
        <v>56</v>
      </c>
      <c r="AL376" s="16" t="s">
        <v>289</v>
      </c>
      <c r="AM376" s="17">
        <v>2009</v>
      </c>
      <c r="AN376" s="15" t="s">
        <v>183</v>
      </c>
      <c r="AO376" s="15" t="s">
        <v>56</v>
      </c>
      <c r="AP376" s="15"/>
      <c r="AQ376" s="15" t="s">
        <v>56</v>
      </c>
      <c r="AR376" s="15" t="s">
        <v>58</v>
      </c>
      <c r="AS376" s="15" t="s">
        <v>83</v>
      </c>
      <c r="AT376" s="12"/>
      <c r="AU376" s="45" t="s">
        <v>290</v>
      </c>
      <c r="AV376" s="15"/>
      <c r="AW376" s="12" t="str">
        <f>B376&amp;C376&amp;L376&amp;M376&amp;O376&amp;U376&amp;AL376&amp;AM376</f>
        <v>PhilippinesCarang Marine ReserveScleractiniahard coralcover0.584761904761905Stockwell2009</v>
      </c>
    </row>
    <row r="377" spans="1:49" ht="14.25" customHeight="1" x14ac:dyDescent="0.35">
      <c r="A377" s="12">
        <v>376</v>
      </c>
      <c r="B377" s="15" t="s">
        <v>153</v>
      </c>
      <c r="C377" s="15" t="s">
        <v>578</v>
      </c>
      <c r="D377" s="15" t="s">
        <v>578</v>
      </c>
      <c r="E377" s="15" t="s">
        <v>171</v>
      </c>
      <c r="F377" s="13" t="s">
        <v>50</v>
      </c>
      <c r="G377" s="13" t="s">
        <v>51</v>
      </c>
      <c r="H377" s="16" t="s">
        <v>52</v>
      </c>
      <c r="I377" s="16" t="s">
        <v>156</v>
      </c>
      <c r="J377" s="17">
        <v>0.12</v>
      </c>
      <c r="K377" s="17"/>
      <c r="L377" s="17"/>
      <c r="M377" s="17" t="s">
        <v>291</v>
      </c>
      <c r="N377" s="53" t="s">
        <v>98</v>
      </c>
      <c r="O377" s="17" t="s">
        <v>101</v>
      </c>
      <c r="P377" s="17"/>
      <c r="Q377" s="17"/>
      <c r="R377" s="17"/>
      <c r="S377" s="17">
        <v>16.7</v>
      </c>
      <c r="T377" s="17">
        <v>4.5</v>
      </c>
      <c r="U377" s="20">
        <f t="shared" si="25"/>
        <v>0.26946107784431139</v>
      </c>
      <c r="V377" s="22">
        <f t="shared" si="28"/>
        <v>-73.053892215568865</v>
      </c>
      <c r="W377" s="17"/>
      <c r="X377" s="17" t="s">
        <v>56</v>
      </c>
      <c r="Y377" s="17"/>
      <c r="Z377" s="17" t="s">
        <v>56</v>
      </c>
      <c r="AA377" s="17"/>
      <c r="AB377" s="17" t="s">
        <v>57</v>
      </c>
      <c r="AC377" s="17">
        <v>2006</v>
      </c>
      <c r="AD377" s="17">
        <v>0</v>
      </c>
      <c r="AE377" s="17"/>
      <c r="AF377" s="17"/>
      <c r="AG377" s="17">
        <v>2001</v>
      </c>
      <c r="AH377" s="14">
        <f t="shared" si="26"/>
        <v>5</v>
      </c>
      <c r="AI377" s="17">
        <f t="shared" si="27"/>
        <v>5</v>
      </c>
      <c r="AJ377" s="17"/>
      <c r="AK377" s="17" t="s">
        <v>56</v>
      </c>
      <c r="AL377" s="16" t="s">
        <v>289</v>
      </c>
      <c r="AM377" s="17">
        <v>2009</v>
      </c>
      <c r="AN377" s="15" t="s">
        <v>183</v>
      </c>
      <c r="AO377" s="15" t="s">
        <v>56</v>
      </c>
      <c r="AP377" s="15"/>
      <c r="AQ377" s="15" t="s">
        <v>56</v>
      </c>
      <c r="AR377" s="15" t="s">
        <v>58</v>
      </c>
      <c r="AS377" s="15" t="s">
        <v>83</v>
      </c>
      <c r="AT377" s="15"/>
      <c r="AU377" s="45" t="s">
        <v>290</v>
      </c>
      <c r="AV377" s="15"/>
      <c r="AW377" s="12" t="str">
        <f>B377&amp;C377&amp;L377&amp;M377&amp;O377&amp;U377&amp;AL377&amp;AM377</f>
        <v>PhilippinesCarang Marine ReserveMacroalgaecover0.269461077844311Stockwell2009</v>
      </c>
    </row>
    <row r="378" spans="1:49" ht="14.25" customHeight="1" x14ac:dyDescent="0.35">
      <c r="A378" s="12">
        <v>377</v>
      </c>
      <c r="B378" s="15" t="s">
        <v>153</v>
      </c>
      <c r="C378" s="15" t="s">
        <v>578</v>
      </c>
      <c r="D378" s="15" t="s">
        <v>578</v>
      </c>
      <c r="E378" s="15" t="s">
        <v>171</v>
      </c>
      <c r="F378" s="13" t="s">
        <v>50</v>
      </c>
      <c r="G378" s="13" t="s">
        <v>51</v>
      </c>
      <c r="H378" s="16" t="s">
        <v>52</v>
      </c>
      <c r="I378" s="16" t="s">
        <v>156</v>
      </c>
      <c r="J378" s="17">
        <v>0.12</v>
      </c>
      <c r="K378" s="17"/>
      <c r="L378" s="17"/>
      <c r="M378" s="17" t="s">
        <v>292</v>
      </c>
      <c r="N378" s="53" t="s">
        <v>98</v>
      </c>
      <c r="O378" s="17" t="s">
        <v>70</v>
      </c>
      <c r="P378" s="17"/>
      <c r="Q378" s="17"/>
      <c r="R378" s="17"/>
      <c r="S378" s="17">
        <v>3.1</v>
      </c>
      <c r="T378" s="17">
        <v>12.8</v>
      </c>
      <c r="U378" s="20">
        <f t="shared" ref="U378:U441" si="29">IFERROR(IF(AND(Q378="",R378="",S378="",T378=""),"",IF(AND(Q378&lt;&gt;"",R378&lt;&gt;"",S378&lt;&gt;"",T378&lt;&gt;""),(T378/R378)/(S378/Q378),IF(AND(Q378&lt;&gt;"",R378&lt;&gt;""),R378/Q378,IF(AND(S378&lt;&gt;"",T378&lt;&gt;""),T378/S378,IF(AND(Q378&lt;&gt;"",S378&lt;&gt;""),Q378/S378,IF(AND(R378&lt;&gt;"",T378&lt;&gt;""),T378/R378)))))), "N/A")</f>
        <v>4.129032258064516</v>
      </c>
      <c r="V378" s="22">
        <f t="shared" si="28"/>
        <v>312.90322580645159</v>
      </c>
      <c r="W378" s="17"/>
      <c r="X378" s="17" t="s">
        <v>56</v>
      </c>
      <c r="Y378" s="17"/>
      <c r="Z378" s="17" t="s">
        <v>56</v>
      </c>
      <c r="AA378" s="17"/>
      <c r="AB378" s="17" t="s">
        <v>57</v>
      </c>
      <c r="AC378" s="17">
        <v>2006</v>
      </c>
      <c r="AD378" s="17">
        <v>0</v>
      </c>
      <c r="AE378" s="17"/>
      <c r="AF378" s="17"/>
      <c r="AG378" s="17">
        <v>2001</v>
      </c>
      <c r="AH378" s="14">
        <f t="shared" si="26"/>
        <v>5</v>
      </c>
      <c r="AI378" s="17">
        <f t="shared" si="27"/>
        <v>5</v>
      </c>
      <c r="AJ378" s="17"/>
      <c r="AK378" s="17" t="s">
        <v>56</v>
      </c>
      <c r="AL378" s="16" t="s">
        <v>289</v>
      </c>
      <c r="AM378" s="17">
        <v>2009</v>
      </c>
      <c r="AN378" s="15" t="s">
        <v>183</v>
      </c>
      <c r="AO378" s="15" t="s">
        <v>56</v>
      </c>
      <c r="AP378" s="15"/>
      <c r="AQ378" s="15" t="s">
        <v>56</v>
      </c>
      <c r="AR378" s="15" t="s">
        <v>58</v>
      </c>
      <c r="AS378" s="15" t="s">
        <v>83</v>
      </c>
      <c r="AT378" s="15"/>
      <c r="AU378" s="45" t="s">
        <v>293</v>
      </c>
      <c r="AV378" s="15"/>
      <c r="AW378" s="12" t="str">
        <f>B378&amp;C378&amp;L378&amp;M378&amp;O378&amp;U378&amp;AL378&amp;AM378</f>
        <v>PhilippinesCarang Marine ReserveHerbivorous fishbiomassden4.12903225806452Stockwell2009</v>
      </c>
    </row>
    <row r="379" spans="1:49" ht="14.25" customHeight="1" x14ac:dyDescent="0.35">
      <c r="A379" s="12">
        <v>378</v>
      </c>
      <c r="B379" s="15" t="s">
        <v>153</v>
      </c>
      <c r="C379" s="15" t="s">
        <v>535</v>
      </c>
      <c r="D379" s="15" t="s">
        <v>535</v>
      </c>
      <c r="E379" s="15" t="s">
        <v>171</v>
      </c>
      <c r="F379" s="13" t="s">
        <v>50</v>
      </c>
      <c r="G379" s="13" t="s">
        <v>51</v>
      </c>
      <c r="H379" s="16" t="s">
        <v>52</v>
      </c>
      <c r="I379" s="16" t="s">
        <v>156</v>
      </c>
      <c r="J379" s="17">
        <v>0.09</v>
      </c>
      <c r="K379" s="17"/>
      <c r="L379" s="17" t="s">
        <v>185</v>
      </c>
      <c r="M379" s="17" t="s">
        <v>186</v>
      </c>
      <c r="N379" s="17" t="s">
        <v>288</v>
      </c>
      <c r="O379" s="17" t="s">
        <v>101</v>
      </c>
      <c r="P379" s="17"/>
      <c r="Q379" s="17"/>
      <c r="R379" s="17"/>
      <c r="S379" s="17">
        <v>26</v>
      </c>
      <c r="T379" s="17">
        <v>18.7</v>
      </c>
      <c r="U379" s="20">
        <f t="shared" si="29"/>
        <v>0.71923076923076923</v>
      </c>
      <c r="V379" s="22">
        <f t="shared" si="28"/>
        <v>-28.076923076923077</v>
      </c>
      <c r="W379" s="17"/>
      <c r="X379" s="17" t="s">
        <v>56</v>
      </c>
      <c r="Y379" s="17"/>
      <c r="Z379" s="17" t="s">
        <v>56</v>
      </c>
      <c r="AA379" s="17"/>
      <c r="AB379" s="17" t="s">
        <v>57</v>
      </c>
      <c r="AC379" s="17">
        <v>2006</v>
      </c>
      <c r="AD379" s="17">
        <v>0</v>
      </c>
      <c r="AE379" s="17"/>
      <c r="AF379" s="17"/>
      <c r="AG379" s="17">
        <v>2000</v>
      </c>
      <c r="AH379" s="14">
        <f t="shared" si="26"/>
        <v>6</v>
      </c>
      <c r="AI379" s="17">
        <f t="shared" si="27"/>
        <v>6</v>
      </c>
      <c r="AJ379" s="17"/>
      <c r="AK379" s="17" t="s">
        <v>56</v>
      </c>
      <c r="AL379" s="16" t="s">
        <v>289</v>
      </c>
      <c r="AM379" s="17">
        <v>2009</v>
      </c>
      <c r="AN379" s="15" t="s">
        <v>183</v>
      </c>
      <c r="AO379" s="15" t="s">
        <v>56</v>
      </c>
      <c r="AP379" s="15"/>
      <c r="AQ379" s="15" t="s">
        <v>56</v>
      </c>
      <c r="AR379" s="15" t="s">
        <v>58</v>
      </c>
      <c r="AS379" s="15" t="s">
        <v>83</v>
      </c>
      <c r="AT379" s="15"/>
      <c r="AU379" s="45" t="s">
        <v>290</v>
      </c>
      <c r="AV379" s="15"/>
      <c r="AW379" s="12" t="str">
        <f>B379&amp;C379&amp;L379&amp;M379&amp;O379&amp;U379&amp;AL379&amp;AM379</f>
        <v>PhilippinesCanlucani Marine ReserveScleractiniahard coralcover0.719230769230769Stockwell2009</v>
      </c>
    </row>
    <row r="380" spans="1:49" ht="14.25" customHeight="1" x14ac:dyDescent="0.35">
      <c r="A380" s="12">
        <v>379</v>
      </c>
      <c r="B380" s="15" t="s">
        <v>153</v>
      </c>
      <c r="C380" s="15" t="s">
        <v>535</v>
      </c>
      <c r="D380" s="15" t="s">
        <v>535</v>
      </c>
      <c r="E380" s="15" t="s">
        <v>171</v>
      </c>
      <c r="F380" s="16" t="s">
        <v>50</v>
      </c>
      <c r="G380" s="16" t="s">
        <v>51</v>
      </c>
      <c r="H380" s="16" t="s">
        <v>52</v>
      </c>
      <c r="I380" s="16" t="s">
        <v>156</v>
      </c>
      <c r="J380" s="17">
        <v>0.09</v>
      </c>
      <c r="K380" s="17"/>
      <c r="L380" s="17"/>
      <c r="M380" s="17" t="s">
        <v>291</v>
      </c>
      <c r="N380" s="53" t="s">
        <v>98</v>
      </c>
      <c r="O380" s="17" t="s">
        <v>101</v>
      </c>
      <c r="P380" s="17"/>
      <c r="Q380" s="17"/>
      <c r="R380" s="17"/>
      <c r="S380" s="17">
        <v>14.5</v>
      </c>
      <c r="T380" s="17">
        <v>3.5</v>
      </c>
      <c r="U380" s="20">
        <f t="shared" si="29"/>
        <v>0.2413793103448276</v>
      </c>
      <c r="V380" s="22">
        <f t="shared" si="28"/>
        <v>-75.862068965517238</v>
      </c>
      <c r="W380" s="17"/>
      <c r="X380" s="17" t="s">
        <v>56</v>
      </c>
      <c r="Y380" s="17"/>
      <c r="Z380" s="17" t="s">
        <v>56</v>
      </c>
      <c r="AA380" s="17"/>
      <c r="AB380" s="17" t="s">
        <v>57</v>
      </c>
      <c r="AC380" s="17">
        <v>2006</v>
      </c>
      <c r="AD380" s="17">
        <v>0</v>
      </c>
      <c r="AE380" s="17"/>
      <c r="AF380" s="17"/>
      <c r="AG380" s="17">
        <v>2000</v>
      </c>
      <c r="AH380" s="14">
        <f t="shared" si="26"/>
        <v>6</v>
      </c>
      <c r="AI380" s="17">
        <f t="shared" si="27"/>
        <v>6</v>
      </c>
      <c r="AJ380" s="17"/>
      <c r="AK380" s="17" t="s">
        <v>56</v>
      </c>
      <c r="AL380" s="16" t="s">
        <v>289</v>
      </c>
      <c r="AM380" s="17">
        <v>2009</v>
      </c>
      <c r="AN380" s="15" t="s">
        <v>183</v>
      </c>
      <c r="AO380" s="15" t="s">
        <v>56</v>
      </c>
      <c r="AP380" s="15"/>
      <c r="AQ380" s="15" t="s">
        <v>56</v>
      </c>
      <c r="AR380" s="15" t="s">
        <v>58</v>
      </c>
      <c r="AS380" s="15" t="s">
        <v>83</v>
      </c>
      <c r="AT380" s="15"/>
      <c r="AU380" s="45" t="s">
        <v>290</v>
      </c>
      <c r="AV380" s="15"/>
      <c r="AW380" s="12" t="str">
        <f>B380&amp;C380&amp;L380&amp;M380&amp;O380&amp;U380&amp;AL380&amp;AM380</f>
        <v>PhilippinesCanlucani Marine ReserveMacroalgaecover0.241379310344828Stockwell2009</v>
      </c>
    </row>
    <row r="381" spans="1:49" ht="14.25" customHeight="1" x14ac:dyDescent="0.35">
      <c r="A381" s="12">
        <v>380</v>
      </c>
      <c r="B381" s="15" t="s">
        <v>153</v>
      </c>
      <c r="C381" s="15" t="s">
        <v>535</v>
      </c>
      <c r="D381" s="15" t="s">
        <v>535</v>
      </c>
      <c r="E381" s="15" t="s">
        <v>171</v>
      </c>
      <c r="F381" s="16" t="s">
        <v>50</v>
      </c>
      <c r="G381" s="16" t="s">
        <v>51</v>
      </c>
      <c r="H381" s="16" t="s">
        <v>52</v>
      </c>
      <c r="I381" s="16" t="s">
        <v>156</v>
      </c>
      <c r="J381" s="17">
        <v>0.09</v>
      </c>
      <c r="K381" s="17"/>
      <c r="L381" s="17"/>
      <c r="M381" s="17" t="s">
        <v>292</v>
      </c>
      <c r="N381" s="53" t="s">
        <v>98</v>
      </c>
      <c r="O381" s="17" t="s">
        <v>70</v>
      </c>
      <c r="P381" s="17"/>
      <c r="Q381" s="17"/>
      <c r="R381" s="17"/>
      <c r="S381" s="17">
        <v>0.7</v>
      </c>
      <c r="T381" s="17">
        <v>8.5</v>
      </c>
      <c r="U381" s="20">
        <f t="shared" si="29"/>
        <v>12.142857142857144</v>
      </c>
      <c r="V381" s="22">
        <f t="shared" si="28"/>
        <v>1114.2857142857144</v>
      </c>
      <c r="W381" s="17"/>
      <c r="X381" s="17" t="s">
        <v>56</v>
      </c>
      <c r="Y381" s="17"/>
      <c r="Z381" s="17" t="s">
        <v>56</v>
      </c>
      <c r="AA381" s="17"/>
      <c r="AB381" s="17" t="s">
        <v>57</v>
      </c>
      <c r="AC381" s="17">
        <v>2006</v>
      </c>
      <c r="AD381" s="17">
        <v>0</v>
      </c>
      <c r="AE381" s="17"/>
      <c r="AF381" s="17"/>
      <c r="AG381" s="17">
        <v>2000</v>
      </c>
      <c r="AH381" s="14">
        <f t="shared" si="26"/>
        <v>6</v>
      </c>
      <c r="AI381" s="17">
        <f t="shared" si="27"/>
        <v>6</v>
      </c>
      <c r="AJ381" s="17"/>
      <c r="AK381" s="17" t="s">
        <v>56</v>
      </c>
      <c r="AL381" s="16" t="s">
        <v>289</v>
      </c>
      <c r="AM381" s="17">
        <v>2009</v>
      </c>
      <c r="AN381" s="15" t="s">
        <v>183</v>
      </c>
      <c r="AO381" s="15" t="s">
        <v>56</v>
      </c>
      <c r="AP381" s="15"/>
      <c r="AQ381" s="15" t="s">
        <v>56</v>
      </c>
      <c r="AR381" s="15" t="s">
        <v>58</v>
      </c>
      <c r="AS381" s="15" t="s">
        <v>83</v>
      </c>
      <c r="AT381" s="15"/>
      <c r="AU381" s="45" t="s">
        <v>293</v>
      </c>
      <c r="AV381" s="15"/>
      <c r="AW381" s="12" t="str">
        <f>B381&amp;C381&amp;L381&amp;M381&amp;O381&amp;U381&amp;AL381&amp;AM381</f>
        <v>PhilippinesCanlucani Marine ReserveHerbivorous fishbiomassden12.1428571428571Stockwell2009</v>
      </c>
    </row>
    <row r="382" spans="1:49" ht="14.25" customHeight="1" x14ac:dyDescent="0.35">
      <c r="A382" s="12">
        <v>381</v>
      </c>
      <c r="B382" s="15" t="s">
        <v>153</v>
      </c>
      <c r="C382" s="15" t="s">
        <v>914</v>
      </c>
      <c r="D382" s="15" t="s">
        <v>914</v>
      </c>
      <c r="E382" s="12" t="s">
        <v>171</v>
      </c>
      <c r="F382" s="13" t="s">
        <v>50</v>
      </c>
      <c r="G382" s="13" t="s">
        <v>51</v>
      </c>
      <c r="H382" s="16" t="s">
        <v>52</v>
      </c>
      <c r="I382" s="16" t="s">
        <v>156</v>
      </c>
      <c r="J382" s="17">
        <v>13</v>
      </c>
      <c r="K382" s="17"/>
      <c r="L382" s="17" t="s">
        <v>185</v>
      </c>
      <c r="M382" s="17" t="s">
        <v>186</v>
      </c>
      <c r="N382" s="17" t="s">
        <v>288</v>
      </c>
      <c r="O382" s="17" t="s">
        <v>101</v>
      </c>
      <c r="P382" s="17"/>
      <c r="Q382" s="17"/>
      <c r="R382" s="17"/>
      <c r="S382" s="17">
        <v>54.3</v>
      </c>
      <c r="T382" s="17">
        <v>50.5</v>
      </c>
      <c r="U382" s="19">
        <f t="shared" si="29"/>
        <v>0.93001841620626158</v>
      </c>
      <c r="V382" s="41">
        <f t="shared" si="28"/>
        <v>-6.9981583793738427</v>
      </c>
      <c r="W382" s="14"/>
      <c r="X382" s="17" t="s">
        <v>56</v>
      </c>
      <c r="Y382" s="17"/>
      <c r="Z382" s="17" t="s">
        <v>56</v>
      </c>
      <c r="AA382" s="17"/>
      <c r="AB382" s="17" t="s">
        <v>57</v>
      </c>
      <c r="AC382" s="17">
        <v>2006</v>
      </c>
      <c r="AD382" s="17">
        <v>0</v>
      </c>
      <c r="AE382" s="17"/>
      <c r="AF382" s="17"/>
      <c r="AG382" s="17">
        <v>1999</v>
      </c>
      <c r="AH382" s="14">
        <f t="shared" si="26"/>
        <v>7</v>
      </c>
      <c r="AI382" s="17">
        <f t="shared" si="27"/>
        <v>7</v>
      </c>
      <c r="AJ382" s="17"/>
      <c r="AK382" s="17" t="s">
        <v>56</v>
      </c>
      <c r="AL382" s="16" t="s">
        <v>289</v>
      </c>
      <c r="AM382" s="17">
        <v>2009</v>
      </c>
      <c r="AN382" s="15" t="s">
        <v>183</v>
      </c>
      <c r="AO382" s="15" t="s">
        <v>56</v>
      </c>
      <c r="AP382" s="15"/>
      <c r="AQ382" s="15" t="s">
        <v>56</v>
      </c>
      <c r="AR382" s="15" t="s">
        <v>58</v>
      </c>
      <c r="AS382" s="15" t="s">
        <v>83</v>
      </c>
      <c r="AT382" s="12"/>
      <c r="AU382" s="45" t="s">
        <v>290</v>
      </c>
      <c r="AV382" s="15"/>
      <c r="AW382" s="12" t="str">
        <f>B382&amp;C382&amp;L382&amp;M382&amp;O382&amp;U382&amp;AL382&amp;AM382</f>
        <v>PhilippinesGuimputlan Marine ReserveScleractiniahard coralcover0.930018416206262Stockwell2009</v>
      </c>
    </row>
    <row r="383" spans="1:49" ht="14.25" customHeight="1" x14ac:dyDescent="0.35">
      <c r="A383" s="12">
        <v>382</v>
      </c>
      <c r="B383" s="15" t="s">
        <v>153</v>
      </c>
      <c r="C383" s="15" t="s">
        <v>914</v>
      </c>
      <c r="D383" s="15" t="s">
        <v>914</v>
      </c>
      <c r="E383" s="12" t="s">
        <v>171</v>
      </c>
      <c r="F383" s="13" t="s">
        <v>50</v>
      </c>
      <c r="G383" s="13" t="s">
        <v>51</v>
      </c>
      <c r="H383" s="16" t="s">
        <v>52</v>
      </c>
      <c r="I383" s="16" t="s">
        <v>156</v>
      </c>
      <c r="J383" s="17">
        <v>13</v>
      </c>
      <c r="K383" s="17"/>
      <c r="L383" s="17"/>
      <c r="M383" s="17" t="s">
        <v>291</v>
      </c>
      <c r="N383" s="53" t="s">
        <v>98</v>
      </c>
      <c r="O383" s="17" t="s">
        <v>101</v>
      </c>
      <c r="P383" s="17"/>
      <c r="Q383" s="17"/>
      <c r="R383" s="17"/>
      <c r="S383" s="17">
        <v>7.2</v>
      </c>
      <c r="T383" s="17">
        <v>0.01</v>
      </c>
      <c r="U383" s="19">
        <f t="shared" si="29"/>
        <v>1.3888888888888889E-3</v>
      </c>
      <c r="V383" s="41">
        <f t="shared" si="28"/>
        <v>-99.861111111111114</v>
      </c>
      <c r="W383" s="14"/>
      <c r="X383" s="17" t="s">
        <v>56</v>
      </c>
      <c r="Y383" s="17"/>
      <c r="Z383" s="17" t="s">
        <v>56</v>
      </c>
      <c r="AA383" s="17"/>
      <c r="AB383" s="17" t="s">
        <v>57</v>
      </c>
      <c r="AC383" s="17">
        <v>2006</v>
      </c>
      <c r="AD383" s="17">
        <v>0</v>
      </c>
      <c r="AE383" s="17"/>
      <c r="AF383" s="17"/>
      <c r="AG383" s="17">
        <v>1999</v>
      </c>
      <c r="AH383" s="14">
        <f t="shared" si="26"/>
        <v>7</v>
      </c>
      <c r="AI383" s="17">
        <f t="shared" si="27"/>
        <v>7</v>
      </c>
      <c r="AJ383" s="17"/>
      <c r="AK383" s="17" t="s">
        <v>56</v>
      </c>
      <c r="AL383" s="16" t="s">
        <v>289</v>
      </c>
      <c r="AM383" s="17">
        <v>2009</v>
      </c>
      <c r="AN383" s="15" t="s">
        <v>183</v>
      </c>
      <c r="AO383" s="15" t="s">
        <v>56</v>
      </c>
      <c r="AP383" s="15"/>
      <c r="AQ383" s="15" t="s">
        <v>56</v>
      </c>
      <c r="AR383" s="15" t="s">
        <v>58</v>
      </c>
      <c r="AS383" s="15" t="s">
        <v>83</v>
      </c>
      <c r="AT383" s="12"/>
      <c r="AU383" s="45" t="s">
        <v>290</v>
      </c>
      <c r="AV383" s="15"/>
      <c r="AW383" s="12" t="str">
        <f>B383&amp;C383&amp;L383&amp;M383&amp;O383&amp;U383&amp;AL383&amp;AM383</f>
        <v>PhilippinesGuimputlan Marine ReserveMacroalgaecover0.00138888888888889Stockwell2009</v>
      </c>
    </row>
    <row r="384" spans="1:49" ht="14.25" customHeight="1" x14ac:dyDescent="0.35">
      <c r="A384" s="12">
        <v>383</v>
      </c>
      <c r="B384" s="15" t="s">
        <v>153</v>
      </c>
      <c r="C384" s="15" t="s">
        <v>914</v>
      </c>
      <c r="D384" s="15" t="s">
        <v>914</v>
      </c>
      <c r="E384" s="15" t="s">
        <v>171</v>
      </c>
      <c r="F384" s="13" t="s">
        <v>50</v>
      </c>
      <c r="G384" s="13" t="s">
        <v>51</v>
      </c>
      <c r="H384" s="16" t="s">
        <v>52</v>
      </c>
      <c r="I384" s="16" t="s">
        <v>156</v>
      </c>
      <c r="J384" s="17">
        <v>13</v>
      </c>
      <c r="K384" s="17"/>
      <c r="L384" s="17"/>
      <c r="M384" s="17" t="s">
        <v>292</v>
      </c>
      <c r="N384" s="53" t="s">
        <v>98</v>
      </c>
      <c r="O384" s="17" t="s">
        <v>70</v>
      </c>
      <c r="P384" s="17"/>
      <c r="Q384" s="17"/>
      <c r="R384" s="17"/>
      <c r="S384" s="17">
        <v>1</v>
      </c>
      <c r="T384" s="17">
        <v>29.7</v>
      </c>
      <c r="U384" s="20">
        <f t="shared" si="29"/>
        <v>29.7</v>
      </c>
      <c r="V384" s="22">
        <f t="shared" si="28"/>
        <v>2870</v>
      </c>
      <c r="W384" s="17"/>
      <c r="X384" s="17" t="s">
        <v>56</v>
      </c>
      <c r="Y384" s="17"/>
      <c r="Z384" s="17" t="s">
        <v>56</v>
      </c>
      <c r="AA384" s="17"/>
      <c r="AB384" s="17" t="s">
        <v>57</v>
      </c>
      <c r="AC384" s="17">
        <v>2006</v>
      </c>
      <c r="AD384" s="17">
        <v>0</v>
      </c>
      <c r="AE384" s="17"/>
      <c r="AF384" s="17"/>
      <c r="AG384" s="17">
        <v>1999</v>
      </c>
      <c r="AH384" s="14">
        <f t="shared" si="26"/>
        <v>7</v>
      </c>
      <c r="AI384" s="17">
        <f t="shared" si="27"/>
        <v>7</v>
      </c>
      <c r="AJ384" s="17"/>
      <c r="AK384" s="17" t="s">
        <v>56</v>
      </c>
      <c r="AL384" s="16" t="s">
        <v>289</v>
      </c>
      <c r="AM384" s="17">
        <v>2009</v>
      </c>
      <c r="AN384" s="15" t="s">
        <v>183</v>
      </c>
      <c r="AO384" s="15" t="s">
        <v>56</v>
      </c>
      <c r="AP384" s="15"/>
      <c r="AQ384" s="15" t="s">
        <v>56</v>
      </c>
      <c r="AR384" s="15" t="s">
        <v>58</v>
      </c>
      <c r="AS384" s="15" t="s">
        <v>83</v>
      </c>
      <c r="AT384" s="15"/>
      <c r="AU384" s="45" t="s">
        <v>293</v>
      </c>
      <c r="AV384" s="15"/>
      <c r="AW384" s="12" t="str">
        <f>B384&amp;C384&amp;L384&amp;M384&amp;O384&amp;U384&amp;AL384&amp;AM384</f>
        <v>PhilippinesGuimputlan Marine ReserveHerbivorous fishbiomassden29.7Stockwell2009</v>
      </c>
    </row>
    <row r="385" spans="1:49" ht="14.25" customHeight="1" x14ac:dyDescent="0.35">
      <c r="A385" s="12">
        <v>384</v>
      </c>
      <c r="B385" s="15" t="s">
        <v>153</v>
      </c>
      <c r="C385" s="15" t="s">
        <v>287</v>
      </c>
      <c r="D385" s="15" t="s">
        <v>287</v>
      </c>
      <c r="E385" s="12" t="s">
        <v>171</v>
      </c>
      <c r="F385" s="13" t="s">
        <v>50</v>
      </c>
      <c r="G385" s="13" t="s">
        <v>51</v>
      </c>
      <c r="H385" s="16" t="s">
        <v>52</v>
      </c>
      <c r="I385" s="16" t="s">
        <v>156</v>
      </c>
      <c r="J385" s="14">
        <v>0.1</v>
      </c>
      <c r="K385" s="17"/>
      <c r="L385" s="17" t="s">
        <v>185</v>
      </c>
      <c r="M385" s="17" t="s">
        <v>186</v>
      </c>
      <c r="N385" s="17" t="s">
        <v>288</v>
      </c>
      <c r="O385" s="17" t="s">
        <v>101</v>
      </c>
      <c r="P385" s="17"/>
      <c r="Q385" s="17"/>
      <c r="R385" s="17"/>
      <c r="S385" s="17">
        <v>43</v>
      </c>
      <c r="T385" s="17">
        <v>40.200000000000003</v>
      </c>
      <c r="U385" s="19">
        <f t="shared" si="29"/>
        <v>0.93488372093023264</v>
      </c>
      <c r="V385" s="41">
        <f t="shared" si="28"/>
        <v>-6.5116279069767362</v>
      </c>
      <c r="W385" s="14"/>
      <c r="X385" s="17" t="s">
        <v>56</v>
      </c>
      <c r="Y385" s="17"/>
      <c r="Z385" s="17" t="s">
        <v>56</v>
      </c>
      <c r="AA385" s="17"/>
      <c r="AB385" s="17" t="s">
        <v>57</v>
      </c>
      <c r="AC385" s="17">
        <v>2008</v>
      </c>
      <c r="AD385" s="17">
        <v>0</v>
      </c>
      <c r="AE385" s="17"/>
      <c r="AF385" s="17"/>
      <c r="AG385" s="14">
        <v>1999</v>
      </c>
      <c r="AH385" s="14">
        <f t="shared" si="26"/>
        <v>9</v>
      </c>
      <c r="AI385" s="17">
        <f t="shared" si="27"/>
        <v>9</v>
      </c>
      <c r="AJ385" s="17"/>
      <c r="AK385" s="17" t="s">
        <v>56</v>
      </c>
      <c r="AL385" s="16" t="s">
        <v>289</v>
      </c>
      <c r="AM385" s="17">
        <v>2009</v>
      </c>
      <c r="AN385" s="12" t="s">
        <v>183</v>
      </c>
      <c r="AO385" s="15" t="s">
        <v>56</v>
      </c>
      <c r="AP385" s="15"/>
      <c r="AQ385" s="15" t="s">
        <v>56</v>
      </c>
      <c r="AR385" s="15" t="s">
        <v>58</v>
      </c>
      <c r="AS385" s="15" t="s">
        <v>83</v>
      </c>
      <c r="AT385" s="12"/>
      <c r="AU385" s="45" t="s">
        <v>290</v>
      </c>
      <c r="AV385" s="15"/>
      <c r="AW385" s="12" t="str">
        <f>B385&amp;C385&amp;L385&amp;M385&amp;O385&amp;U385&amp;AL385&amp;AM385</f>
        <v>PhilippinesAve Maria Marine ReserveScleractiniahard coralcover0.934883720930233Stockwell2009</v>
      </c>
    </row>
    <row r="386" spans="1:49" ht="14.25" customHeight="1" x14ac:dyDescent="0.35">
      <c r="A386" s="12">
        <v>385</v>
      </c>
      <c r="B386" s="15" t="s">
        <v>153</v>
      </c>
      <c r="C386" s="15" t="s">
        <v>287</v>
      </c>
      <c r="D386" s="15" t="s">
        <v>287</v>
      </c>
      <c r="E386" s="12" t="s">
        <v>171</v>
      </c>
      <c r="F386" s="13" t="s">
        <v>50</v>
      </c>
      <c r="G386" s="13" t="s">
        <v>51</v>
      </c>
      <c r="H386" s="16" t="s">
        <v>52</v>
      </c>
      <c r="I386" s="16" t="s">
        <v>156</v>
      </c>
      <c r="J386" s="14">
        <v>0.1</v>
      </c>
      <c r="K386" s="17"/>
      <c r="L386" s="17"/>
      <c r="M386" s="17" t="s">
        <v>291</v>
      </c>
      <c r="N386" s="53" t="s">
        <v>98</v>
      </c>
      <c r="O386" s="17" t="s">
        <v>101</v>
      </c>
      <c r="P386" s="17"/>
      <c r="Q386" s="17"/>
      <c r="R386" s="17"/>
      <c r="S386" s="17">
        <v>3.7</v>
      </c>
      <c r="T386" s="17">
        <v>0.3</v>
      </c>
      <c r="U386" s="19">
        <f t="shared" si="29"/>
        <v>8.1081081081081072E-2</v>
      </c>
      <c r="V386" s="41">
        <f t="shared" si="28"/>
        <v>-91.891891891891902</v>
      </c>
      <c r="W386" s="14"/>
      <c r="X386" s="17" t="s">
        <v>56</v>
      </c>
      <c r="Y386" s="17"/>
      <c r="Z386" s="17" t="s">
        <v>56</v>
      </c>
      <c r="AA386" s="17"/>
      <c r="AB386" s="17" t="s">
        <v>57</v>
      </c>
      <c r="AC386" s="17">
        <v>2008</v>
      </c>
      <c r="AD386" s="17">
        <v>0</v>
      </c>
      <c r="AE386" s="17"/>
      <c r="AF386" s="17"/>
      <c r="AG386" s="14">
        <v>1999</v>
      </c>
      <c r="AH386" s="14">
        <f t="shared" ref="AH386:AH449" si="30">IF(OR(AG386="NA",AC386="NA"),"NA",IF(OR(AC386="",AG386=""), "", AC386-AG386))</f>
        <v>9</v>
      </c>
      <c r="AI386" s="17">
        <f t="shared" ref="AI386:AI449" si="31">IF(AH386="NA", "NA",IF(OR(AH386="",AND(AD386="",AE386="")), "",AH386+AD386+AE386/12))</f>
        <v>9</v>
      </c>
      <c r="AJ386" s="17"/>
      <c r="AK386" s="17" t="s">
        <v>56</v>
      </c>
      <c r="AL386" s="16" t="s">
        <v>289</v>
      </c>
      <c r="AM386" s="17">
        <v>2009</v>
      </c>
      <c r="AN386" s="12" t="s">
        <v>183</v>
      </c>
      <c r="AO386" s="15" t="s">
        <v>56</v>
      </c>
      <c r="AP386" s="15"/>
      <c r="AQ386" s="15" t="s">
        <v>56</v>
      </c>
      <c r="AR386" s="15" t="s">
        <v>58</v>
      </c>
      <c r="AS386" s="15" t="s">
        <v>83</v>
      </c>
      <c r="AT386" s="12"/>
      <c r="AU386" s="45" t="s">
        <v>290</v>
      </c>
      <c r="AV386" s="15"/>
      <c r="AW386" s="12" t="str">
        <f>B386&amp;C386&amp;L386&amp;M386&amp;O386&amp;U386&amp;AL386&amp;AM386</f>
        <v>PhilippinesAve Maria Marine ReserveMacroalgaecover0.0810810810810811Stockwell2009</v>
      </c>
    </row>
    <row r="387" spans="1:49" ht="14.25" customHeight="1" x14ac:dyDescent="0.35">
      <c r="A387" s="12">
        <v>386</v>
      </c>
      <c r="B387" s="15" t="s">
        <v>153</v>
      </c>
      <c r="C387" s="15" t="s">
        <v>287</v>
      </c>
      <c r="D387" s="15" t="s">
        <v>287</v>
      </c>
      <c r="E387" s="12" t="s">
        <v>171</v>
      </c>
      <c r="F387" s="13" t="s">
        <v>50</v>
      </c>
      <c r="G387" s="13" t="s">
        <v>51</v>
      </c>
      <c r="H387" s="16" t="s">
        <v>52</v>
      </c>
      <c r="I387" s="16" t="s">
        <v>156</v>
      </c>
      <c r="J387" s="14">
        <v>0.1</v>
      </c>
      <c r="K387" s="17"/>
      <c r="L387" s="17"/>
      <c r="M387" s="17" t="s">
        <v>292</v>
      </c>
      <c r="N387" s="53" t="s">
        <v>98</v>
      </c>
      <c r="O387" s="17" t="s">
        <v>70</v>
      </c>
      <c r="P387" s="17"/>
      <c r="Q387" s="17"/>
      <c r="R387" s="17"/>
      <c r="S387" s="17">
        <v>1.5</v>
      </c>
      <c r="T387" s="17">
        <v>32.4</v>
      </c>
      <c r="U387" s="19">
        <f t="shared" si="29"/>
        <v>21.599999999999998</v>
      </c>
      <c r="V387" s="41">
        <f t="shared" si="28"/>
        <v>2060</v>
      </c>
      <c r="W387" s="14"/>
      <c r="X387" s="17" t="s">
        <v>56</v>
      </c>
      <c r="Y387" s="17"/>
      <c r="Z387" s="17" t="s">
        <v>56</v>
      </c>
      <c r="AA387" s="17"/>
      <c r="AB387" s="17" t="s">
        <v>57</v>
      </c>
      <c r="AC387" s="17">
        <v>2008</v>
      </c>
      <c r="AD387" s="17">
        <v>0</v>
      </c>
      <c r="AE387" s="17"/>
      <c r="AF387" s="17"/>
      <c r="AG387" s="14">
        <v>1999</v>
      </c>
      <c r="AH387" s="14">
        <f t="shared" si="30"/>
        <v>9</v>
      </c>
      <c r="AI387" s="17">
        <f t="shared" si="31"/>
        <v>9</v>
      </c>
      <c r="AJ387" s="17"/>
      <c r="AK387" s="17" t="s">
        <v>56</v>
      </c>
      <c r="AL387" s="16" t="s">
        <v>289</v>
      </c>
      <c r="AM387" s="17">
        <v>2009</v>
      </c>
      <c r="AN387" s="12" t="s">
        <v>183</v>
      </c>
      <c r="AO387" s="15" t="s">
        <v>56</v>
      </c>
      <c r="AP387" s="15"/>
      <c r="AQ387" s="15" t="s">
        <v>56</v>
      </c>
      <c r="AR387" s="15" t="s">
        <v>58</v>
      </c>
      <c r="AS387" s="15" t="s">
        <v>83</v>
      </c>
      <c r="AT387" s="12"/>
      <c r="AU387" s="45" t="s">
        <v>293</v>
      </c>
      <c r="AV387" s="15"/>
      <c r="AW387" s="12" t="str">
        <f>B387&amp;C387&amp;L387&amp;M387&amp;O387&amp;U387&amp;AL387&amp;AM387</f>
        <v>PhilippinesAve Maria Marine ReserveHerbivorous fishbiomassden21.6Stockwell2009</v>
      </c>
    </row>
    <row r="388" spans="1:49" ht="14.25" customHeight="1" x14ac:dyDescent="0.35">
      <c r="A388" s="12">
        <v>387</v>
      </c>
      <c r="B388" s="12" t="s">
        <v>1527</v>
      </c>
      <c r="C388" s="12" t="s">
        <v>2741</v>
      </c>
      <c r="D388" s="12" t="s">
        <v>2740</v>
      </c>
      <c r="E388" s="12" t="s">
        <v>1376</v>
      </c>
      <c r="F388" s="13" t="s">
        <v>50</v>
      </c>
      <c r="G388" s="13" t="s">
        <v>51</v>
      </c>
      <c r="H388" s="13" t="s">
        <v>481</v>
      </c>
      <c r="I388" s="13" t="s">
        <v>156</v>
      </c>
      <c r="J388" s="14">
        <v>1.79</v>
      </c>
      <c r="K388" s="17"/>
      <c r="L388" s="14"/>
      <c r="M388" s="14" t="s">
        <v>789</v>
      </c>
      <c r="N388" s="53" t="s">
        <v>98</v>
      </c>
      <c r="O388" s="17" t="s">
        <v>86</v>
      </c>
      <c r="P388" s="14"/>
      <c r="Q388" s="14"/>
      <c r="R388" s="14"/>
      <c r="S388" s="14">
        <v>1058.5523282618697</v>
      </c>
      <c r="T388" s="14">
        <v>5806.3623789764806</v>
      </c>
      <c r="U388" s="19">
        <f t="shared" si="29"/>
        <v>5.4851916376306677</v>
      </c>
      <c r="V388" s="41">
        <f t="shared" ref="V388:V451" si="32">IFERROR(IF(U388 = "", "",(U388-1)*100),"N/A")</f>
        <v>448.51916376306679</v>
      </c>
      <c r="W388" s="14"/>
      <c r="X388" s="17" t="s">
        <v>56</v>
      </c>
      <c r="Z388" s="14" t="s">
        <v>56</v>
      </c>
      <c r="AA388" s="14"/>
      <c r="AB388" s="14" t="s">
        <v>57</v>
      </c>
      <c r="AC388" s="14">
        <v>2007</v>
      </c>
      <c r="AD388" s="14">
        <v>1</v>
      </c>
      <c r="AE388" s="14">
        <v>2</v>
      </c>
      <c r="AF388" s="14"/>
      <c r="AG388" s="14">
        <v>2001</v>
      </c>
      <c r="AH388" s="14">
        <f t="shared" si="30"/>
        <v>6</v>
      </c>
      <c r="AI388" s="17">
        <f t="shared" si="31"/>
        <v>7.166666666666667</v>
      </c>
      <c r="AJ388" s="14"/>
      <c r="AK388" s="14" t="s">
        <v>56</v>
      </c>
      <c r="AL388" s="13" t="s">
        <v>790</v>
      </c>
      <c r="AM388" s="12">
        <v>2014</v>
      </c>
      <c r="AN388" s="12" t="s">
        <v>150</v>
      </c>
      <c r="AO388" s="12" t="s">
        <v>56</v>
      </c>
      <c r="AP388" s="12" t="s">
        <v>791</v>
      </c>
      <c r="AQ388" s="12" t="s">
        <v>56</v>
      </c>
      <c r="AR388" s="12" t="s">
        <v>58</v>
      </c>
      <c r="AS388" s="12" t="s">
        <v>163</v>
      </c>
      <c r="AT388" s="12"/>
      <c r="AU388" s="45" t="s">
        <v>2743</v>
      </c>
      <c r="AV388" s="15"/>
      <c r="AW388" s="12" t="str">
        <f>B388&amp;C388&amp;L388&amp;M388&amp;O388&amp;U388&amp;AL388&amp;AM388</f>
        <v>ItalyTorre Guaceto Zone AApex predatorsdensity5.48519163763067Guidetti2014</v>
      </c>
    </row>
    <row r="389" spans="1:49" ht="14.25" customHeight="1" x14ac:dyDescent="0.35">
      <c r="A389" s="12">
        <v>388</v>
      </c>
      <c r="B389" s="12" t="s">
        <v>1527</v>
      </c>
      <c r="C389" s="12" t="s">
        <v>2741</v>
      </c>
      <c r="D389" s="15" t="s">
        <v>2740</v>
      </c>
      <c r="E389" s="12" t="s">
        <v>1376</v>
      </c>
      <c r="F389" s="13" t="s">
        <v>50</v>
      </c>
      <c r="G389" s="13" t="s">
        <v>51</v>
      </c>
      <c r="H389" s="13" t="s">
        <v>481</v>
      </c>
      <c r="I389" s="13" t="s">
        <v>156</v>
      </c>
      <c r="J389" s="14">
        <v>1.79</v>
      </c>
      <c r="K389" s="17"/>
      <c r="L389" s="14"/>
      <c r="M389" s="14" t="s">
        <v>792</v>
      </c>
      <c r="N389" s="53" t="s">
        <v>98</v>
      </c>
      <c r="O389" s="17" t="s">
        <v>86</v>
      </c>
      <c r="P389" s="14"/>
      <c r="Q389" s="14"/>
      <c r="R389" s="14"/>
      <c r="S389" s="19">
        <v>280774.19354838692</v>
      </c>
      <c r="T389" s="19">
        <v>433548.3870967736</v>
      </c>
      <c r="U389" s="19">
        <f t="shared" si="29"/>
        <v>1.5441176470588225</v>
      </c>
      <c r="V389" s="41">
        <f t="shared" si="32"/>
        <v>54.411764705882248</v>
      </c>
      <c r="W389" s="14"/>
      <c r="X389" s="17" t="s">
        <v>56</v>
      </c>
      <c r="Z389" s="14" t="s">
        <v>56</v>
      </c>
      <c r="AA389" s="14"/>
      <c r="AB389" s="14" t="s">
        <v>57</v>
      </c>
      <c r="AC389" s="14">
        <v>2007</v>
      </c>
      <c r="AD389" s="14">
        <v>1</v>
      </c>
      <c r="AE389" s="14">
        <v>2</v>
      </c>
      <c r="AF389" s="14"/>
      <c r="AG389" s="14">
        <v>2001</v>
      </c>
      <c r="AH389" s="14">
        <f t="shared" si="30"/>
        <v>6</v>
      </c>
      <c r="AI389" s="17">
        <f t="shared" si="31"/>
        <v>7.166666666666667</v>
      </c>
      <c r="AJ389" s="14"/>
      <c r="AK389" s="14" t="s">
        <v>56</v>
      </c>
      <c r="AL389" s="13" t="s">
        <v>790</v>
      </c>
      <c r="AM389" s="12">
        <v>2014</v>
      </c>
      <c r="AN389" s="12" t="s">
        <v>150</v>
      </c>
      <c r="AO389" s="12" t="s">
        <v>56</v>
      </c>
      <c r="AP389" s="12" t="s">
        <v>791</v>
      </c>
      <c r="AQ389" s="12" t="s">
        <v>56</v>
      </c>
      <c r="AR389" s="12" t="s">
        <v>58</v>
      </c>
      <c r="AS389" s="12" t="s">
        <v>163</v>
      </c>
      <c r="AT389" s="12"/>
      <c r="AU389" s="45" t="s">
        <v>2744</v>
      </c>
      <c r="AV389" s="15"/>
      <c r="AW389" s="12" t="str">
        <f>B389&amp;C389&amp;L389&amp;M389&amp;O389&amp;U389&amp;AL389&amp;AM389</f>
        <v>ItalyTorre Guaceto Zone ACarnivoresdensity1.54411764705882Guidetti2014</v>
      </c>
    </row>
    <row r="390" spans="1:49" ht="14.25" customHeight="1" x14ac:dyDescent="0.35">
      <c r="A390" s="12">
        <v>389</v>
      </c>
      <c r="B390" s="12" t="s">
        <v>1527</v>
      </c>
      <c r="C390" s="12" t="s">
        <v>2741</v>
      </c>
      <c r="D390" s="12" t="s">
        <v>2740</v>
      </c>
      <c r="E390" s="12" t="s">
        <v>1376</v>
      </c>
      <c r="F390" s="13" t="s">
        <v>50</v>
      </c>
      <c r="G390" s="13" t="s">
        <v>51</v>
      </c>
      <c r="H390" s="13" t="s">
        <v>481</v>
      </c>
      <c r="I390" s="13" t="s">
        <v>156</v>
      </c>
      <c r="J390" s="14">
        <v>1.79</v>
      </c>
      <c r="K390" s="17"/>
      <c r="L390" s="14"/>
      <c r="M390" s="14" t="s">
        <v>560</v>
      </c>
      <c r="N390" s="53" t="s">
        <v>98</v>
      </c>
      <c r="O390" s="17" t="s">
        <v>86</v>
      </c>
      <c r="P390" s="14"/>
      <c r="Q390" s="14"/>
      <c r="R390" s="14"/>
      <c r="S390" s="41">
        <v>1176165.8029866666</v>
      </c>
      <c r="T390" s="41">
        <v>440414.50776000001</v>
      </c>
      <c r="U390" s="19">
        <f t="shared" si="29"/>
        <v>0.37444933923571377</v>
      </c>
      <c r="V390" s="41">
        <f t="shared" si="32"/>
        <v>-62.555066076428623</v>
      </c>
      <c r="W390" s="14"/>
      <c r="X390" s="17" t="s">
        <v>56</v>
      </c>
      <c r="Z390" s="14" t="s">
        <v>56</v>
      </c>
      <c r="AA390" s="14"/>
      <c r="AB390" s="14" t="s">
        <v>57</v>
      </c>
      <c r="AC390" s="14">
        <v>2007</v>
      </c>
      <c r="AD390" s="14">
        <v>1</v>
      </c>
      <c r="AE390" s="14">
        <v>2</v>
      </c>
      <c r="AF390" s="14"/>
      <c r="AG390" s="14">
        <v>2001</v>
      </c>
      <c r="AH390" s="14">
        <f t="shared" si="30"/>
        <v>6</v>
      </c>
      <c r="AI390" s="17">
        <f t="shared" si="31"/>
        <v>7.166666666666667</v>
      </c>
      <c r="AJ390" s="14"/>
      <c r="AK390" s="14" t="s">
        <v>56</v>
      </c>
      <c r="AL390" s="13" t="s">
        <v>790</v>
      </c>
      <c r="AM390" s="12">
        <v>2014</v>
      </c>
      <c r="AN390" s="12" t="s">
        <v>150</v>
      </c>
      <c r="AO390" s="12" t="s">
        <v>56</v>
      </c>
      <c r="AP390" s="12" t="s">
        <v>791</v>
      </c>
      <c r="AQ390" s="12" t="s">
        <v>56</v>
      </c>
      <c r="AR390" s="12" t="s">
        <v>58</v>
      </c>
      <c r="AS390" s="12" t="s">
        <v>163</v>
      </c>
      <c r="AT390" s="12"/>
      <c r="AU390" s="45" t="s">
        <v>2745</v>
      </c>
      <c r="AV390" s="15"/>
      <c r="AW390" s="12" t="str">
        <f>B390&amp;C390&amp;L390&amp;M390&amp;O390&amp;U390&amp;AL390&amp;AM390</f>
        <v>ItalyTorre Guaceto Zone APlanktivoresdensity0.374449339235714Guidetti2014</v>
      </c>
    </row>
    <row r="391" spans="1:49" ht="14.25" customHeight="1" x14ac:dyDescent="0.35">
      <c r="A391" s="12">
        <v>390</v>
      </c>
      <c r="B391" s="15" t="s">
        <v>1527</v>
      </c>
      <c r="C391" s="15" t="s">
        <v>2741</v>
      </c>
      <c r="D391" s="15" t="s">
        <v>2740</v>
      </c>
      <c r="E391" s="15" t="s">
        <v>1376</v>
      </c>
      <c r="F391" s="13" t="s">
        <v>50</v>
      </c>
      <c r="G391" s="13" t="s">
        <v>51</v>
      </c>
      <c r="H391" s="16" t="s">
        <v>481</v>
      </c>
      <c r="I391" s="16" t="s">
        <v>156</v>
      </c>
      <c r="J391" s="17">
        <v>1.79</v>
      </c>
      <c r="K391" s="17"/>
      <c r="L391" s="17"/>
      <c r="M391" s="17" t="s">
        <v>559</v>
      </c>
      <c r="N391" s="53" t="s">
        <v>98</v>
      </c>
      <c r="O391" s="17" t="s">
        <v>86</v>
      </c>
      <c r="P391" s="17"/>
      <c r="Q391" s="17"/>
      <c r="R391" s="17"/>
      <c r="S391" s="17">
        <v>20761.245674666665</v>
      </c>
      <c r="T391" s="17">
        <v>4844.2906560000001</v>
      </c>
      <c r="U391" s="20">
        <f t="shared" si="29"/>
        <v>0.23333333326482966</v>
      </c>
      <c r="V391" s="22">
        <f t="shared" si="32"/>
        <v>-76.666666673517042</v>
      </c>
      <c r="W391" s="17"/>
      <c r="X391" s="17" t="s">
        <v>56</v>
      </c>
      <c r="Z391" s="17" t="s">
        <v>56</v>
      </c>
      <c r="AA391" s="17"/>
      <c r="AB391" s="17" t="s">
        <v>57</v>
      </c>
      <c r="AC391" s="17">
        <v>2007</v>
      </c>
      <c r="AD391" s="17">
        <v>1</v>
      </c>
      <c r="AE391" s="17">
        <v>2</v>
      </c>
      <c r="AF391" s="17"/>
      <c r="AG391" s="17">
        <v>2001</v>
      </c>
      <c r="AH391" s="14">
        <f t="shared" si="30"/>
        <v>6</v>
      </c>
      <c r="AI391" s="17">
        <f t="shared" si="31"/>
        <v>7.166666666666667</v>
      </c>
      <c r="AJ391" s="17"/>
      <c r="AK391" s="17" t="s">
        <v>56</v>
      </c>
      <c r="AL391" s="16" t="s">
        <v>790</v>
      </c>
      <c r="AM391" s="15">
        <v>2014</v>
      </c>
      <c r="AN391" s="15" t="s">
        <v>150</v>
      </c>
      <c r="AO391" s="15" t="s">
        <v>56</v>
      </c>
      <c r="AP391" s="15" t="s">
        <v>791</v>
      </c>
      <c r="AQ391" s="15" t="s">
        <v>56</v>
      </c>
      <c r="AR391" s="15" t="s">
        <v>58</v>
      </c>
      <c r="AS391" s="15" t="s">
        <v>163</v>
      </c>
      <c r="AT391" s="15"/>
      <c r="AU391" s="45" t="s">
        <v>2746</v>
      </c>
      <c r="AV391" s="15"/>
      <c r="AW391" s="12" t="str">
        <f>B391&amp;C391&amp;L391&amp;M391&amp;O391&amp;U391&amp;AL391&amp;AM391</f>
        <v>ItalyTorre Guaceto Zone AHerbivoresdensity0.23333333326483Guidetti2014</v>
      </c>
    </row>
    <row r="392" spans="1:49" ht="14.25" customHeight="1" x14ac:dyDescent="0.35">
      <c r="A392" s="12">
        <v>391</v>
      </c>
      <c r="B392" s="15" t="s">
        <v>1527</v>
      </c>
      <c r="C392" s="15" t="s">
        <v>2741</v>
      </c>
      <c r="D392" s="15" t="s">
        <v>2740</v>
      </c>
      <c r="E392" s="15" t="s">
        <v>1376</v>
      </c>
      <c r="F392" s="13" t="s">
        <v>50</v>
      </c>
      <c r="G392" s="13" t="s">
        <v>51</v>
      </c>
      <c r="H392" s="16" t="s">
        <v>481</v>
      </c>
      <c r="I392" s="16" t="s">
        <v>156</v>
      </c>
      <c r="J392" s="17">
        <v>1.79</v>
      </c>
      <c r="K392" s="17"/>
      <c r="L392" s="17"/>
      <c r="M392" s="17" t="s">
        <v>793</v>
      </c>
      <c r="N392" s="53" t="s">
        <v>98</v>
      </c>
      <c r="O392" s="17" t="s">
        <v>86</v>
      </c>
      <c r="P392" s="17"/>
      <c r="Q392" s="17"/>
      <c r="R392" s="17"/>
      <c r="S392" s="17">
        <v>283.68794400000002</v>
      </c>
      <c r="T392" s="17">
        <v>0</v>
      </c>
      <c r="U392" s="20">
        <f t="shared" si="29"/>
        <v>0</v>
      </c>
      <c r="V392" s="22">
        <f t="shared" si="32"/>
        <v>-100</v>
      </c>
      <c r="W392" s="17"/>
      <c r="X392" s="17" t="s">
        <v>56</v>
      </c>
      <c r="Z392" s="17" t="s">
        <v>56</v>
      </c>
      <c r="AA392" s="17"/>
      <c r="AB392" s="17" t="s">
        <v>57</v>
      </c>
      <c r="AC392" s="17">
        <v>2007</v>
      </c>
      <c r="AD392" s="17">
        <v>1</v>
      </c>
      <c r="AE392" s="17">
        <v>2</v>
      </c>
      <c r="AF392" s="17"/>
      <c r="AG392" s="17">
        <v>2001</v>
      </c>
      <c r="AH392" s="14">
        <f t="shared" si="30"/>
        <v>6</v>
      </c>
      <c r="AI392" s="17">
        <f t="shared" si="31"/>
        <v>7.166666666666667</v>
      </c>
      <c r="AJ392" s="17"/>
      <c r="AK392" s="17" t="s">
        <v>56</v>
      </c>
      <c r="AL392" s="16" t="s">
        <v>790</v>
      </c>
      <c r="AM392" s="15">
        <v>2014</v>
      </c>
      <c r="AN392" s="15" t="s">
        <v>150</v>
      </c>
      <c r="AO392" s="15" t="s">
        <v>56</v>
      </c>
      <c r="AP392" s="15" t="s">
        <v>791</v>
      </c>
      <c r="AQ392" s="15" t="s">
        <v>56</v>
      </c>
      <c r="AR392" s="15" t="s">
        <v>58</v>
      </c>
      <c r="AS392" s="15" t="s">
        <v>163</v>
      </c>
      <c r="AT392" s="15"/>
      <c r="AU392" s="45" t="s">
        <v>2747</v>
      </c>
      <c r="AV392" s="15"/>
      <c r="AW392" s="12" t="str">
        <f>B392&amp;C392&amp;L392&amp;M392&amp;O392&amp;U392&amp;AL392&amp;AM392</f>
        <v>ItalyTorre Guaceto Zone ADetritivoresdensity0Guidetti2014</v>
      </c>
    </row>
    <row r="393" spans="1:49" ht="14.25" customHeight="1" x14ac:dyDescent="0.35">
      <c r="A393" s="12">
        <v>392</v>
      </c>
      <c r="B393" s="15" t="s">
        <v>1527</v>
      </c>
      <c r="C393" s="15" t="s">
        <v>2741</v>
      </c>
      <c r="D393" s="15" t="s">
        <v>2740</v>
      </c>
      <c r="E393" s="15" t="s">
        <v>1376</v>
      </c>
      <c r="F393" s="13" t="s">
        <v>50</v>
      </c>
      <c r="G393" s="13" t="s">
        <v>51</v>
      </c>
      <c r="H393" s="16" t="s">
        <v>481</v>
      </c>
      <c r="I393" s="16" t="s">
        <v>156</v>
      </c>
      <c r="J393" s="17">
        <v>1.79</v>
      </c>
      <c r="K393" s="17"/>
      <c r="L393" s="17"/>
      <c r="M393" s="17" t="s">
        <v>789</v>
      </c>
      <c r="N393" s="53" t="s">
        <v>98</v>
      </c>
      <c r="O393" s="17" t="s">
        <v>70</v>
      </c>
      <c r="P393" s="17"/>
      <c r="Q393" s="17"/>
      <c r="R393" s="17"/>
      <c r="S393" s="17">
        <v>9919.1374663072274</v>
      </c>
      <c r="T393" s="17">
        <v>21994.609164420399</v>
      </c>
      <c r="U393" s="20">
        <f t="shared" si="29"/>
        <v>2.2173913043478284</v>
      </c>
      <c r="V393" s="22">
        <f t="shared" si="32"/>
        <v>121.73913043478284</v>
      </c>
      <c r="W393" s="17"/>
      <c r="X393" s="17" t="s">
        <v>56</v>
      </c>
      <c r="Z393" s="17" t="s">
        <v>56</v>
      </c>
      <c r="AA393" s="17"/>
      <c r="AB393" s="17" t="s">
        <v>57</v>
      </c>
      <c r="AC393" s="17">
        <v>2007</v>
      </c>
      <c r="AD393" s="17">
        <v>1</v>
      </c>
      <c r="AE393" s="17">
        <v>2</v>
      </c>
      <c r="AF393" s="17"/>
      <c r="AG393" s="17">
        <v>2001</v>
      </c>
      <c r="AH393" s="14">
        <f t="shared" si="30"/>
        <v>6</v>
      </c>
      <c r="AI393" s="17">
        <f t="shared" si="31"/>
        <v>7.166666666666667</v>
      </c>
      <c r="AJ393" s="17"/>
      <c r="AK393" s="17" t="s">
        <v>56</v>
      </c>
      <c r="AL393" s="16" t="s">
        <v>790</v>
      </c>
      <c r="AM393" s="15">
        <v>2014</v>
      </c>
      <c r="AN393" s="15" t="s">
        <v>150</v>
      </c>
      <c r="AO393" s="15" t="s">
        <v>56</v>
      </c>
      <c r="AP393" s="15" t="s">
        <v>791</v>
      </c>
      <c r="AQ393" s="15" t="s">
        <v>56</v>
      </c>
      <c r="AR393" s="15" t="s">
        <v>58</v>
      </c>
      <c r="AS393" s="15" t="s">
        <v>163</v>
      </c>
      <c r="AT393" s="15"/>
      <c r="AU393" s="45" t="s">
        <v>2748</v>
      </c>
      <c r="AV393" s="15"/>
      <c r="AW393" s="12" t="str">
        <f>B393&amp;C393&amp;L393&amp;M393&amp;O393&amp;U393&amp;AL393&amp;AM393</f>
        <v>ItalyTorre Guaceto Zone AApex predatorsbiomassden2.21739130434783Guidetti2014</v>
      </c>
    </row>
    <row r="394" spans="1:49" ht="14.25" customHeight="1" x14ac:dyDescent="0.35">
      <c r="A394" s="12">
        <v>393</v>
      </c>
      <c r="B394" s="15" t="s">
        <v>1527</v>
      </c>
      <c r="C394" s="15" t="s">
        <v>2741</v>
      </c>
      <c r="D394" s="15" t="s">
        <v>2740</v>
      </c>
      <c r="E394" s="15" t="s">
        <v>1376</v>
      </c>
      <c r="F394" s="16" t="s">
        <v>50</v>
      </c>
      <c r="G394" s="16" t="s">
        <v>51</v>
      </c>
      <c r="H394" s="16" t="s">
        <v>481</v>
      </c>
      <c r="I394" s="16" t="s">
        <v>156</v>
      </c>
      <c r="J394" s="14">
        <v>1.79</v>
      </c>
      <c r="K394" s="17"/>
      <c r="L394" s="17"/>
      <c r="M394" s="17" t="s">
        <v>792</v>
      </c>
      <c r="N394" s="53" t="s">
        <v>98</v>
      </c>
      <c r="O394" s="17" t="s">
        <v>70</v>
      </c>
      <c r="P394" s="17"/>
      <c r="Q394" s="17"/>
      <c r="R394" s="17"/>
      <c r="S394" s="17">
        <v>110453.64891518693</v>
      </c>
      <c r="T394" s="17">
        <v>441183.43195266236</v>
      </c>
      <c r="U394" s="20">
        <f t="shared" si="29"/>
        <v>3.9942857142857271</v>
      </c>
      <c r="V394" s="22">
        <f t="shared" si="32"/>
        <v>299.4285714285727</v>
      </c>
      <c r="W394" s="17"/>
      <c r="X394" s="17" t="s">
        <v>56</v>
      </c>
      <c r="Y394" s="17"/>
      <c r="Z394" s="17" t="s">
        <v>56</v>
      </c>
      <c r="AA394" s="17"/>
      <c r="AB394" s="17" t="s">
        <v>57</v>
      </c>
      <c r="AC394" s="17">
        <v>2007</v>
      </c>
      <c r="AD394" s="17">
        <v>1</v>
      </c>
      <c r="AE394" s="17">
        <v>2</v>
      </c>
      <c r="AF394" s="17"/>
      <c r="AG394" s="17">
        <v>2001</v>
      </c>
      <c r="AH394" s="14">
        <f t="shared" si="30"/>
        <v>6</v>
      </c>
      <c r="AI394" s="17">
        <f t="shared" si="31"/>
        <v>7.166666666666667</v>
      </c>
      <c r="AJ394" s="17"/>
      <c r="AK394" s="17" t="s">
        <v>56</v>
      </c>
      <c r="AL394" s="16" t="s">
        <v>790</v>
      </c>
      <c r="AM394" s="15">
        <v>2014</v>
      </c>
      <c r="AN394" s="12" t="s">
        <v>150</v>
      </c>
      <c r="AO394" s="15" t="s">
        <v>56</v>
      </c>
      <c r="AP394" s="15" t="s">
        <v>791</v>
      </c>
      <c r="AQ394" s="15" t="s">
        <v>56</v>
      </c>
      <c r="AR394" s="15" t="s">
        <v>58</v>
      </c>
      <c r="AS394" s="15" t="s">
        <v>163</v>
      </c>
      <c r="AT394" s="15"/>
      <c r="AU394" s="45" t="s">
        <v>2749</v>
      </c>
      <c r="AV394" s="15"/>
      <c r="AW394" s="12" t="str">
        <f>B394&amp;C394&amp;L394&amp;M394&amp;O394&amp;U394&amp;AL394&amp;AM394</f>
        <v>ItalyTorre Guaceto Zone ACarnivoresbiomassden3.99428571428573Guidetti2014</v>
      </c>
    </row>
    <row r="395" spans="1:49" ht="14.25" customHeight="1" x14ac:dyDescent="0.35">
      <c r="A395" s="12">
        <v>394</v>
      </c>
      <c r="B395" s="15" t="s">
        <v>1527</v>
      </c>
      <c r="C395" s="15" t="s">
        <v>2741</v>
      </c>
      <c r="D395" s="15" t="s">
        <v>2740</v>
      </c>
      <c r="E395" s="15" t="s">
        <v>1376</v>
      </c>
      <c r="F395" s="13" t="s">
        <v>50</v>
      </c>
      <c r="G395" s="13" t="s">
        <v>51</v>
      </c>
      <c r="H395" s="16" t="s">
        <v>481</v>
      </c>
      <c r="I395" s="16" t="s">
        <v>156</v>
      </c>
      <c r="J395" s="17">
        <v>1.79</v>
      </c>
      <c r="K395" s="17"/>
      <c r="L395" s="17"/>
      <c r="M395" s="17" t="s">
        <v>560</v>
      </c>
      <c r="N395" s="53" t="s">
        <v>98</v>
      </c>
      <c r="O395" s="17" t="s">
        <v>70</v>
      </c>
      <c r="P395" s="17"/>
      <c r="Q395" s="17"/>
      <c r="R395" s="17"/>
      <c r="S395" s="17">
        <v>2690.0584799999997</v>
      </c>
      <c r="T395" s="17">
        <v>18011.695904</v>
      </c>
      <c r="U395" s="20">
        <f t="shared" si="29"/>
        <v>6.6956521718442357</v>
      </c>
      <c r="V395" s="22">
        <f t="shared" si="32"/>
        <v>569.56521718442355</v>
      </c>
      <c r="W395" s="17"/>
      <c r="X395" s="17" t="s">
        <v>56</v>
      </c>
      <c r="Y395" s="17"/>
      <c r="Z395" s="17" t="s">
        <v>56</v>
      </c>
      <c r="AA395" s="17"/>
      <c r="AB395" s="17" t="s">
        <v>57</v>
      </c>
      <c r="AC395" s="17">
        <v>2007</v>
      </c>
      <c r="AD395" s="17">
        <v>1</v>
      </c>
      <c r="AE395" s="17">
        <v>2</v>
      </c>
      <c r="AF395" s="17"/>
      <c r="AG395" s="17">
        <v>2001</v>
      </c>
      <c r="AH395" s="14">
        <f t="shared" si="30"/>
        <v>6</v>
      </c>
      <c r="AI395" s="17">
        <f t="shared" si="31"/>
        <v>7.166666666666667</v>
      </c>
      <c r="AJ395" s="17"/>
      <c r="AK395" s="17" t="s">
        <v>56</v>
      </c>
      <c r="AL395" s="16" t="s">
        <v>790</v>
      </c>
      <c r="AM395" s="15">
        <v>2014</v>
      </c>
      <c r="AN395" s="15" t="s">
        <v>150</v>
      </c>
      <c r="AO395" s="15" t="s">
        <v>56</v>
      </c>
      <c r="AP395" s="15" t="s">
        <v>791</v>
      </c>
      <c r="AQ395" s="15" t="s">
        <v>56</v>
      </c>
      <c r="AR395" s="15" t="s">
        <v>58</v>
      </c>
      <c r="AS395" s="15" t="s">
        <v>163</v>
      </c>
      <c r="AT395" s="15"/>
      <c r="AU395" s="45" t="s">
        <v>2750</v>
      </c>
      <c r="AV395" s="15"/>
      <c r="AW395" s="12" t="str">
        <f>B395&amp;C395&amp;L395&amp;M395&amp;O395&amp;U395&amp;AL395&amp;AM395</f>
        <v>ItalyTorre Guaceto Zone APlanktivoresbiomassden6.69565217184424Guidetti2014</v>
      </c>
    </row>
    <row r="396" spans="1:49" ht="14.25" customHeight="1" x14ac:dyDescent="0.35">
      <c r="A396" s="12">
        <v>395</v>
      </c>
      <c r="B396" s="15" t="s">
        <v>1527</v>
      </c>
      <c r="C396" s="15" t="s">
        <v>2741</v>
      </c>
      <c r="D396" s="15" t="s">
        <v>2740</v>
      </c>
      <c r="E396" s="15" t="s">
        <v>1376</v>
      </c>
      <c r="F396" s="16" t="s">
        <v>50</v>
      </c>
      <c r="G396" s="16" t="s">
        <v>51</v>
      </c>
      <c r="H396" s="16" t="s">
        <v>481</v>
      </c>
      <c r="I396" s="16" t="s">
        <v>156</v>
      </c>
      <c r="J396" s="17">
        <v>1.79</v>
      </c>
      <c r="K396" s="17"/>
      <c r="L396" s="17"/>
      <c r="M396" s="17" t="s">
        <v>559</v>
      </c>
      <c r="N396" s="53" t="s">
        <v>98</v>
      </c>
      <c r="O396" s="17" t="s">
        <v>70</v>
      </c>
      <c r="P396" s="17"/>
      <c r="Q396" s="17"/>
      <c r="R396" s="17"/>
      <c r="S396" s="17">
        <v>14079.999999999998</v>
      </c>
      <c r="T396" s="17">
        <v>3840</v>
      </c>
      <c r="U396" s="20">
        <f t="shared" si="29"/>
        <v>0.27272727272727276</v>
      </c>
      <c r="V396" s="22">
        <f t="shared" si="32"/>
        <v>-72.727272727272734</v>
      </c>
      <c r="W396" s="17"/>
      <c r="X396" s="17" t="s">
        <v>56</v>
      </c>
      <c r="Y396" s="17"/>
      <c r="Z396" s="17" t="s">
        <v>56</v>
      </c>
      <c r="AA396" s="17"/>
      <c r="AB396" s="17" t="s">
        <v>57</v>
      </c>
      <c r="AC396" s="17">
        <v>2007</v>
      </c>
      <c r="AD396" s="17">
        <v>1</v>
      </c>
      <c r="AE396" s="17">
        <v>2</v>
      </c>
      <c r="AF396" s="17"/>
      <c r="AG396" s="17">
        <v>2001</v>
      </c>
      <c r="AH396" s="14">
        <f t="shared" si="30"/>
        <v>6</v>
      </c>
      <c r="AI396" s="17">
        <f t="shared" si="31"/>
        <v>7.166666666666667</v>
      </c>
      <c r="AJ396" s="17"/>
      <c r="AK396" s="17" t="s">
        <v>56</v>
      </c>
      <c r="AL396" s="16" t="s">
        <v>790</v>
      </c>
      <c r="AM396" s="15">
        <v>2014</v>
      </c>
      <c r="AN396" s="15" t="s">
        <v>150</v>
      </c>
      <c r="AO396" s="15" t="s">
        <v>56</v>
      </c>
      <c r="AP396" s="15" t="s">
        <v>791</v>
      </c>
      <c r="AQ396" s="15" t="s">
        <v>56</v>
      </c>
      <c r="AR396" s="15" t="s">
        <v>58</v>
      </c>
      <c r="AS396" s="15" t="s">
        <v>163</v>
      </c>
      <c r="AT396" s="15"/>
      <c r="AU396" s="45" t="s">
        <v>2751</v>
      </c>
      <c r="AV396" s="15"/>
      <c r="AW396" s="12" t="str">
        <f>B396&amp;C396&amp;L396&amp;M396&amp;O396&amp;U396&amp;AL396&amp;AM396</f>
        <v>ItalyTorre Guaceto Zone AHerbivoresbiomassden0.272727272727273Guidetti2014</v>
      </c>
    </row>
    <row r="397" spans="1:49" ht="14.25" customHeight="1" x14ac:dyDescent="0.35">
      <c r="A397" s="12">
        <v>396</v>
      </c>
      <c r="B397" s="15" t="s">
        <v>1527</v>
      </c>
      <c r="C397" s="15" t="s">
        <v>2741</v>
      </c>
      <c r="D397" s="15" t="s">
        <v>2740</v>
      </c>
      <c r="E397" s="15" t="s">
        <v>1376</v>
      </c>
      <c r="F397" s="13" t="s">
        <v>50</v>
      </c>
      <c r="G397" s="13" t="s">
        <v>51</v>
      </c>
      <c r="H397" s="16" t="s">
        <v>481</v>
      </c>
      <c r="I397" s="16" t="s">
        <v>156</v>
      </c>
      <c r="J397" s="14">
        <v>1.79</v>
      </c>
      <c r="K397" s="17"/>
      <c r="L397" s="17"/>
      <c r="M397" s="17" t="s">
        <v>793</v>
      </c>
      <c r="N397" s="42" t="s">
        <v>98</v>
      </c>
      <c r="O397" s="17" t="s">
        <v>70</v>
      </c>
      <c r="P397" s="17"/>
      <c r="Q397" s="17"/>
      <c r="R397" s="17"/>
      <c r="S397" s="17">
        <v>3130.1976826666664</v>
      </c>
      <c r="T397" s="17">
        <v>0</v>
      </c>
      <c r="U397" s="20">
        <f t="shared" si="29"/>
        <v>0</v>
      </c>
      <c r="V397" s="22">
        <f t="shared" si="32"/>
        <v>-100</v>
      </c>
      <c r="W397" s="17"/>
      <c r="X397" s="17" t="s">
        <v>56</v>
      </c>
      <c r="Y397" s="17"/>
      <c r="Z397" s="17" t="s">
        <v>56</v>
      </c>
      <c r="AA397" s="17"/>
      <c r="AB397" s="17" t="s">
        <v>57</v>
      </c>
      <c r="AC397" s="17">
        <v>2007</v>
      </c>
      <c r="AD397" s="17">
        <v>1</v>
      </c>
      <c r="AE397" s="17">
        <v>2</v>
      </c>
      <c r="AF397" s="17"/>
      <c r="AG397" s="17">
        <v>2001</v>
      </c>
      <c r="AH397" s="14">
        <f t="shared" si="30"/>
        <v>6</v>
      </c>
      <c r="AI397" s="17">
        <f t="shared" si="31"/>
        <v>7.166666666666667</v>
      </c>
      <c r="AJ397" s="17"/>
      <c r="AK397" s="17" t="s">
        <v>56</v>
      </c>
      <c r="AL397" s="16" t="s">
        <v>790</v>
      </c>
      <c r="AM397" s="15">
        <v>2014</v>
      </c>
      <c r="AN397" s="12" t="s">
        <v>150</v>
      </c>
      <c r="AO397" s="15" t="s">
        <v>56</v>
      </c>
      <c r="AP397" s="15" t="s">
        <v>791</v>
      </c>
      <c r="AQ397" s="15" t="s">
        <v>56</v>
      </c>
      <c r="AR397" s="15" t="s">
        <v>58</v>
      </c>
      <c r="AS397" s="15" t="s">
        <v>163</v>
      </c>
      <c r="AT397" s="15"/>
      <c r="AU397" s="45" t="s">
        <v>2752</v>
      </c>
      <c r="AV397" s="15"/>
      <c r="AW397" s="12" t="str">
        <f>B397&amp;C397&amp;L397&amp;M397&amp;O397&amp;U397&amp;AL397&amp;AM397</f>
        <v>ItalyTorre Guaceto Zone ADetritivoresbiomassden0Guidetti2014</v>
      </c>
    </row>
    <row r="398" spans="1:49" ht="14.25" customHeight="1" x14ac:dyDescent="0.35">
      <c r="A398" s="12">
        <v>397</v>
      </c>
      <c r="B398" s="15" t="s">
        <v>1527</v>
      </c>
      <c r="C398" s="15" t="s">
        <v>2741</v>
      </c>
      <c r="D398" s="15" t="s">
        <v>2740</v>
      </c>
      <c r="E398" s="15" t="s">
        <v>1376</v>
      </c>
      <c r="F398" s="13" t="s">
        <v>50</v>
      </c>
      <c r="G398" s="13" t="s">
        <v>51</v>
      </c>
      <c r="H398" s="16" t="s">
        <v>481</v>
      </c>
      <c r="I398" s="16" t="s">
        <v>156</v>
      </c>
      <c r="J398" s="17">
        <v>1.79</v>
      </c>
      <c r="K398" s="17"/>
      <c r="L398" s="17" t="s">
        <v>794</v>
      </c>
      <c r="M398" s="17" t="s">
        <v>795</v>
      </c>
      <c r="N398" s="17" t="s">
        <v>446</v>
      </c>
      <c r="O398" s="17" t="s">
        <v>55</v>
      </c>
      <c r="P398" s="17"/>
      <c r="Q398" s="17"/>
      <c r="R398" s="17"/>
      <c r="S398" s="17">
        <v>97180.327869333327</v>
      </c>
      <c r="T398" s="17">
        <v>127868.85248</v>
      </c>
      <c r="U398" s="20">
        <f t="shared" si="29"/>
        <v>1.3157894738936242</v>
      </c>
      <c r="V398" s="22">
        <f t="shared" si="32"/>
        <v>31.578947389362423</v>
      </c>
      <c r="W398" s="17"/>
      <c r="X398" s="17" t="s">
        <v>56</v>
      </c>
      <c r="Y398" s="17"/>
      <c r="Z398" s="17" t="s">
        <v>56</v>
      </c>
      <c r="AA398" s="17"/>
      <c r="AB398" s="17" t="s">
        <v>57</v>
      </c>
      <c r="AC398" s="17">
        <v>2007</v>
      </c>
      <c r="AD398" s="17">
        <v>1</v>
      </c>
      <c r="AE398" s="17">
        <v>2</v>
      </c>
      <c r="AF398" s="17"/>
      <c r="AG398" s="17">
        <v>2001</v>
      </c>
      <c r="AH398" s="14">
        <f t="shared" si="30"/>
        <v>6</v>
      </c>
      <c r="AI398" s="17">
        <f t="shared" si="31"/>
        <v>7.166666666666667</v>
      </c>
      <c r="AJ398" s="17"/>
      <c r="AK398" s="17" t="s">
        <v>56</v>
      </c>
      <c r="AL398" s="16" t="s">
        <v>790</v>
      </c>
      <c r="AM398" s="15">
        <v>2014</v>
      </c>
      <c r="AN398" s="15" t="s">
        <v>150</v>
      </c>
      <c r="AO398" s="15" t="s">
        <v>56</v>
      </c>
      <c r="AP398" s="15" t="s">
        <v>791</v>
      </c>
      <c r="AQ398" s="15" t="s">
        <v>56</v>
      </c>
      <c r="AR398" s="15" t="s">
        <v>58</v>
      </c>
      <c r="AS398" s="15" t="s">
        <v>163</v>
      </c>
      <c r="AT398" s="15"/>
      <c r="AU398" s="45" t="s">
        <v>2753</v>
      </c>
      <c r="AV398" s="15"/>
      <c r="AW398" s="12" t="str">
        <f>B398&amp;C398&amp;L398&amp;M398&amp;O398&amp;U398&amp;AL398&amp;AM398</f>
        <v>ItalyTorre Guaceto Zone AActinopterygiiFishesrichness1.31578947389362Guidetti2014</v>
      </c>
    </row>
    <row r="399" spans="1:49" ht="14.25" customHeight="1" x14ac:dyDescent="0.35">
      <c r="A399" s="12">
        <v>398</v>
      </c>
      <c r="B399" s="15" t="s">
        <v>477</v>
      </c>
      <c r="C399" s="15" t="s">
        <v>788</v>
      </c>
      <c r="D399" s="15" t="s">
        <v>788</v>
      </c>
      <c r="E399" s="15" t="s">
        <v>155</v>
      </c>
      <c r="F399" s="13" t="s">
        <v>50</v>
      </c>
      <c r="G399" s="13" t="s">
        <v>51</v>
      </c>
      <c r="H399" s="16" t="s">
        <v>481</v>
      </c>
      <c r="I399" s="16" t="s">
        <v>156</v>
      </c>
      <c r="J399" s="17">
        <v>4</v>
      </c>
      <c r="K399" s="17"/>
      <c r="L399" s="17"/>
      <c r="M399" s="17" t="s">
        <v>789</v>
      </c>
      <c r="N399" s="53" t="s">
        <v>98</v>
      </c>
      <c r="O399" s="17" t="s">
        <v>86</v>
      </c>
      <c r="P399" s="17"/>
      <c r="Q399" s="17"/>
      <c r="R399" s="17"/>
      <c r="S399" s="17">
        <v>3734.9008759797111</v>
      </c>
      <c r="T399" s="17">
        <v>10232.365145228159</v>
      </c>
      <c r="U399" s="20">
        <f t="shared" si="29"/>
        <v>2.73966177015182</v>
      </c>
      <c r="V399" s="22">
        <f t="shared" si="32"/>
        <v>173.96617701518201</v>
      </c>
      <c r="W399" s="17"/>
      <c r="X399" s="17" t="s">
        <v>56</v>
      </c>
      <c r="Y399" s="17"/>
      <c r="Z399" s="17" t="s">
        <v>56</v>
      </c>
      <c r="AA399" s="17"/>
      <c r="AB399" s="17" t="s">
        <v>57</v>
      </c>
      <c r="AC399" s="17">
        <v>2007</v>
      </c>
      <c r="AD399" s="17">
        <v>1</v>
      </c>
      <c r="AE399" s="17">
        <v>2</v>
      </c>
      <c r="AF399" s="17"/>
      <c r="AG399" s="17">
        <v>1999</v>
      </c>
      <c r="AH399" s="14">
        <f t="shared" si="30"/>
        <v>8</v>
      </c>
      <c r="AI399" s="17">
        <f t="shared" si="31"/>
        <v>9.1666666666666661</v>
      </c>
      <c r="AJ399" s="17"/>
      <c r="AK399" s="17" t="s">
        <v>56</v>
      </c>
      <c r="AL399" s="16" t="s">
        <v>790</v>
      </c>
      <c r="AM399" s="15">
        <v>2014</v>
      </c>
      <c r="AN399" s="15" t="s">
        <v>150</v>
      </c>
      <c r="AO399" s="15" t="s">
        <v>56</v>
      </c>
      <c r="AP399" s="15" t="s">
        <v>791</v>
      </c>
      <c r="AQ399" s="15" t="s">
        <v>56</v>
      </c>
      <c r="AR399" s="15" t="s">
        <v>58</v>
      </c>
      <c r="AS399" s="15" t="s">
        <v>163</v>
      </c>
      <c r="AT399" s="15"/>
      <c r="AU399" s="45" t="s">
        <v>2667</v>
      </c>
      <c r="AV399" s="15"/>
      <c r="AW399" s="12" t="str">
        <f>B399&amp;C399&amp;L399&amp;M399&amp;O399&amp;U399&amp;AL399&amp;AM399</f>
        <v>SpainFormentera-EspardellApex predatorsdensity2.73966177015182Guidetti2014</v>
      </c>
    </row>
    <row r="400" spans="1:49" ht="14.25" customHeight="1" x14ac:dyDescent="0.35">
      <c r="A400" s="12">
        <v>399</v>
      </c>
      <c r="B400" s="15" t="s">
        <v>477</v>
      </c>
      <c r="C400" s="15" t="s">
        <v>788</v>
      </c>
      <c r="D400" s="15" t="s">
        <v>788</v>
      </c>
      <c r="E400" s="15" t="s">
        <v>155</v>
      </c>
      <c r="F400" s="16" t="s">
        <v>50</v>
      </c>
      <c r="G400" s="16" t="s">
        <v>51</v>
      </c>
      <c r="H400" s="16" t="s">
        <v>481</v>
      </c>
      <c r="I400" s="16" t="s">
        <v>156</v>
      </c>
      <c r="J400" s="17">
        <v>4</v>
      </c>
      <c r="K400" s="17"/>
      <c r="L400" s="17"/>
      <c r="M400" s="17" t="s">
        <v>792</v>
      </c>
      <c r="N400" s="53" t="s">
        <v>98</v>
      </c>
      <c r="O400" s="17" t="s">
        <v>86</v>
      </c>
      <c r="P400" s="17"/>
      <c r="Q400" s="17"/>
      <c r="R400" s="17"/>
      <c r="S400" s="17">
        <v>396387.09677419334</v>
      </c>
      <c r="T400" s="17">
        <v>709161.29032258003</v>
      </c>
      <c r="U400" s="20">
        <f t="shared" si="29"/>
        <v>1.7890624999999993</v>
      </c>
      <c r="V400" s="22">
        <f t="shared" si="32"/>
        <v>78.906249999999929</v>
      </c>
      <c r="W400" s="17"/>
      <c r="X400" s="17" t="s">
        <v>56</v>
      </c>
      <c r="Y400" s="17"/>
      <c r="Z400" s="17" t="s">
        <v>56</v>
      </c>
      <c r="AA400" s="17"/>
      <c r="AB400" s="17" t="s">
        <v>57</v>
      </c>
      <c r="AC400" s="17">
        <v>2007</v>
      </c>
      <c r="AD400" s="17">
        <v>1</v>
      </c>
      <c r="AE400" s="17">
        <v>2</v>
      </c>
      <c r="AF400" s="17"/>
      <c r="AG400" s="17">
        <v>1999</v>
      </c>
      <c r="AH400" s="14">
        <f t="shared" si="30"/>
        <v>8</v>
      </c>
      <c r="AI400" s="17">
        <f t="shared" si="31"/>
        <v>9.1666666666666661</v>
      </c>
      <c r="AJ400" s="17"/>
      <c r="AK400" s="17" t="s">
        <v>56</v>
      </c>
      <c r="AL400" s="16" t="s">
        <v>790</v>
      </c>
      <c r="AM400" s="15">
        <v>2014</v>
      </c>
      <c r="AN400" s="15" t="s">
        <v>150</v>
      </c>
      <c r="AO400" s="15" t="s">
        <v>56</v>
      </c>
      <c r="AP400" s="15" t="s">
        <v>791</v>
      </c>
      <c r="AQ400" s="15" t="s">
        <v>56</v>
      </c>
      <c r="AR400" s="15" t="s">
        <v>58</v>
      </c>
      <c r="AS400" s="15" t="s">
        <v>163</v>
      </c>
      <c r="AT400" s="15"/>
      <c r="AU400" s="45" t="s">
        <v>2667</v>
      </c>
      <c r="AV400" s="15"/>
      <c r="AW400" s="12" t="str">
        <f>B400&amp;C400&amp;L400&amp;M400&amp;O400&amp;U400&amp;AL400&amp;AM400</f>
        <v>SpainFormentera-EspardellCarnivoresdensity1.7890625Guidetti2014</v>
      </c>
    </row>
    <row r="401" spans="1:49" ht="14.25" customHeight="1" x14ac:dyDescent="0.35">
      <c r="A401" s="12">
        <v>400</v>
      </c>
      <c r="B401" s="15" t="s">
        <v>477</v>
      </c>
      <c r="C401" s="15" t="s">
        <v>788</v>
      </c>
      <c r="D401" s="15" t="s">
        <v>788</v>
      </c>
      <c r="E401" s="15" t="s">
        <v>155</v>
      </c>
      <c r="F401" s="13" t="s">
        <v>50</v>
      </c>
      <c r="G401" s="13" t="s">
        <v>51</v>
      </c>
      <c r="H401" s="16" t="s">
        <v>481</v>
      </c>
      <c r="I401" s="16" t="s">
        <v>156</v>
      </c>
      <c r="J401" s="17">
        <v>4</v>
      </c>
      <c r="K401" s="17"/>
      <c r="L401" s="17"/>
      <c r="M401" s="17" t="s">
        <v>560</v>
      </c>
      <c r="N401" s="53" t="s">
        <v>98</v>
      </c>
      <c r="O401" s="17" t="s">
        <v>86</v>
      </c>
      <c r="P401" s="17"/>
      <c r="Q401" s="17"/>
      <c r="R401" s="17"/>
      <c r="S401" s="17">
        <v>1025043.177946667</v>
      </c>
      <c r="T401" s="17">
        <v>829015.54399999999</v>
      </c>
      <c r="U401" s="20">
        <f t="shared" si="29"/>
        <v>0.80876158374192286</v>
      </c>
      <c r="V401" s="22">
        <f t="shared" si="32"/>
        <v>-19.123841625807714</v>
      </c>
      <c r="W401" s="17"/>
      <c r="X401" s="17" t="s">
        <v>56</v>
      </c>
      <c r="Y401" s="17"/>
      <c r="Z401" s="17" t="s">
        <v>56</v>
      </c>
      <c r="AA401" s="17"/>
      <c r="AB401" s="17" t="s">
        <v>57</v>
      </c>
      <c r="AC401" s="17">
        <v>2007</v>
      </c>
      <c r="AD401" s="17">
        <v>1</v>
      </c>
      <c r="AE401" s="17">
        <v>2</v>
      </c>
      <c r="AF401" s="17"/>
      <c r="AG401" s="17">
        <v>1999</v>
      </c>
      <c r="AH401" s="14">
        <f t="shared" si="30"/>
        <v>8</v>
      </c>
      <c r="AI401" s="17">
        <f t="shared" si="31"/>
        <v>9.1666666666666661</v>
      </c>
      <c r="AJ401" s="17"/>
      <c r="AK401" s="17" t="s">
        <v>56</v>
      </c>
      <c r="AL401" s="16" t="s">
        <v>790</v>
      </c>
      <c r="AM401" s="15">
        <v>2014</v>
      </c>
      <c r="AN401" s="15" t="s">
        <v>150</v>
      </c>
      <c r="AO401" s="15" t="s">
        <v>56</v>
      </c>
      <c r="AP401" s="15" t="s">
        <v>791</v>
      </c>
      <c r="AQ401" s="15" t="s">
        <v>56</v>
      </c>
      <c r="AR401" s="15" t="s">
        <v>58</v>
      </c>
      <c r="AS401" s="15" t="s">
        <v>163</v>
      </c>
      <c r="AT401" s="15"/>
      <c r="AU401" s="45" t="s">
        <v>2667</v>
      </c>
      <c r="AV401" s="15"/>
      <c r="AW401" s="12" t="str">
        <f>B401&amp;C401&amp;L401&amp;M401&amp;O401&amp;U401&amp;AL401&amp;AM401</f>
        <v>SpainFormentera-EspardellPlanktivoresdensity0.808761583741923Guidetti2014</v>
      </c>
    </row>
    <row r="402" spans="1:49" ht="14.25" customHeight="1" x14ac:dyDescent="0.35">
      <c r="A402" s="12">
        <v>401</v>
      </c>
      <c r="B402" s="15" t="s">
        <v>477</v>
      </c>
      <c r="C402" s="15" t="s">
        <v>788</v>
      </c>
      <c r="D402" s="15" t="s">
        <v>788</v>
      </c>
      <c r="E402" s="15" t="s">
        <v>155</v>
      </c>
      <c r="F402" s="16" t="s">
        <v>50</v>
      </c>
      <c r="G402" s="16" t="s">
        <v>51</v>
      </c>
      <c r="H402" s="16" t="s">
        <v>481</v>
      </c>
      <c r="I402" s="16" t="s">
        <v>156</v>
      </c>
      <c r="J402" s="17">
        <v>4</v>
      </c>
      <c r="K402" s="17"/>
      <c r="L402" s="17"/>
      <c r="M402" s="17" t="s">
        <v>559</v>
      </c>
      <c r="N402" s="53" t="s">
        <v>98</v>
      </c>
      <c r="O402" s="17" t="s">
        <v>86</v>
      </c>
      <c r="P402" s="17"/>
      <c r="Q402" s="17"/>
      <c r="R402" s="17"/>
      <c r="S402" s="20">
        <v>16032.295273333333</v>
      </c>
      <c r="T402" s="20">
        <v>11764.70588</v>
      </c>
      <c r="U402" s="20">
        <f t="shared" si="29"/>
        <v>0.73381294938899644</v>
      </c>
      <c r="V402" s="22">
        <f t="shared" si="32"/>
        <v>-26.618705061100357</v>
      </c>
      <c r="W402" s="17"/>
      <c r="X402" s="17" t="s">
        <v>56</v>
      </c>
      <c r="Y402" s="17"/>
      <c r="Z402" s="17" t="s">
        <v>56</v>
      </c>
      <c r="AA402" s="17"/>
      <c r="AB402" s="17" t="s">
        <v>57</v>
      </c>
      <c r="AC402" s="17">
        <v>2007</v>
      </c>
      <c r="AD402" s="17">
        <v>1</v>
      </c>
      <c r="AE402" s="17">
        <v>2</v>
      </c>
      <c r="AF402" s="17"/>
      <c r="AG402" s="17">
        <v>1999</v>
      </c>
      <c r="AH402" s="14">
        <f t="shared" si="30"/>
        <v>8</v>
      </c>
      <c r="AI402" s="17">
        <f t="shared" si="31"/>
        <v>9.1666666666666661</v>
      </c>
      <c r="AJ402" s="17"/>
      <c r="AK402" s="17" t="s">
        <v>56</v>
      </c>
      <c r="AL402" s="16" t="s">
        <v>790</v>
      </c>
      <c r="AM402" s="15">
        <v>2014</v>
      </c>
      <c r="AN402" s="12" t="s">
        <v>150</v>
      </c>
      <c r="AO402" s="15" t="s">
        <v>56</v>
      </c>
      <c r="AP402" s="15" t="s">
        <v>791</v>
      </c>
      <c r="AQ402" s="15" t="s">
        <v>56</v>
      </c>
      <c r="AR402" s="15" t="s">
        <v>58</v>
      </c>
      <c r="AS402" s="15" t="s">
        <v>163</v>
      </c>
      <c r="AT402" s="15"/>
      <c r="AU402" s="45" t="s">
        <v>2667</v>
      </c>
      <c r="AV402" s="15"/>
      <c r="AW402" s="12" t="str">
        <f>B402&amp;C402&amp;L402&amp;M402&amp;O402&amp;U402&amp;AL402&amp;AM402</f>
        <v>SpainFormentera-EspardellHerbivoresdensity0.733812949388996Guidetti2014</v>
      </c>
    </row>
    <row r="403" spans="1:49" ht="14.25" customHeight="1" x14ac:dyDescent="0.35">
      <c r="A403" s="12">
        <v>402</v>
      </c>
      <c r="B403" s="15" t="s">
        <v>477</v>
      </c>
      <c r="C403" s="15" t="s">
        <v>788</v>
      </c>
      <c r="D403" s="15" t="s">
        <v>788</v>
      </c>
      <c r="E403" s="15" t="s">
        <v>155</v>
      </c>
      <c r="F403" s="13" t="s">
        <v>50</v>
      </c>
      <c r="G403" s="13" t="s">
        <v>51</v>
      </c>
      <c r="H403" s="16" t="s">
        <v>481</v>
      </c>
      <c r="I403" s="16" t="s">
        <v>156</v>
      </c>
      <c r="J403" s="17">
        <v>4</v>
      </c>
      <c r="K403" s="17"/>
      <c r="L403" s="17"/>
      <c r="M403" s="17" t="s">
        <v>793</v>
      </c>
      <c r="N403" s="53" t="s">
        <v>98</v>
      </c>
      <c r="O403" s="17" t="s">
        <v>86</v>
      </c>
      <c r="P403" s="17"/>
      <c r="Q403" s="17"/>
      <c r="R403" s="17"/>
      <c r="S403" s="22">
        <v>0</v>
      </c>
      <c r="T403" s="22">
        <v>885.10638399999993</v>
      </c>
      <c r="U403" s="20" t="str">
        <f t="shared" si="29"/>
        <v>N/A</v>
      </c>
      <c r="V403" s="22" t="str">
        <f t="shared" si="32"/>
        <v>N/A</v>
      </c>
      <c r="W403" s="17"/>
      <c r="X403" s="17" t="s">
        <v>56</v>
      </c>
      <c r="Y403" s="17"/>
      <c r="Z403" s="17" t="s">
        <v>56</v>
      </c>
      <c r="AA403" s="17"/>
      <c r="AB403" s="17" t="s">
        <v>57</v>
      </c>
      <c r="AC403" s="17">
        <v>2007</v>
      </c>
      <c r="AD403" s="17">
        <v>1</v>
      </c>
      <c r="AE403" s="17">
        <v>2</v>
      </c>
      <c r="AF403" s="17"/>
      <c r="AG403" s="17">
        <v>1999</v>
      </c>
      <c r="AH403" s="14">
        <f t="shared" si="30"/>
        <v>8</v>
      </c>
      <c r="AI403" s="17">
        <f t="shared" si="31"/>
        <v>9.1666666666666661</v>
      </c>
      <c r="AJ403" s="17"/>
      <c r="AK403" s="17" t="s">
        <v>56</v>
      </c>
      <c r="AL403" s="16" t="s">
        <v>790</v>
      </c>
      <c r="AM403" s="15">
        <v>2014</v>
      </c>
      <c r="AN403" s="15" t="s">
        <v>150</v>
      </c>
      <c r="AO403" s="15" t="s">
        <v>56</v>
      </c>
      <c r="AP403" s="15" t="s">
        <v>791</v>
      </c>
      <c r="AQ403" s="15" t="s">
        <v>56</v>
      </c>
      <c r="AR403" s="15" t="s">
        <v>58</v>
      </c>
      <c r="AS403" s="15" t="s">
        <v>163</v>
      </c>
      <c r="AT403" s="15"/>
      <c r="AU403" s="45" t="s">
        <v>2667</v>
      </c>
      <c r="AV403" s="15"/>
      <c r="AW403" s="12" t="str">
        <f>B403&amp;C403&amp;L403&amp;M403&amp;O403&amp;U403&amp;AL403&amp;AM403</f>
        <v>SpainFormentera-EspardellDetritivoresdensityN/AGuidetti2014</v>
      </c>
    </row>
    <row r="404" spans="1:49" ht="14.25" customHeight="1" x14ac:dyDescent="0.35">
      <c r="A404" s="12">
        <v>403</v>
      </c>
      <c r="B404" s="12" t="s">
        <v>477</v>
      </c>
      <c r="C404" s="15" t="s">
        <v>788</v>
      </c>
      <c r="D404" s="15" t="s">
        <v>788</v>
      </c>
      <c r="E404" s="15" t="s">
        <v>155</v>
      </c>
      <c r="F404" s="13" t="s">
        <v>50</v>
      </c>
      <c r="G404" s="13" t="s">
        <v>51</v>
      </c>
      <c r="H404" s="16" t="s">
        <v>481</v>
      </c>
      <c r="I404" s="16" t="s">
        <v>156</v>
      </c>
      <c r="J404" s="17">
        <v>4</v>
      </c>
      <c r="K404" s="17"/>
      <c r="L404" s="17"/>
      <c r="M404" s="17" t="s">
        <v>789</v>
      </c>
      <c r="N404" s="53" t="s">
        <v>98</v>
      </c>
      <c r="O404" s="17" t="s">
        <v>70</v>
      </c>
      <c r="P404" s="17"/>
      <c r="Q404" s="17"/>
      <c r="R404" s="17"/>
      <c r="S404" s="17">
        <v>20269.541778975639</v>
      </c>
      <c r="T404" s="17">
        <v>153962.2641509432</v>
      </c>
      <c r="U404" s="20">
        <f t="shared" si="29"/>
        <v>7.5957446808510927</v>
      </c>
      <c r="V404" s="22">
        <f t="shared" si="32"/>
        <v>659.57446808510929</v>
      </c>
      <c r="W404" s="17"/>
      <c r="X404" s="17" t="s">
        <v>56</v>
      </c>
      <c r="Y404" s="17"/>
      <c r="Z404" s="17" t="s">
        <v>56</v>
      </c>
      <c r="AA404" s="17"/>
      <c r="AB404" s="17" t="s">
        <v>57</v>
      </c>
      <c r="AC404" s="17">
        <v>2007</v>
      </c>
      <c r="AD404" s="17">
        <v>1</v>
      </c>
      <c r="AE404" s="17">
        <v>2</v>
      </c>
      <c r="AF404" s="17"/>
      <c r="AG404" s="17">
        <v>1999</v>
      </c>
      <c r="AH404" s="14">
        <f t="shared" si="30"/>
        <v>8</v>
      </c>
      <c r="AI404" s="17">
        <f t="shared" si="31"/>
        <v>9.1666666666666661</v>
      </c>
      <c r="AJ404" s="17"/>
      <c r="AK404" s="17" t="s">
        <v>56</v>
      </c>
      <c r="AL404" s="16" t="s">
        <v>790</v>
      </c>
      <c r="AM404" s="15">
        <v>2014</v>
      </c>
      <c r="AN404" s="15" t="s">
        <v>150</v>
      </c>
      <c r="AO404" s="15" t="s">
        <v>56</v>
      </c>
      <c r="AP404" s="15" t="s">
        <v>791</v>
      </c>
      <c r="AQ404" s="15" t="s">
        <v>56</v>
      </c>
      <c r="AR404" s="15" t="s">
        <v>58</v>
      </c>
      <c r="AS404" s="15" t="s">
        <v>163</v>
      </c>
      <c r="AT404" s="15"/>
      <c r="AU404" s="45" t="s">
        <v>2667</v>
      </c>
      <c r="AV404" s="15"/>
      <c r="AW404" s="12" t="str">
        <f>B404&amp;C404&amp;L404&amp;M404&amp;O404&amp;U404&amp;AL404&amp;AM404</f>
        <v>SpainFormentera-EspardellApex predatorsbiomassden7.59574468085109Guidetti2014</v>
      </c>
    </row>
    <row r="405" spans="1:49" ht="14.25" customHeight="1" x14ac:dyDescent="0.35">
      <c r="A405" s="12">
        <v>404</v>
      </c>
      <c r="B405" s="15" t="s">
        <v>477</v>
      </c>
      <c r="C405" s="15" t="s">
        <v>788</v>
      </c>
      <c r="D405" s="15" t="s">
        <v>788</v>
      </c>
      <c r="E405" s="15" t="s">
        <v>155</v>
      </c>
      <c r="F405" s="13" t="s">
        <v>50</v>
      </c>
      <c r="G405" s="13" t="s">
        <v>51</v>
      </c>
      <c r="H405" s="16" t="s">
        <v>481</v>
      </c>
      <c r="I405" s="16" t="s">
        <v>156</v>
      </c>
      <c r="J405" s="17">
        <v>4</v>
      </c>
      <c r="K405" s="17"/>
      <c r="L405" s="17"/>
      <c r="M405" s="17" t="s">
        <v>792</v>
      </c>
      <c r="N405" s="53" t="s">
        <v>98</v>
      </c>
      <c r="O405" s="17" t="s">
        <v>70</v>
      </c>
      <c r="P405" s="17"/>
      <c r="Q405" s="17"/>
      <c r="R405" s="17"/>
      <c r="S405" s="17">
        <v>88362.919132149691</v>
      </c>
      <c r="T405" s="17">
        <v>191242.6035502952</v>
      </c>
      <c r="U405" s="20">
        <f t="shared" si="29"/>
        <v>2.1642857142857119</v>
      </c>
      <c r="V405" s="22">
        <f t="shared" si="32"/>
        <v>116.42857142857119</v>
      </c>
      <c r="W405" s="17"/>
      <c r="X405" s="17" t="s">
        <v>56</v>
      </c>
      <c r="Y405" s="17"/>
      <c r="Z405" s="17" t="s">
        <v>56</v>
      </c>
      <c r="AA405" s="17"/>
      <c r="AB405" s="17" t="s">
        <v>57</v>
      </c>
      <c r="AC405" s="17">
        <v>2007</v>
      </c>
      <c r="AD405" s="17">
        <v>1</v>
      </c>
      <c r="AE405" s="17">
        <v>2</v>
      </c>
      <c r="AF405" s="17"/>
      <c r="AG405" s="17">
        <v>1999</v>
      </c>
      <c r="AH405" s="14">
        <f t="shared" si="30"/>
        <v>8</v>
      </c>
      <c r="AI405" s="17">
        <f t="shared" si="31"/>
        <v>9.1666666666666661</v>
      </c>
      <c r="AJ405" s="17"/>
      <c r="AK405" s="17" t="s">
        <v>56</v>
      </c>
      <c r="AL405" s="16" t="s">
        <v>790</v>
      </c>
      <c r="AM405" s="15">
        <v>2014</v>
      </c>
      <c r="AN405" s="15" t="s">
        <v>150</v>
      </c>
      <c r="AO405" s="15" t="s">
        <v>56</v>
      </c>
      <c r="AP405" s="15" t="s">
        <v>791</v>
      </c>
      <c r="AQ405" s="15" t="s">
        <v>56</v>
      </c>
      <c r="AR405" s="15" t="s">
        <v>58</v>
      </c>
      <c r="AS405" s="15" t="s">
        <v>163</v>
      </c>
      <c r="AT405" s="15"/>
      <c r="AU405" s="45" t="s">
        <v>2667</v>
      </c>
      <c r="AV405" s="15"/>
      <c r="AW405" s="12" t="str">
        <f>B405&amp;C405&amp;L405&amp;M405&amp;O405&amp;U405&amp;AL405&amp;AM405</f>
        <v>SpainFormentera-EspardellCarnivoresbiomassden2.16428571428571Guidetti2014</v>
      </c>
    </row>
    <row r="406" spans="1:49" ht="14.25" customHeight="1" x14ac:dyDescent="0.35">
      <c r="A406" s="12">
        <v>405</v>
      </c>
      <c r="B406" s="15" t="s">
        <v>477</v>
      </c>
      <c r="C406" s="15" t="s">
        <v>788</v>
      </c>
      <c r="D406" s="15" t="s">
        <v>788</v>
      </c>
      <c r="E406" s="15" t="s">
        <v>155</v>
      </c>
      <c r="F406" s="13" t="s">
        <v>50</v>
      </c>
      <c r="G406" s="13" t="s">
        <v>51</v>
      </c>
      <c r="H406" s="16" t="s">
        <v>481</v>
      </c>
      <c r="I406" s="16" t="s">
        <v>156</v>
      </c>
      <c r="J406" s="17">
        <v>4</v>
      </c>
      <c r="K406" s="17"/>
      <c r="L406" s="17"/>
      <c r="M406" s="17" t="s">
        <v>560</v>
      </c>
      <c r="N406" s="53" t="s">
        <v>98</v>
      </c>
      <c r="O406" s="17" t="s">
        <v>70</v>
      </c>
      <c r="P406" s="17"/>
      <c r="Q406" s="17"/>
      <c r="R406" s="17"/>
      <c r="S406" s="17">
        <v>2397.6608186666667</v>
      </c>
      <c r="T406" s="17">
        <v>0</v>
      </c>
      <c r="U406" s="20">
        <f t="shared" si="29"/>
        <v>0</v>
      </c>
      <c r="V406" s="22">
        <f t="shared" si="32"/>
        <v>-100</v>
      </c>
      <c r="W406" s="17"/>
      <c r="X406" s="17" t="s">
        <v>56</v>
      </c>
      <c r="Y406" s="17"/>
      <c r="Z406" s="17" t="s">
        <v>56</v>
      </c>
      <c r="AA406" s="17"/>
      <c r="AB406" s="17" t="s">
        <v>57</v>
      </c>
      <c r="AC406" s="17">
        <v>2007</v>
      </c>
      <c r="AD406" s="17">
        <v>1</v>
      </c>
      <c r="AE406" s="17">
        <v>2</v>
      </c>
      <c r="AF406" s="17"/>
      <c r="AG406" s="17">
        <v>1999</v>
      </c>
      <c r="AH406" s="14">
        <f t="shared" si="30"/>
        <v>8</v>
      </c>
      <c r="AI406" s="17">
        <f t="shared" si="31"/>
        <v>9.1666666666666661</v>
      </c>
      <c r="AJ406" s="17"/>
      <c r="AK406" s="17" t="s">
        <v>56</v>
      </c>
      <c r="AL406" s="16" t="s">
        <v>790</v>
      </c>
      <c r="AM406" s="15">
        <v>2014</v>
      </c>
      <c r="AN406" s="15" t="s">
        <v>150</v>
      </c>
      <c r="AO406" s="15" t="s">
        <v>56</v>
      </c>
      <c r="AP406" s="15" t="s">
        <v>791</v>
      </c>
      <c r="AQ406" s="15" t="s">
        <v>56</v>
      </c>
      <c r="AR406" s="15" t="s">
        <v>58</v>
      </c>
      <c r="AS406" s="15" t="s">
        <v>163</v>
      </c>
      <c r="AT406" s="15"/>
      <c r="AU406" s="45" t="s">
        <v>2667</v>
      </c>
      <c r="AV406" s="15"/>
      <c r="AW406" s="12" t="str">
        <f>B406&amp;C406&amp;L406&amp;M406&amp;O406&amp;U406&amp;AL406&amp;AM406</f>
        <v>SpainFormentera-EspardellPlanktivoresbiomassden0Guidetti2014</v>
      </c>
    </row>
    <row r="407" spans="1:49" ht="14.25" customHeight="1" x14ac:dyDescent="0.35">
      <c r="A407" s="12">
        <v>406</v>
      </c>
      <c r="B407" s="15" t="s">
        <v>477</v>
      </c>
      <c r="C407" s="15" t="s">
        <v>788</v>
      </c>
      <c r="D407" s="15" t="s">
        <v>788</v>
      </c>
      <c r="E407" s="15" t="s">
        <v>155</v>
      </c>
      <c r="F407" s="13" t="s">
        <v>50</v>
      </c>
      <c r="G407" s="13" t="s">
        <v>51</v>
      </c>
      <c r="H407" s="16" t="s">
        <v>481</v>
      </c>
      <c r="I407" s="16" t="s">
        <v>156</v>
      </c>
      <c r="J407" s="17">
        <v>4</v>
      </c>
      <c r="K407" s="17"/>
      <c r="L407" s="17"/>
      <c r="M407" s="17" t="s">
        <v>559</v>
      </c>
      <c r="N407" s="53" t="s">
        <v>98</v>
      </c>
      <c r="O407" s="17" t="s">
        <v>70</v>
      </c>
      <c r="P407" s="17"/>
      <c r="Q407" s="17"/>
      <c r="R407" s="17"/>
      <c r="S407" s="17">
        <v>11280</v>
      </c>
      <c r="T407" s="17">
        <v>9120</v>
      </c>
      <c r="U407" s="20">
        <f t="shared" si="29"/>
        <v>0.80851063829787229</v>
      </c>
      <c r="V407" s="22">
        <f t="shared" si="32"/>
        <v>-19.148936170212771</v>
      </c>
      <c r="W407" s="17"/>
      <c r="X407" s="17" t="s">
        <v>56</v>
      </c>
      <c r="Y407" s="17"/>
      <c r="Z407" s="17" t="s">
        <v>56</v>
      </c>
      <c r="AA407" s="17"/>
      <c r="AB407" s="17" t="s">
        <v>57</v>
      </c>
      <c r="AC407" s="17">
        <v>2007</v>
      </c>
      <c r="AD407" s="17">
        <v>1</v>
      </c>
      <c r="AE407" s="17">
        <v>2</v>
      </c>
      <c r="AF407" s="17"/>
      <c r="AG407" s="17">
        <v>1999</v>
      </c>
      <c r="AH407" s="14">
        <f t="shared" si="30"/>
        <v>8</v>
      </c>
      <c r="AI407" s="17">
        <f t="shared" si="31"/>
        <v>9.1666666666666661</v>
      </c>
      <c r="AJ407" s="17"/>
      <c r="AK407" s="17" t="s">
        <v>56</v>
      </c>
      <c r="AL407" s="16" t="s">
        <v>790</v>
      </c>
      <c r="AM407" s="15">
        <v>2014</v>
      </c>
      <c r="AN407" s="15" t="s">
        <v>150</v>
      </c>
      <c r="AO407" s="15" t="s">
        <v>56</v>
      </c>
      <c r="AP407" s="15" t="s">
        <v>791</v>
      </c>
      <c r="AQ407" s="15" t="s">
        <v>56</v>
      </c>
      <c r="AR407" s="15" t="s">
        <v>58</v>
      </c>
      <c r="AS407" s="15" t="s">
        <v>163</v>
      </c>
      <c r="AT407" s="15"/>
      <c r="AU407" s="45" t="s">
        <v>2667</v>
      </c>
      <c r="AV407" s="15"/>
      <c r="AW407" s="12" t="str">
        <f>B407&amp;C407&amp;L407&amp;M407&amp;O407&amp;U407&amp;AL407&amp;AM407</f>
        <v>SpainFormentera-EspardellHerbivoresbiomassden0.808510638297872Guidetti2014</v>
      </c>
    </row>
    <row r="408" spans="1:49" ht="14.25" customHeight="1" x14ac:dyDescent="0.35">
      <c r="A408" s="12">
        <v>407</v>
      </c>
      <c r="B408" s="15" t="s">
        <v>477</v>
      </c>
      <c r="C408" s="15" t="s">
        <v>788</v>
      </c>
      <c r="D408" s="15" t="s">
        <v>788</v>
      </c>
      <c r="E408" s="15" t="s">
        <v>155</v>
      </c>
      <c r="F408" s="13" t="s">
        <v>50</v>
      </c>
      <c r="G408" s="13" t="s">
        <v>51</v>
      </c>
      <c r="H408" s="16" t="s">
        <v>481</v>
      </c>
      <c r="I408" s="16" t="s">
        <v>156</v>
      </c>
      <c r="J408" s="17">
        <v>4</v>
      </c>
      <c r="K408" s="17"/>
      <c r="L408" s="17"/>
      <c r="M408" s="17" t="s">
        <v>793</v>
      </c>
      <c r="N408" s="42" t="s">
        <v>98</v>
      </c>
      <c r="O408" s="17" t="s">
        <v>70</v>
      </c>
      <c r="P408" s="17"/>
      <c r="Q408" s="17"/>
      <c r="R408" s="17"/>
      <c r="S408" s="17">
        <v>0</v>
      </c>
      <c r="T408" s="17">
        <v>5496.9325120000003</v>
      </c>
      <c r="U408" s="20" t="str">
        <f t="shared" si="29"/>
        <v>N/A</v>
      </c>
      <c r="V408" s="22" t="str">
        <f t="shared" si="32"/>
        <v>N/A</v>
      </c>
      <c r="W408" s="17"/>
      <c r="X408" s="17" t="s">
        <v>56</v>
      </c>
      <c r="Y408" s="17"/>
      <c r="Z408" s="17" t="s">
        <v>56</v>
      </c>
      <c r="AA408" s="17"/>
      <c r="AB408" s="17" t="s">
        <v>57</v>
      </c>
      <c r="AC408" s="17">
        <v>2007</v>
      </c>
      <c r="AD408" s="17">
        <v>1</v>
      </c>
      <c r="AE408" s="17">
        <v>2</v>
      </c>
      <c r="AF408" s="17"/>
      <c r="AG408" s="17">
        <v>1999</v>
      </c>
      <c r="AH408" s="14">
        <f t="shared" si="30"/>
        <v>8</v>
      </c>
      <c r="AI408" s="17">
        <f t="shared" si="31"/>
        <v>9.1666666666666661</v>
      </c>
      <c r="AJ408" s="17"/>
      <c r="AK408" s="17" t="s">
        <v>56</v>
      </c>
      <c r="AL408" s="16" t="s">
        <v>790</v>
      </c>
      <c r="AM408" s="15">
        <v>2014</v>
      </c>
      <c r="AN408" s="15" t="s">
        <v>150</v>
      </c>
      <c r="AO408" s="15" t="s">
        <v>56</v>
      </c>
      <c r="AP408" s="15" t="s">
        <v>791</v>
      </c>
      <c r="AQ408" s="15" t="s">
        <v>56</v>
      </c>
      <c r="AR408" s="15" t="s">
        <v>58</v>
      </c>
      <c r="AS408" s="15" t="s">
        <v>163</v>
      </c>
      <c r="AT408" s="15"/>
      <c r="AU408" s="45" t="s">
        <v>2667</v>
      </c>
      <c r="AV408" s="15"/>
      <c r="AW408" s="12" t="str">
        <f>B408&amp;C408&amp;L408&amp;M408&amp;O408&amp;U408&amp;AL408&amp;AM408</f>
        <v>SpainFormentera-EspardellDetritivoresbiomassdenN/AGuidetti2014</v>
      </c>
    </row>
    <row r="409" spans="1:49" ht="14.25" customHeight="1" x14ac:dyDescent="0.35">
      <c r="A409" s="12">
        <v>408</v>
      </c>
      <c r="B409" s="15" t="s">
        <v>477</v>
      </c>
      <c r="C409" s="15" t="s">
        <v>788</v>
      </c>
      <c r="D409" s="15" t="s">
        <v>788</v>
      </c>
      <c r="E409" s="15" t="s">
        <v>155</v>
      </c>
      <c r="F409" s="13" t="s">
        <v>50</v>
      </c>
      <c r="G409" s="13" t="s">
        <v>51</v>
      </c>
      <c r="H409" s="16" t="s">
        <v>481</v>
      </c>
      <c r="I409" s="16" t="s">
        <v>156</v>
      </c>
      <c r="J409" s="17">
        <v>4</v>
      </c>
      <c r="K409" s="17"/>
      <c r="L409" s="17" t="s">
        <v>794</v>
      </c>
      <c r="M409" s="17" t="s">
        <v>795</v>
      </c>
      <c r="N409" s="17" t="s">
        <v>446</v>
      </c>
      <c r="O409" s="17" t="s">
        <v>55</v>
      </c>
      <c r="P409" s="17"/>
      <c r="Q409" s="17"/>
      <c r="R409" s="17"/>
      <c r="S409" s="17">
        <v>81704.918022666679</v>
      </c>
      <c r="T409" s="17">
        <v>100327.86887999999</v>
      </c>
      <c r="U409" s="20">
        <f t="shared" si="29"/>
        <v>1.2279293744859632</v>
      </c>
      <c r="V409" s="22">
        <f t="shared" si="32"/>
        <v>22.792937448596319</v>
      </c>
      <c r="W409" s="17"/>
      <c r="X409" s="17" t="s">
        <v>56</v>
      </c>
      <c r="Y409" s="17"/>
      <c r="Z409" s="17" t="s">
        <v>56</v>
      </c>
      <c r="AA409" s="17"/>
      <c r="AB409" s="17" t="s">
        <v>57</v>
      </c>
      <c r="AC409" s="17">
        <v>2007</v>
      </c>
      <c r="AD409" s="17">
        <v>1</v>
      </c>
      <c r="AE409" s="17">
        <v>2</v>
      </c>
      <c r="AF409" s="17"/>
      <c r="AG409" s="17">
        <v>1999</v>
      </c>
      <c r="AH409" s="14">
        <f t="shared" si="30"/>
        <v>8</v>
      </c>
      <c r="AI409" s="17">
        <f t="shared" si="31"/>
        <v>9.1666666666666661</v>
      </c>
      <c r="AJ409" s="17"/>
      <c r="AK409" s="17" t="s">
        <v>56</v>
      </c>
      <c r="AL409" s="16" t="s">
        <v>790</v>
      </c>
      <c r="AM409" s="15">
        <v>2014</v>
      </c>
      <c r="AN409" s="15" t="s">
        <v>150</v>
      </c>
      <c r="AO409" s="15" t="s">
        <v>56</v>
      </c>
      <c r="AP409" s="15" t="s">
        <v>791</v>
      </c>
      <c r="AQ409" s="15" t="s">
        <v>56</v>
      </c>
      <c r="AR409" s="15" t="s">
        <v>58</v>
      </c>
      <c r="AS409" s="15" t="s">
        <v>163</v>
      </c>
      <c r="AT409" s="15"/>
      <c r="AU409" s="45" t="s">
        <v>2667</v>
      </c>
      <c r="AV409" s="15"/>
      <c r="AW409" s="12" t="str">
        <f>B409&amp;C409&amp;L409&amp;M409&amp;O409&amp;U409&amp;AL409&amp;AM409</f>
        <v>SpainFormentera-EspardellActinopterygiiFishesrichness1.22792937448596Guidetti2014</v>
      </c>
    </row>
    <row r="410" spans="1:49" ht="14.25" customHeight="1" x14ac:dyDescent="0.35">
      <c r="A410" s="12">
        <v>409</v>
      </c>
      <c r="B410" s="15" t="s">
        <v>477</v>
      </c>
      <c r="C410" s="43" t="s">
        <v>1363</v>
      </c>
      <c r="D410" s="43" t="s">
        <v>1375</v>
      </c>
      <c r="E410" s="15" t="s">
        <v>1376</v>
      </c>
      <c r="F410" s="13" t="s">
        <v>50</v>
      </c>
      <c r="G410" s="13" t="s">
        <v>51</v>
      </c>
      <c r="H410" s="16" t="s">
        <v>481</v>
      </c>
      <c r="I410" s="16" t="s">
        <v>156</v>
      </c>
      <c r="J410" s="17">
        <v>0.94</v>
      </c>
      <c r="K410" s="17"/>
      <c r="L410" s="17"/>
      <c r="M410" s="17" t="s">
        <v>789</v>
      </c>
      <c r="N410" s="53" t="s">
        <v>98</v>
      </c>
      <c r="O410" s="17" t="s">
        <v>86</v>
      </c>
      <c r="P410" s="17"/>
      <c r="Q410" s="17"/>
      <c r="R410" s="17"/>
      <c r="S410" s="17">
        <v>3351.3139695712234</v>
      </c>
      <c r="T410" s="17">
        <v>9264.1770401106405</v>
      </c>
      <c r="U410" s="20">
        <f t="shared" si="29"/>
        <v>2.7643417251341345</v>
      </c>
      <c r="V410" s="22">
        <f t="shared" si="32"/>
        <v>176.43417251341344</v>
      </c>
      <c r="W410" s="17"/>
      <c r="X410" s="17" t="s">
        <v>56</v>
      </c>
      <c r="Y410" s="17"/>
      <c r="Z410" s="17" t="s">
        <v>56</v>
      </c>
      <c r="AA410" s="17"/>
      <c r="AB410" s="17" t="s">
        <v>57</v>
      </c>
      <c r="AC410" s="17">
        <v>2007</v>
      </c>
      <c r="AD410" s="17">
        <v>1</v>
      </c>
      <c r="AE410" s="17">
        <v>2</v>
      </c>
      <c r="AF410" s="17"/>
      <c r="AG410" s="17">
        <v>1983</v>
      </c>
      <c r="AH410" s="14">
        <f t="shared" si="30"/>
        <v>24</v>
      </c>
      <c r="AI410" s="17">
        <f t="shared" si="31"/>
        <v>25.166666666666668</v>
      </c>
      <c r="AJ410" s="17"/>
      <c r="AK410" s="17" t="s">
        <v>56</v>
      </c>
      <c r="AL410" s="16" t="s">
        <v>790</v>
      </c>
      <c r="AM410" s="15">
        <v>2014</v>
      </c>
      <c r="AN410" s="15" t="s">
        <v>150</v>
      </c>
      <c r="AO410" s="15" t="s">
        <v>56</v>
      </c>
      <c r="AP410" s="15" t="s">
        <v>791</v>
      </c>
      <c r="AQ410" s="15" t="s">
        <v>56</v>
      </c>
      <c r="AR410" s="15" t="s">
        <v>58</v>
      </c>
      <c r="AS410" s="15" t="s">
        <v>163</v>
      </c>
      <c r="AT410" s="15"/>
      <c r="AU410" s="45" t="s">
        <v>2667</v>
      </c>
      <c r="AV410" s="15"/>
      <c r="AW410" s="12" t="str">
        <f>B410&amp;C410&amp;L410&amp;M410&amp;O410&amp;U410&amp;AL410&amp;AM410</f>
        <v>SpainMedes Islands Marine ReserveApex predatorsdensity2.76434172513413Guidetti2014</v>
      </c>
    </row>
    <row r="411" spans="1:49" ht="14.25" customHeight="1" x14ac:dyDescent="0.35">
      <c r="A411" s="12">
        <v>410</v>
      </c>
      <c r="B411" s="12" t="s">
        <v>477</v>
      </c>
      <c r="C411" s="44" t="s">
        <v>1363</v>
      </c>
      <c r="D411" s="43" t="s">
        <v>1375</v>
      </c>
      <c r="E411" s="12" t="s">
        <v>1376</v>
      </c>
      <c r="F411" s="13" t="s">
        <v>50</v>
      </c>
      <c r="G411" s="13" t="s">
        <v>51</v>
      </c>
      <c r="H411" s="13" t="s">
        <v>481</v>
      </c>
      <c r="I411" s="13" t="s">
        <v>156</v>
      </c>
      <c r="J411" s="17">
        <v>0.94</v>
      </c>
      <c r="K411" s="17"/>
      <c r="L411" s="14"/>
      <c r="M411" s="14" t="s">
        <v>792</v>
      </c>
      <c r="N411" s="53" t="s">
        <v>98</v>
      </c>
      <c r="O411" s="17" t="s">
        <v>86</v>
      </c>
      <c r="P411" s="14"/>
      <c r="Q411" s="14"/>
      <c r="R411" s="14"/>
      <c r="S411" s="14">
        <v>408774.1935483868</v>
      </c>
      <c r="T411" s="14">
        <v>473806.45161290315</v>
      </c>
      <c r="U411" s="19">
        <f t="shared" si="29"/>
        <v>1.1590909090909098</v>
      </c>
      <c r="V411" s="41">
        <f t="shared" si="32"/>
        <v>15.909090909090985</v>
      </c>
      <c r="W411" s="14"/>
      <c r="X411" s="14" t="s">
        <v>56</v>
      </c>
      <c r="Z411" s="14" t="s">
        <v>56</v>
      </c>
      <c r="AA411" s="14"/>
      <c r="AB411" s="14" t="s">
        <v>57</v>
      </c>
      <c r="AC411" s="14">
        <v>2007</v>
      </c>
      <c r="AD411" s="14">
        <v>1</v>
      </c>
      <c r="AE411" s="14">
        <v>2</v>
      </c>
      <c r="AF411" s="14"/>
      <c r="AG411" s="14">
        <v>1983</v>
      </c>
      <c r="AH411" s="14">
        <f t="shared" si="30"/>
        <v>24</v>
      </c>
      <c r="AI411" s="17">
        <f t="shared" si="31"/>
        <v>25.166666666666668</v>
      </c>
      <c r="AJ411" s="14"/>
      <c r="AK411" s="14" t="s">
        <v>56</v>
      </c>
      <c r="AL411" s="13" t="s">
        <v>790</v>
      </c>
      <c r="AM411" s="12">
        <v>2014</v>
      </c>
      <c r="AN411" s="12" t="s">
        <v>150</v>
      </c>
      <c r="AO411" s="12" t="s">
        <v>56</v>
      </c>
      <c r="AP411" s="12" t="s">
        <v>791</v>
      </c>
      <c r="AQ411" s="12" t="s">
        <v>56</v>
      </c>
      <c r="AR411" s="12" t="s">
        <v>58</v>
      </c>
      <c r="AS411" s="12" t="s">
        <v>163</v>
      </c>
      <c r="AT411" s="12"/>
      <c r="AU411" s="45" t="s">
        <v>2667</v>
      </c>
      <c r="AV411" s="15"/>
      <c r="AW411" s="12" t="str">
        <f>B411&amp;C411&amp;L411&amp;M411&amp;O411&amp;U411&amp;AL411&amp;AM411</f>
        <v>SpainMedes Islands Marine ReserveCarnivoresdensity1.15909090909091Guidetti2014</v>
      </c>
    </row>
    <row r="412" spans="1:49" ht="14.25" customHeight="1" x14ac:dyDescent="0.35">
      <c r="A412" s="12">
        <v>411</v>
      </c>
      <c r="B412" s="15" t="s">
        <v>477</v>
      </c>
      <c r="C412" s="43" t="s">
        <v>1363</v>
      </c>
      <c r="D412" s="43" t="s">
        <v>1375</v>
      </c>
      <c r="E412" s="15" t="s">
        <v>1376</v>
      </c>
      <c r="F412" s="13" t="s">
        <v>50</v>
      </c>
      <c r="G412" s="13" t="s">
        <v>51</v>
      </c>
      <c r="H412" s="16" t="s">
        <v>481</v>
      </c>
      <c r="I412" s="16" t="s">
        <v>156</v>
      </c>
      <c r="J412" s="17">
        <v>0.94</v>
      </c>
      <c r="K412" s="17"/>
      <c r="L412" s="17"/>
      <c r="M412" s="17" t="s">
        <v>560</v>
      </c>
      <c r="N412" s="53" t="s">
        <v>98</v>
      </c>
      <c r="O412" s="17" t="s">
        <v>86</v>
      </c>
      <c r="P412" s="17"/>
      <c r="Q412" s="17"/>
      <c r="R412" s="17"/>
      <c r="S412" s="17">
        <v>1300518.1344000001</v>
      </c>
      <c r="T412" s="17">
        <v>1243523.3160000001</v>
      </c>
      <c r="U412" s="20">
        <f t="shared" si="29"/>
        <v>0.95617529898858744</v>
      </c>
      <c r="V412" s="22">
        <f t="shared" si="32"/>
        <v>-4.3824701011412559</v>
      </c>
      <c r="W412" s="17"/>
      <c r="X412" s="17" t="s">
        <v>56</v>
      </c>
      <c r="Y412" s="17"/>
      <c r="Z412" s="17" t="s">
        <v>56</v>
      </c>
      <c r="AA412" s="17"/>
      <c r="AB412" s="17" t="s">
        <v>57</v>
      </c>
      <c r="AC412" s="17">
        <v>2007</v>
      </c>
      <c r="AD412" s="17">
        <v>1</v>
      </c>
      <c r="AE412" s="17">
        <v>2</v>
      </c>
      <c r="AF412" s="17"/>
      <c r="AG412" s="17">
        <v>1983</v>
      </c>
      <c r="AH412" s="14">
        <f t="shared" si="30"/>
        <v>24</v>
      </c>
      <c r="AI412" s="17">
        <f t="shared" si="31"/>
        <v>25.166666666666668</v>
      </c>
      <c r="AJ412" s="17"/>
      <c r="AK412" s="17" t="s">
        <v>56</v>
      </c>
      <c r="AL412" s="16" t="s">
        <v>790</v>
      </c>
      <c r="AM412" s="15">
        <v>2014</v>
      </c>
      <c r="AN412" s="15" t="s">
        <v>150</v>
      </c>
      <c r="AO412" s="15" t="s">
        <v>56</v>
      </c>
      <c r="AP412" s="15" t="s">
        <v>791</v>
      </c>
      <c r="AQ412" s="15" t="s">
        <v>56</v>
      </c>
      <c r="AR412" s="15" t="s">
        <v>58</v>
      </c>
      <c r="AS412" s="15" t="s">
        <v>163</v>
      </c>
      <c r="AT412" s="15"/>
      <c r="AU412" s="45" t="s">
        <v>2667</v>
      </c>
      <c r="AV412" s="15"/>
      <c r="AW412" s="12" t="str">
        <f>B412&amp;C412&amp;L412&amp;M412&amp;O412&amp;U412&amp;AL412&amp;AM412</f>
        <v>SpainMedes Islands Marine ReservePlanktivoresdensity0.956175298988587Guidetti2014</v>
      </c>
    </row>
    <row r="413" spans="1:49" ht="14.25" customHeight="1" x14ac:dyDescent="0.35">
      <c r="A413" s="12">
        <v>412</v>
      </c>
      <c r="B413" s="15" t="s">
        <v>477</v>
      </c>
      <c r="C413" s="43" t="s">
        <v>1363</v>
      </c>
      <c r="D413" s="43" t="s">
        <v>1375</v>
      </c>
      <c r="E413" s="15" t="s">
        <v>1376</v>
      </c>
      <c r="F413" s="13" t="s">
        <v>50</v>
      </c>
      <c r="G413" s="13" t="s">
        <v>51</v>
      </c>
      <c r="H413" s="16" t="s">
        <v>481</v>
      </c>
      <c r="I413" s="16" t="s">
        <v>156</v>
      </c>
      <c r="J413" s="17">
        <v>0.94</v>
      </c>
      <c r="K413" s="17"/>
      <c r="L413" s="17"/>
      <c r="M413" s="17" t="s">
        <v>559</v>
      </c>
      <c r="N413" s="53" t="s">
        <v>98</v>
      </c>
      <c r="O413" s="17" t="s">
        <v>86</v>
      </c>
      <c r="P413" s="17"/>
      <c r="Q413" s="17"/>
      <c r="R413" s="17"/>
      <c r="S413" s="17">
        <v>30795.847752000001</v>
      </c>
      <c r="T413" s="17">
        <v>47750.865048</v>
      </c>
      <c r="U413" s="20">
        <f t="shared" si="29"/>
        <v>1.550561797568923</v>
      </c>
      <c r="V413" s="22">
        <f t="shared" si="32"/>
        <v>55.056179756892298</v>
      </c>
      <c r="W413" s="17"/>
      <c r="X413" s="17" t="s">
        <v>56</v>
      </c>
      <c r="Y413" s="17"/>
      <c r="Z413" s="17" t="s">
        <v>56</v>
      </c>
      <c r="AA413" s="17"/>
      <c r="AB413" s="17" t="s">
        <v>57</v>
      </c>
      <c r="AC413" s="17">
        <v>2007</v>
      </c>
      <c r="AD413" s="17">
        <v>1</v>
      </c>
      <c r="AE413" s="17">
        <v>2</v>
      </c>
      <c r="AF413" s="17"/>
      <c r="AG413" s="17">
        <v>1983</v>
      </c>
      <c r="AH413" s="14">
        <f t="shared" si="30"/>
        <v>24</v>
      </c>
      <c r="AI413" s="17">
        <f t="shared" si="31"/>
        <v>25.166666666666668</v>
      </c>
      <c r="AJ413" s="17"/>
      <c r="AK413" s="17" t="s">
        <v>56</v>
      </c>
      <c r="AL413" s="16" t="s">
        <v>790</v>
      </c>
      <c r="AM413" s="15">
        <v>2014</v>
      </c>
      <c r="AN413" s="15" t="s">
        <v>150</v>
      </c>
      <c r="AO413" s="15" t="s">
        <v>56</v>
      </c>
      <c r="AP413" s="15" t="s">
        <v>791</v>
      </c>
      <c r="AQ413" s="15" t="s">
        <v>56</v>
      </c>
      <c r="AR413" s="15" t="s">
        <v>58</v>
      </c>
      <c r="AS413" s="15" t="s">
        <v>163</v>
      </c>
      <c r="AT413" s="15"/>
      <c r="AU413" s="45" t="s">
        <v>2667</v>
      </c>
      <c r="AV413" s="15"/>
      <c r="AW413" s="12" t="str">
        <f>B413&amp;C413&amp;L413&amp;M413&amp;O413&amp;U413&amp;AL413&amp;AM413</f>
        <v>SpainMedes Islands Marine ReserveHerbivoresdensity1.55056179756892Guidetti2014</v>
      </c>
    </row>
    <row r="414" spans="1:49" ht="14.25" customHeight="1" x14ac:dyDescent="0.35">
      <c r="A414" s="12">
        <v>413</v>
      </c>
      <c r="B414" s="15" t="s">
        <v>477</v>
      </c>
      <c r="C414" s="43" t="s">
        <v>1363</v>
      </c>
      <c r="D414" s="43" t="s">
        <v>1375</v>
      </c>
      <c r="E414" s="15" t="s">
        <v>1376</v>
      </c>
      <c r="F414" s="13" t="s">
        <v>50</v>
      </c>
      <c r="G414" s="13" t="s">
        <v>51</v>
      </c>
      <c r="H414" s="16" t="s">
        <v>481</v>
      </c>
      <c r="I414" s="16" t="s">
        <v>156</v>
      </c>
      <c r="J414" s="17">
        <v>0.94</v>
      </c>
      <c r="K414" s="17"/>
      <c r="L414" s="17"/>
      <c r="M414" s="17" t="s">
        <v>793</v>
      </c>
      <c r="N414" s="53" t="s">
        <v>98</v>
      </c>
      <c r="O414" s="17" t="s">
        <v>86</v>
      </c>
      <c r="P414" s="17"/>
      <c r="Q414" s="17"/>
      <c r="R414" s="17"/>
      <c r="S414" s="17">
        <v>885.10638399999993</v>
      </c>
      <c r="T414" s="17">
        <v>3982.9787200000001</v>
      </c>
      <c r="U414" s="20">
        <f t="shared" si="29"/>
        <v>4.4999999909615385</v>
      </c>
      <c r="V414" s="22">
        <f t="shared" si="32"/>
        <v>349.99999909615383</v>
      </c>
      <c r="W414" s="17"/>
      <c r="X414" s="17" t="s">
        <v>56</v>
      </c>
      <c r="Y414" s="17"/>
      <c r="Z414" s="17" t="s">
        <v>56</v>
      </c>
      <c r="AA414" s="17"/>
      <c r="AB414" s="17" t="s">
        <v>57</v>
      </c>
      <c r="AC414" s="17">
        <v>2007</v>
      </c>
      <c r="AD414" s="17">
        <v>1</v>
      </c>
      <c r="AE414" s="17">
        <v>2</v>
      </c>
      <c r="AF414" s="17"/>
      <c r="AG414" s="17">
        <v>1983</v>
      </c>
      <c r="AH414" s="14">
        <f t="shared" si="30"/>
        <v>24</v>
      </c>
      <c r="AI414" s="17">
        <f t="shared" si="31"/>
        <v>25.166666666666668</v>
      </c>
      <c r="AJ414" s="17"/>
      <c r="AK414" s="17" t="s">
        <v>56</v>
      </c>
      <c r="AL414" s="16" t="s">
        <v>790</v>
      </c>
      <c r="AM414" s="15">
        <v>2014</v>
      </c>
      <c r="AN414" s="15" t="s">
        <v>150</v>
      </c>
      <c r="AO414" s="15" t="s">
        <v>56</v>
      </c>
      <c r="AP414" s="15" t="s">
        <v>791</v>
      </c>
      <c r="AQ414" s="15" t="s">
        <v>56</v>
      </c>
      <c r="AR414" s="15" t="s">
        <v>58</v>
      </c>
      <c r="AS414" s="15" t="s">
        <v>163</v>
      </c>
      <c r="AT414" s="15"/>
      <c r="AU414" s="45" t="s">
        <v>2667</v>
      </c>
      <c r="AV414" s="15"/>
      <c r="AW414" s="12" t="str">
        <f>B414&amp;C414&amp;L414&amp;M414&amp;O414&amp;U414&amp;AL414&amp;AM414</f>
        <v>SpainMedes Islands Marine ReserveDetritivoresdensity4.49999999096154Guidetti2014</v>
      </c>
    </row>
    <row r="415" spans="1:49" ht="14.25" customHeight="1" x14ac:dyDescent="0.35">
      <c r="A415" s="12">
        <v>414</v>
      </c>
      <c r="B415" s="12" t="s">
        <v>477</v>
      </c>
      <c r="C415" s="44" t="s">
        <v>1363</v>
      </c>
      <c r="D415" s="43" t="s">
        <v>1375</v>
      </c>
      <c r="E415" s="12" t="s">
        <v>1376</v>
      </c>
      <c r="F415" s="13" t="s">
        <v>50</v>
      </c>
      <c r="G415" s="13" t="s">
        <v>51</v>
      </c>
      <c r="H415" s="13" t="s">
        <v>481</v>
      </c>
      <c r="I415" s="13" t="s">
        <v>156</v>
      </c>
      <c r="J415" s="17">
        <v>0.94</v>
      </c>
      <c r="K415" s="17"/>
      <c r="L415" s="14"/>
      <c r="M415" s="14" t="s">
        <v>789</v>
      </c>
      <c r="N415" s="53" t="s">
        <v>98</v>
      </c>
      <c r="O415" s="17" t="s">
        <v>70</v>
      </c>
      <c r="P415" s="14"/>
      <c r="Q415" s="14"/>
      <c r="R415" s="14"/>
      <c r="S415" s="14">
        <v>12291.10512129372</v>
      </c>
      <c r="T415" s="14">
        <v>351913.7466307272</v>
      </c>
      <c r="U415" s="19">
        <f t="shared" si="29"/>
        <v>28.631578947368563</v>
      </c>
      <c r="V415" s="41">
        <f t="shared" si="32"/>
        <v>2763.1578947368562</v>
      </c>
      <c r="W415" s="14"/>
      <c r="X415" s="14" t="s">
        <v>56</v>
      </c>
      <c r="Z415" s="14" t="s">
        <v>56</v>
      </c>
      <c r="AA415" s="14"/>
      <c r="AB415" s="14" t="s">
        <v>57</v>
      </c>
      <c r="AC415" s="14">
        <v>2007</v>
      </c>
      <c r="AD415" s="14">
        <v>1</v>
      </c>
      <c r="AE415" s="14">
        <v>2</v>
      </c>
      <c r="AF415" s="14"/>
      <c r="AG415" s="14">
        <v>1983</v>
      </c>
      <c r="AH415" s="14">
        <f t="shared" si="30"/>
        <v>24</v>
      </c>
      <c r="AI415" s="17">
        <f t="shared" si="31"/>
        <v>25.166666666666668</v>
      </c>
      <c r="AJ415" s="14"/>
      <c r="AK415" s="14" t="s">
        <v>56</v>
      </c>
      <c r="AL415" s="13" t="s">
        <v>790</v>
      </c>
      <c r="AM415" s="12">
        <v>2014</v>
      </c>
      <c r="AN415" s="12" t="s">
        <v>150</v>
      </c>
      <c r="AO415" s="12" t="s">
        <v>56</v>
      </c>
      <c r="AP415" s="12" t="s">
        <v>791</v>
      </c>
      <c r="AQ415" s="12" t="s">
        <v>56</v>
      </c>
      <c r="AR415" s="12" t="s">
        <v>58</v>
      </c>
      <c r="AS415" s="12" t="s">
        <v>163</v>
      </c>
      <c r="AT415" s="12"/>
      <c r="AU415" s="45" t="s">
        <v>2667</v>
      </c>
      <c r="AV415" s="15"/>
      <c r="AW415" s="12" t="str">
        <f>B415&amp;C415&amp;L415&amp;M415&amp;O415&amp;U415&amp;AL415&amp;AM415</f>
        <v>SpainMedes Islands Marine ReserveApex predatorsbiomassden28.6315789473686Guidetti2014</v>
      </c>
    </row>
    <row r="416" spans="1:49" ht="14.25" customHeight="1" x14ac:dyDescent="0.35">
      <c r="A416" s="12">
        <v>415</v>
      </c>
      <c r="B416" s="12" t="s">
        <v>477</v>
      </c>
      <c r="C416" s="44" t="s">
        <v>1363</v>
      </c>
      <c r="D416" s="43" t="s">
        <v>1375</v>
      </c>
      <c r="E416" s="12" t="s">
        <v>1376</v>
      </c>
      <c r="F416" s="13" t="s">
        <v>50</v>
      </c>
      <c r="G416" s="13" t="s">
        <v>51</v>
      </c>
      <c r="H416" s="13" t="s">
        <v>481</v>
      </c>
      <c r="I416" s="13" t="s">
        <v>156</v>
      </c>
      <c r="J416" s="17">
        <v>0.94</v>
      </c>
      <c r="K416" s="17"/>
      <c r="L416" s="14"/>
      <c r="M416" s="14" t="s">
        <v>792</v>
      </c>
      <c r="N416" s="53" t="s">
        <v>98</v>
      </c>
      <c r="O416" s="17" t="s">
        <v>70</v>
      </c>
      <c r="P416" s="14"/>
      <c r="Q416" s="14"/>
      <c r="R416" s="14"/>
      <c r="S416" s="14">
        <v>175147.92899408241</v>
      </c>
      <c r="T416" s="14">
        <v>274556.21301775117</v>
      </c>
      <c r="U416" s="19">
        <f t="shared" si="29"/>
        <v>1.5675675675675698</v>
      </c>
      <c r="V416" s="41">
        <f t="shared" si="32"/>
        <v>56.756756756756978</v>
      </c>
      <c r="W416" s="14"/>
      <c r="X416" s="14" t="s">
        <v>56</v>
      </c>
      <c r="Z416" s="14" t="s">
        <v>56</v>
      </c>
      <c r="AA416" s="14"/>
      <c r="AB416" s="14" t="s">
        <v>57</v>
      </c>
      <c r="AC416" s="14">
        <v>2007</v>
      </c>
      <c r="AD416" s="14">
        <v>1</v>
      </c>
      <c r="AE416" s="14">
        <v>2</v>
      </c>
      <c r="AF416" s="14"/>
      <c r="AG416" s="14">
        <v>1983</v>
      </c>
      <c r="AH416" s="14">
        <f t="shared" si="30"/>
        <v>24</v>
      </c>
      <c r="AI416" s="17">
        <f t="shared" si="31"/>
        <v>25.166666666666668</v>
      </c>
      <c r="AJ416" s="14"/>
      <c r="AK416" s="14" t="s">
        <v>56</v>
      </c>
      <c r="AL416" s="13" t="s">
        <v>790</v>
      </c>
      <c r="AM416" s="12">
        <v>2014</v>
      </c>
      <c r="AN416" s="12" t="s">
        <v>150</v>
      </c>
      <c r="AO416" s="12" t="s">
        <v>56</v>
      </c>
      <c r="AP416" s="12" t="s">
        <v>791</v>
      </c>
      <c r="AQ416" s="12" t="s">
        <v>56</v>
      </c>
      <c r="AR416" s="12" t="s">
        <v>58</v>
      </c>
      <c r="AS416" s="12" t="s">
        <v>163</v>
      </c>
      <c r="AT416" s="12"/>
      <c r="AU416" s="45" t="s">
        <v>2667</v>
      </c>
      <c r="AV416" s="15"/>
      <c r="AW416" s="12" t="str">
        <f>B416&amp;C416&amp;L416&amp;M416&amp;O416&amp;U416&amp;AL416&amp;AM416</f>
        <v>SpainMedes Islands Marine ReserveCarnivoresbiomassden1.56756756756757Guidetti2014</v>
      </c>
    </row>
    <row r="417" spans="1:49" ht="14.25" customHeight="1" x14ac:dyDescent="0.35">
      <c r="A417" s="12">
        <v>416</v>
      </c>
      <c r="B417" s="15" t="s">
        <v>477</v>
      </c>
      <c r="C417" s="43" t="s">
        <v>1363</v>
      </c>
      <c r="D417" s="43" t="s">
        <v>1375</v>
      </c>
      <c r="E417" s="15" t="s">
        <v>1376</v>
      </c>
      <c r="F417" s="13" t="s">
        <v>50</v>
      </c>
      <c r="G417" s="13" t="s">
        <v>51</v>
      </c>
      <c r="H417" s="16" t="s">
        <v>481</v>
      </c>
      <c r="I417" s="16" t="s">
        <v>156</v>
      </c>
      <c r="J417" s="17">
        <v>0.94</v>
      </c>
      <c r="K417" s="17"/>
      <c r="L417" s="17"/>
      <c r="M417" s="17" t="s">
        <v>560</v>
      </c>
      <c r="N417" s="53" t="s">
        <v>98</v>
      </c>
      <c r="O417" s="17" t="s">
        <v>70</v>
      </c>
      <c r="P417" s="17"/>
      <c r="Q417" s="17"/>
      <c r="R417" s="17"/>
      <c r="S417" s="17">
        <v>526.315788</v>
      </c>
      <c r="T417" s="17">
        <v>5847.9532159999999</v>
      </c>
      <c r="U417" s="20">
        <f t="shared" si="29"/>
        <v>11.111111141511111</v>
      </c>
      <c r="V417" s="22">
        <f t="shared" si="32"/>
        <v>1011.1111141511111</v>
      </c>
      <c r="W417" s="17"/>
      <c r="X417" s="17" t="s">
        <v>56</v>
      </c>
      <c r="Z417" s="17" t="s">
        <v>56</v>
      </c>
      <c r="AA417" s="17"/>
      <c r="AB417" s="17" t="s">
        <v>57</v>
      </c>
      <c r="AC417" s="17">
        <v>2007</v>
      </c>
      <c r="AD417" s="17">
        <v>1</v>
      </c>
      <c r="AE417" s="17">
        <v>2</v>
      </c>
      <c r="AF417" s="17"/>
      <c r="AG417" s="17">
        <v>1983</v>
      </c>
      <c r="AH417" s="14">
        <f t="shared" si="30"/>
        <v>24</v>
      </c>
      <c r="AI417" s="17">
        <f t="shared" si="31"/>
        <v>25.166666666666668</v>
      </c>
      <c r="AJ417" s="17"/>
      <c r="AK417" s="17" t="s">
        <v>56</v>
      </c>
      <c r="AL417" s="16" t="s">
        <v>790</v>
      </c>
      <c r="AM417" s="15">
        <v>2014</v>
      </c>
      <c r="AN417" s="15" t="s">
        <v>150</v>
      </c>
      <c r="AO417" s="15" t="s">
        <v>56</v>
      </c>
      <c r="AP417" s="15" t="s">
        <v>791</v>
      </c>
      <c r="AQ417" s="15" t="s">
        <v>56</v>
      </c>
      <c r="AR417" s="15" t="s">
        <v>58</v>
      </c>
      <c r="AS417" s="15" t="s">
        <v>163</v>
      </c>
      <c r="AT417" s="15"/>
      <c r="AU417" s="45" t="s">
        <v>2667</v>
      </c>
      <c r="AV417" s="15"/>
      <c r="AW417" s="12" t="str">
        <f>B417&amp;C417&amp;L417&amp;M417&amp;O417&amp;U417&amp;AL417&amp;AM417</f>
        <v>SpainMedes Islands Marine ReservePlanktivoresbiomassden11.1111111415111Guidetti2014</v>
      </c>
    </row>
    <row r="418" spans="1:49" ht="14.25" customHeight="1" x14ac:dyDescent="0.35">
      <c r="A418" s="12">
        <v>417</v>
      </c>
      <c r="B418" s="15" t="s">
        <v>477</v>
      </c>
      <c r="C418" s="43" t="s">
        <v>1363</v>
      </c>
      <c r="D418" s="43" t="s">
        <v>1375</v>
      </c>
      <c r="E418" s="15" t="s">
        <v>1376</v>
      </c>
      <c r="F418" s="16" t="s">
        <v>50</v>
      </c>
      <c r="G418" s="16" t="s">
        <v>51</v>
      </c>
      <c r="H418" s="16" t="s">
        <v>481</v>
      </c>
      <c r="I418" s="16" t="s">
        <v>156</v>
      </c>
      <c r="J418" s="17">
        <v>0.94</v>
      </c>
      <c r="K418" s="17"/>
      <c r="L418" s="17"/>
      <c r="M418" s="17" t="s">
        <v>559</v>
      </c>
      <c r="N418" s="53" t="s">
        <v>98</v>
      </c>
      <c r="O418" s="17" t="s">
        <v>70</v>
      </c>
      <c r="P418" s="17"/>
      <c r="Q418" s="17"/>
      <c r="R418" s="17"/>
      <c r="S418" s="17">
        <v>27599.999999999996</v>
      </c>
      <c r="T418" s="17">
        <v>41280</v>
      </c>
      <c r="U418" s="20">
        <f t="shared" si="29"/>
        <v>1.4956521739130437</v>
      </c>
      <c r="V418" s="22">
        <f t="shared" si="32"/>
        <v>49.565217391304373</v>
      </c>
      <c r="W418" s="17"/>
      <c r="X418" s="17" t="s">
        <v>56</v>
      </c>
      <c r="Y418" s="17"/>
      <c r="Z418" s="17" t="s">
        <v>56</v>
      </c>
      <c r="AA418" s="17"/>
      <c r="AB418" s="17" t="s">
        <v>57</v>
      </c>
      <c r="AC418" s="17">
        <v>2007</v>
      </c>
      <c r="AD418" s="17">
        <v>1</v>
      </c>
      <c r="AE418" s="17">
        <v>2</v>
      </c>
      <c r="AF418" s="17"/>
      <c r="AG418" s="17">
        <v>1983</v>
      </c>
      <c r="AH418" s="14">
        <f t="shared" si="30"/>
        <v>24</v>
      </c>
      <c r="AI418" s="17">
        <f t="shared" si="31"/>
        <v>25.166666666666668</v>
      </c>
      <c r="AJ418" s="17"/>
      <c r="AK418" s="17" t="s">
        <v>56</v>
      </c>
      <c r="AL418" s="16" t="s">
        <v>790</v>
      </c>
      <c r="AM418" s="15">
        <v>2014</v>
      </c>
      <c r="AN418" s="15" t="s">
        <v>150</v>
      </c>
      <c r="AO418" s="15" t="s">
        <v>56</v>
      </c>
      <c r="AP418" s="15" t="s">
        <v>791</v>
      </c>
      <c r="AQ418" s="15" t="s">
        <v>56</v>
      </c>
      <c r="AR418" s="15" t="s">
        <v>58</v>
      </c>
      <c r="AS418" s="15" t="s">
        <v>163</v>
      </c>
      <c r="AT418" s="15"/>
      <c r="AU418" s="45" t="s">
        <v>2667</v>
      </c>
      <c r="AV418" s="15"/>
      <c r="AW418" s="12" t="str">
        <f>B418&amp;C418&amp;L418&amp;M418&amp;O418&amp;U418&amp;AL418&amp;AM418</f>
        <v>SpainMedes Islands Marine ReserveHerbivoresbiomassden1.49565217391304Guidetti2014</v>
      </c>
    </row>
    <row r="419" spans="1:49" ht="14.25" customHeight="1" x14ac:dyDescent="0.35">
      <c r="A419" s="12">
        <v>418</v>
      </c>
      <c r="B419" s="15" t="s">
        <v>477</v>
      </c>
      <c r="C419" s="43" t="s">
        <v>1363</v>
      </c>
      <c r="D419" s="43" t="s">
        <v>1375</v>
      </c>
      <c r="E419" s="15" t="s">
        <v>1376</v>
      </c>
      <c r="F419" s="13" t="s">
        <v>50</v>
      </c>
      <c r="G419" s="13" t="s">
        <v>51</v>
      </c>
      <c r="H419" s="16" t="s">
        <v>481</v>
      </c>
      <c r="I419" s="16" t="s">
        <v>156</v>
      </c>
      <c r="J419" s="17">
        <v>0.94</v>
      </c>
      <c r="K419" s="17"/>
      <c r="L419" s="17"/>
      <c r="M419" s="17" t="s">
        <v>793</v>
      </c>
      <c r="N419" s="42" t="s">
        <v>98</v>
      </c>
      <c r="O419" s="17" t="s">
        <v>70</v>
      </c>
      <c r="P419" s="17"/>
      <c r="Q419" s="17"/>
      <c r="R419" s="17"/>
      <c r="S419" s="17">
        <v>1145.1942759999999</v>
      </c>
      <c r="T419" s="17">
        <v>47640.0818</v>
      </c>
      <c r="U419" s="20">
        <f t="shared" si="29"/>
        <v>41.599999928745717</v>
      </c>
      <c r="V419" s="22">
        <f t="shared" si="32"/>
        <v>4059.9999928745719</v>
      </c>
      <c r="W419" s="17"/>
      <c r="X419" s="17" t="s">
        <v>56</v>
      </c>
      <c r="Y419" s="17"/>
      <c r="Z419" s="17" t="s">
        <v>56</v>
      </c>
      <c r="AA419" s="17"/>
      <c r="AB419" s="17" t="s">
        <v>57</v>
      </c>
      <c r="AC419" s="17">
        <v>2007</v>
      </c>
      <c r="AD419" s="17">
        <v>1</v>
      </c>
      <c r="AE419" s="17">
        <v>2</v>
      </c>
      <c r="AF419" s="17"/>
      <c r="AG419" s="17">
        <v>1983</v>
      </c>
      <c r="AH419" s="14">
        <f t="shared" si="30"/>
        <v>24</v>
      </c>
      <c r="AI419" s="17">
        <f t="shared" si="31"/>
        <v>25.166666666666668</v>
      </c>
      <c r="AJ419" s="17"/>
      <c r="AK419" s="17" t="s">
        <v>56</v>
      </c>
      <c r="AL419" s="16" t="s">
        <v>790</v>
      </c>
      <c r="AM419" s="15">
        <v>2014</v>
      </c>
      <c r="AN419" s="15" t="s">
        <v>150</v>
      </c>
      <c r="AO419" s="15" t="s">
        <v>56</v>
      </c>
      <c r="AP419" s="15" t="s">
        <v>791</v>
      </c>
      <c r="AQ419" s="15" t="s">
        <v>56</v>
      </c>
      <c r="AR419" s="15" t="s">
        <v>58</v>
      </c>
      <c r="AS419" s="15" t="s">
        <v>163</v>
      </c>
      <c r="AT419" s="15"/>
      <c r="AU419" s="45" t="s">
        <v>2667</v>
      </c>
      <c r="AV419" s="15"/>
      <c r="AW419" s="12" t="str">
        <f>B419&amp;C419&amp;L419&amp;M419&amp;O419&amp;U419&amp;AL419&amp;AM419</f>
        <v>SpainMedes Islands Marine ReserveDetritivoresbiomassden41.5999999287457Guidetti2014</v>
      </c>
    </row>
    <row r="420" spans="1:49" ht="14.25" customHeight="1" x14ac:dyDescent="0.35">
      <c r="A420" s="12">
        <v>419</v>
      </c>
      <c r="B420" s="15" t="s">
        <v>477</v>
      </c>
      <c r="C420" s="43" t="s">
        <v>1363</v>
      </c>
      <c r="D420" s="43" t="s">
        <v>1375</v>
      </c>
      <c r="E420" s="15" t="s">
        <v>1376</v>
      </c>
      <c r="F420" s="13" t="s">
        <v>50</v>
      </c>
      <c r="G420" s="13" t="s">
        <v>51</v>
      </c>
      <c r="H420" s="16" t="s">
        <v>481</v>
      </c>
      <c r="I420" s="16" t="s">
        <v>156</v>
      </c>
      <c r="J420" s="17">
        <v>0.94</v>
      </c>
      <c r="K420" s="17"/>
      <c r="L420" s="17" t="s">
        <v>794</v>
      </c>
      <c r="M420" s="17" t="s">
        <v>795</v>
      </c>
      <c r="N420" s="17" t="s">
        <v>446</v>
      </c>
      <c r="O420" s="17" t="s">
        <v>55</v>
      </c>
      <c r="P420" s="17"/>
      <c r="Q420" s="17"/>
      <c r="R420" s="17"/>
      <c r="S420" s="17">
        <v>79868.852467999997</v>
      </c>
      <c r="T420" s="17">
        <v>96786.885280000002</v>
      </c>
      <c r="U420" s="20">
        <f t="shared" si="29"/>
        <v>1.2118226603891464</v>
      </c>
      <c r="V420" s="22">
        <f t="shared" si="32"/>
        <v>21.182266038914644</v>
      </c>
      <c r="W420" s="17"/>
      <c r="X420" s="17" t="s">
        <v>56</v>
      </c>
      <c r="Y420" s="17"/>
      <c r="Z420" s="17" t="s">
        <v>56</v>
      </c>
      <c r="AA420" s="17"/>
      <c r="AB420" s="17" t="s">
        <v>57</v>
      </c>
      <c r="AC420" s="17">
        <v>2007</v>
      </c>
      <c r="AD420" s="17">
        <v>1</v>
      </c>
      <c r="AE420" s="17">
        <v>2</v>
      </c>
      <c r="AF420" s="17"/>
      <c r="AG420" s="17">
        <v>1983</v>
      </c>
      <c r="AH420" s="14">
        <f t="shared" si="30"/>
        <v>24</v>
      </c>
      <c r="AI420" s="17">
        <f t="shared" si="31"/>
        <v>25.166666666666668</v>
      </c>
      <c r="AJ420" s="17"/>
      <c r="AK420" s="17" t="s">
        <v>56</v>
      </c>
      <c r="AL420" s="16" t="s">
        <v>790</v>
      </c>
      <c r="AM420" s="15">
        <v>2014</v>
      </c>
      <c r="AN420" s="15" t="s">
        <v>150</v>
      </c>
      <c r="AO420" s="15" t="s">
        <v>56</v>
      </c>
      <c r="AP420" s="15" t="s">
        <v>791</v>
      </c>
      <c r="AQ420" s="15" t="s">
        <v>56</v>
      </c>
      <c r="AR420" s="15" t="s">
        <v>58</v>
      </c>
      <c r="AS420" s="15" t="s">
        <v>163</v>
      </c>
      <c r="AT420" s="15"/>
      <c r="AU420" s="45" t="s">
        <v>2667</v>
      </c>
      <c r="AV420" s="15"/>
      <c r="AW420" s="12" t="str">
        <f>B420&amp;C420&amp;L420&amp;M420&amp;O420&amp;U420&amp;AL420&amp;AM420</f>
        <v>SpainMedes Islands Marine ReserveActinopterygiiFishesrichness1.21182266038915Guidetti2014</v>
      </c>
    </row>
    <row r="421" spans="1:49" ht="14.25" customHeight="1" x14ac:dyDescent="0.35">
      <c r="A421" s="12">
        <v>420</v>
      </c>
      <c r="B421" s="12" t="s">
        <v>1527</v>
      </c>
      <c r="C421" s="44" t="s">
        <v>1654</v>
      </c>
      <c r="D421" s="43" t="s">
        <v>1654</v>
      </c>
      <c r="E421" s="12" t="s">
        <v>1376</v>
      </c>
      <c r="F421" s="13" t="s">
        <v>50</v>
      </c>
      <c r="G421" s="13" t="s">
        <v>51</v>
      </c>
      <c r="H421" s="13" t="s">
        <v>481</v>
      </c>
      <c r="I421" s="13" t="s">
        <v>156</v>
      </c>
      <c r="J421" s="17">
        <v>0.18</v>
      </c>
      <c r="K421" s="17"/>
      <c r="L421" s="14"/>
      <c r="M421" s="14" t="s">
        <v>789</v>
      </c>
      <c r="N421" s="53" t="s">
        <v>98</v>
      </c>
      <c r="O421" s="17" t="s">
        <v>86</v>
      </c>
      <c r="P421" s="14"/>
      <c r="Q421" s="14"/>
      <c r="R421" s="14"/>
      <c r="S421" s="14">
        <v>1294.6058091286241</v>
      </c>
      <c r="T421" s="14">
        <v>14035.961272475759</v>
      </c>
      <c r="U421" s="19">
        <f t="shared" si="29"/>
        <v>10.841880341880369</v>
      </c>
      <c r="V421" s="41">
        <f t="shared" si="32"/>
        <v>984.18803418803691</v>
      </c>
      <c r="W421" s="14"/>
      <c r="X421" s="14" t="s">
        <v>56</v>
      </c>
      <c r="Z421" s="14" t="s">
        <v>56</v>
      </c>
      <c r="AA421" s="14"/>
      <c r="AB421" s="14" t="s">
        <v>57</v>
      </c>
      <c r="AC421" s="14">
        <v>2007</v>
      </c>
      <c r="AD421" s="14">
        <v>1</v>
      </c>
      <c r="AE421" s="14">
        <v>2</v>
      </c>
      <c r="AF421" s="14"/>
      <c r="AG421" s="14">
        <v>1998</v>
      </c>
      <c r="AH421" s="14">
        <f t="shared" si="30"/>
        <v>9</v>
      </c>
      <c r="AI421" s="17">
        <f t="shared" si="31"/>
        <v>10.166666666666666</v>
      </c>
      <c r="AJ421" s="14"/>
      <c r="AK421" s="14" t="s">
        <v>56</v>
      </c>
      <c r="AL421" s="13" t="s">
        <v>790</v>
      </c>
      <c r="AM421" s="12">
        <v>2014</v>
      </c>
      <c r="AN421" s="12" t="s">
        <v>150</v>
      </c>
      <c r="AO421" s="12" t="s">
        <v>56</v>
      </c>
      <c r="AP421" s="12" t="s">
        <v>791</v>
      </c>
      <c r="AQ421" s="12" t="s">
        <v>56</v>
      </c>
      <c r="AR421" s="12" t="s">
        <v>58</v>
      </c>
      <c r="AS421" s="12" t="s">
        <v>163</v>
      </c>
      <c r="AT421" s="12"/>
      <c r="AU421" s="45" t="s">
        <v>2667</v>
      </c>
      <c r="AV421" s="15"/>
      <c r="AW421" s="12" t="str">
        <f>B421&amp;C421&amp;L421&amp;M421&amp;O421&amp;U421&amp;AL421&amp;AM421</f>
        <v>ItalyPortofino Marine Protected AreaApex predatorsdensity10.8418803418804Guidetti2014</v>
      </c>
    </row>
    <row r="422" spans="1:49" ht="14.25" customHeight="1" x14ac:dyDescent="0.35">
      <c r="A422" s="12">
        <v>421</v>
      </c>
      <c r="B422" s="12" t="s">
        <v>1527</v>
      </c>
      <c r="C422" s="44" t="s">
        <v>1654</v>
      </c>
      <c r="D422" s="43" t="s">
        <v>1654</v>
      </c>
      <c r="E422" s="12" t="s">
        <v>1376</v>
      </c>
      <c r="F422" s="13" t="s">
        <v>50</v>
      </c>
      <c r="G422" s="13" t="s">
        <v>51</v>
      </c>
      <c r="H422" s="13" t="s">
        <v>481</v>
      </c>
      <c r="I422" s="13" t="s">
        <v>156</v>
      </c>
      <c r="J422" s="17">
        <v>0.18</v>
      </c>
      <c r="K422" s="17"/>
      <c r="L422" s="14"/>
      <c r="M422" s="14" t="s">
        <v>792</v>
      </c>
      <c r="N422" s="53" t="s">
        <v>98</v>
      </c>
      <c r="O422" s="17" t="s">
        <v>86</v>
      </c>
      <c r="P422" s="14"/>
      <c r="Q422" s="14"/>
      <c r="R422" s="14"/>
      <c r="S422" s="14">
        <v>291096.77419354802</v>
      </c>
      <c r="T422" s="14">
        <v>349935.48387096717</v>
      </c>
      <c r="U422" s="19">
        <f t="shared" si="29"/>
        <v>1.2021276595744677</v>
      </c>
      <c r="V422" s="41">
        <f t="shared" si="32"/>
        <v>20.212765957446766</v>
      </c>
      <c r="W422" s="14"/>
      <c r="X422" s="14" t="s">
        <v>56</v>
      </c>
      <c r="Z422" s="14" t="s">
        <v>56</v>
      </c>
      <c r="AA422" s="14"/>
      <c r="AB422" s="14" t="s">
        <v>57</v>
      </c>
      <c r="AC422" s="14">
        <v>2007</v>
      </c>
      <c r="AD422" s="14">
        <v>1</v>
      </c>
      <c r="AE422" s="14">
        <v>2</v>
      </c>
      <c r="AF422" s="14"/>
      <c r="AG422" s="14">
        <v>1998</v>
      </c>
      <c r="AH422" s="14">
        <f t="shared" si="30"/>
        <v>9</v>
      </c>
      <c r="AI422" s="17">
        <f t="shared" si="31"/>
        <v>10.166666666666666</v>
      </c>
      <c r="AJ422" s="14"/>
      <c r="AK422" s="14" t="s">
        <v>56</v>
      </c>
      <c r="AL422" s="13" t="s">
        <v>790</v>
      </c>
      <c r="AM422" s="12">
        <v>2014</v>
      </c>
      <c r="AN422" s="12" t="s">
        <v>150</v>
      </c>
      <c r="AO422" s="12" t="s">
        <v>56</v>
      </c>
      <c r="AP422" s="12" t="s">
        <v>791</v>
      </c>
      <c r="AQ422" s="12" t="s">
        <v>56</v>
      </c>
      <c r="AR422" s="12" t="s">
        <v>58</v>
      </c>
      <c r="AS422" s="12" t="s">
        <v>163</v>
      </c>
      <c r="AT422" s="12"/>
      <c r="AU422" s="45" t="s">
        <v>2667</v>
      </c>
      <c r="AV422" s="15"/>
      <c r="AW422" s="12" t="str">
        <f>B422&amp;C422&amp;L422&amp;M422&amp;O422&amp;U422&amp;AL422&amp;AM422</f>
        <v>ItalyPortofino Marine Protected AreaCarnivoresdensity1.20212765957447Guidetti2014</v>
      </c>
    </row>
    <row r="423" spans="1:49" ht="14.25" customHeight="1" x14ac:dyDescent="0.35">
      <c r="A423" s="12">
        <v>422</v>
      </c>
      <c r="B423" s="15" t="s">
        <v>1527</v>
      </c>
      <c r="C423" s="43" t="s">
        <v>1654</v>
      </c>
      <c r="D423" s="43" t="s">
        <v>1654</v>
      </c>
      <c r="E423" s="15" t="s">
        <v>1376</v>
      </c>
      <c r="F423" s="16" t="s">
        <v>50</v>
      </c>
      <c r="G423" s="16" t="s">
        <v>51</v>
      </c>
      <c r="H423" s="16" t="s">
        <v>481</v>
      </c>
      <c r="I423" s="16" t="s">
        <v>156</v>
      </c>
      <c r="J423" s="17">
        <v>0.18</v>
      </c>
      <c r="K423" s="17"/>
      <c r="L423" s="17"/>
      <c r="M423" s="17" t="s">
        <v>560</v>
      </c>
      <c r="N423" s="53" t="s">
        <v>98</v>
      </c>
      <c r="O423" s="17" t="s">
        <v>86</v>
      </c>
      <c r="P423" s="17"/>
      <c r="Q423" s="17"/>
      <c r="R423" s="17"/>
      <c r="S423" s="17">
        <v>652849.74095999997</v>
      </c>
      <c r="T423" s="17">
        <v>637305.69951999991</v>
      </c>
      <c r="U423" s="20">
        <f t="shared" si="29"/>
        <v>0.97619047620798172</v>
      </c>
      <c r="V423" s="22">
        <f t="shared" si="32"/>
        <v>-2.3809523792018283</v>
      </c>
      <c r="W423" s="17"/>
      <c r="X423" s="17" t="s">
        <v>56</v>
      </c>
      <c r="Y423" s="17"/>
      <c r="Z423" s="17" t="s">
        <v>56</v>
      </c>
      <c r="AA423" s="17"/>
      <c r="AB423" s="17" t="s">
        <v>57</v>
      </c>
      <c r="AC423" s="17">
        <v>2007</v>
      </c>
      <c r="AD423" s="17">
        <v>1</v>
      </c>
      <c r="AE423" s="17">
        <v>2</v>
      </c>
      <c r="AF423" s="17"/>
      <c r="AG423" s="17">
        <v>1998</v>
      </c>
      <c r="AH423" s="14">
        <f t="shared" si="30"/>
        <v>9</v>
      </c>
      <c r="AI423" s="17">
        <f t="shared" si="31"/>
        <v>10.166666666666666</v>
      </c>
      <c r="AJ423" s="17"/>
      <c r="AK423" s="17" t="s">
        <v>56</v>
      </c>
      <c r="AL423" s="16" t="s">
        <v>790</v>
      </c>
      <c r="AM423" s="15">
        <v>2014</v>
      </c>
      <c r="AN423" s="15" t="s">
        <v>150</v>
      </c>
      <c r="AO423" s="15" t="s">
        <v>56</v>
      </c>
      <c r="AP423" s="15" t="s">
        <v>791</v>
      </c>
      <c r="AQ423" s="15" t="s">
        <v>56</v>
      </c>
      <c r="AR423" s="15" t="s">
        <v>58</v>
      </c>
      <c r="AS423" s="15" t="s">
        <v>163</v>
      </c>
      <c r="AT423" s="15"/>
      <c r="AU423" s="45" t="s">
        <v>2667</v>
      </c>
      <c r="AV423" s="15"/>
      <c r="AW423" s="12" t="str">
        <f>B423&amp;C423&amp;L423&amp;M423&amp;O423&amp;U423&amp;AL423&amp;AM423</f>
        <v>ItalyPortofino Marine Protected AreaPlanktivoresdensity0.976190476207982Guidetti2014</v>
      </c>
    </row>
    <row r="424" spans="1:49" ht="14.25" customHeight="1" x14ac:dyDescent="0.35">
      <c r="A424" s="12">
        <v>423</v>
      </c>
      <c r="B424" s="15" t="s">
        <v>1527</v>
      </c>
      <c r="C424" s="43" t="s">
        <v>1654</v>
      </c>
      <c r="D424" s="43" t="s">
        <v>1654</v>
      </c>
      <c r="E424" s="12" t="s">
        <v>1376</v>
      </c>
      <c r="F424" s="13" t="s">
        <v>50</v>
      </c>
      <c r="G424" s="13" t="s">
        <v>51</v>
      </c>
      <c r="H424" s="16" t="s">
        <v>481</v>
      </c>
      <c r="I424" s="16" t="s">
        <v>156</v>
      </c>
      <c r="J424" s="17">
        <v>0.18</v>
      </c>
      <c r="K424" s="17"/>
      <c r="L424" s="17"/>
      <c r="M424" s="17" t="s">
        <v>559</v>
      </c>
      <c r="N424" s="53" t="s">
        <v>98</v>
      </c>
      <c r="O424" s="17" t="s">
        <v>86</v>
      </c>
      <c r="P424" s="17"/>
      <c r="Q424" s="17"/>
      <c r="R424" s="17"/>
      <c r="S424" s="17">
        <v>31833.910032</v>
      </c>
      <c r="T424" s="17">
        <v>81660.899680000002</v>
      </c>
      <c r="U424" s="19">
        <f t="shared" si="29"/>
        <v>2.5652173923314177</v>
      </c>
      <c r="V424" s="41">
        <f t="shared" si="32"/>
        <v>156.52173923314177</v>
      </c>
      <c r="W424" s="14"/>
      <c r="X424" s="17" t="s">
        <v>56</v>
      </c>
      <c r="Y424" s="17"/>
      <c r="Z424" s="17" t="s">
        <v>56</v>
      </c>
      <c r="AA424" s="17"/>
      <c r="AB424" s="17" t="s">
        <v>57</v>
      </c>
      <c r="AC424" s="17">
        <v>2007</v>
      </c>
      <c r="AD424" s="17">
        <v>1</v>
      </c>
      <c r="AE424" s="17">
        <v>2</v>
      </c>
      <c r="AF424" s="17"/>
      <c r="AG424" s="17">
        <v>1998</v>
      </c>
      <c r="AH424" s="14">
        <f t="shared" si="30"/>
        <v>9</v>
      </c>
      <c r="AI424" s="17">
        <f t="shared" si="31"/>
        <v>10.166666666666666</v>
      </c>
      <c r="AJ424" s="17"/>
      <c r="AK424" s="17" t="s">
        <v>56</v>
      </c>
      <c r="AL424" s="16" t="s">
        <v>790</v>
      </c>
      <c r="AM424" s="15">
        <v>2014</v>
      </c>
      <c r="AN424" s="15" t="s">
        <v>150</v>
      </c>
      <c r="AO424" s="15" t="s">
        <v>56</v>
      </c>
      <c r="AP424" s="15" t="s">
        <v>791</v>
      </c>
      <c r="AQ424" s="15" t="s">
        <v>56</v>
      </c>
      <c r="AR424" s="15" t="s">
        <v>58</v>
      </c>
      <c r="AS424" s="15" t="s">
        <v>163</v>
      </c>
      <c r="AT424" s="12"/>
      <c r="AU424" s="45" t="s">
        <v>2667</v>
      </c>
      <c r="AV424" s="15"/>
      <c r="AW424" s="12" t="str">
        <f>B424&amp;C424&amp;L424&amp;M424&amp;O424&amp;U424&amp;AL424&amp;AM424</f>
        <v>ItalyPortofino Marine Protected AreaHerbivoresdensity2.56521739233142Guidetti2014</v>
      </c>
    </row>
    <row r="425" spans="1:49" ht="14.25" customHeight="1" x14ac:dyDescent="0.35">
      <c r="A425" s="12">
        <v>424</v>
      </c>
      <c r="B425" s="15" t="s">
        <v>1527</v>
      </c>
      <c r="C425" s="43" t="s">
        <v>1654</v>
      </c>
      <c r="D425" s="43" t="s">
        <v>1654</v>
      </c>
      <c r="E425" s="15" t="s">
        <v>1376</v>
      </c>
      <c r="F425" s="13" t="s">
        <v>50</v>
      </c>
      <c r="G425" s="13" t="s">
        <v>51</v>
      </c>
      <c r="H425" s="16" t="s">
        <v>481</v>
      </c>
      <c r="I425" s="16" t="s">
        <v>156</v>
      </c>
      <c r="J425" s="17">
        <v>0.18</v>
      </c>
      <c r="K425" s="17"/>
      <c r="L425" s="17"/>
      <c r="M425" s="17" t="s">
        <v>793</v>
      </c>
      <c r="N425" s="53" t="s">
        <v>98</v>
      </c>
      <c r="O425" s="17" t="s">
        <v>86</v>
      </c>
      <c r="P425" s="17"/>
      <c r="Q425" s="17"/>
      <c r="R425" s="17"/>
      <c r="S425" s="17">
        <v>4459.5744720000002</v>
      </c>
      <c r="T425" s="17">
        <v>3336.170216</v>
      </c>
      <c r="U425" s="20">
        <f t="shared" si="29"/>
        <v>0.74809160312190426</v>
      </c>
      <c r="V425" s="22">
        <f t="shared" si="32"/>
        <v>-25.190839687809575</v>
      </c>
      <c r="W425" s="17"/>
      <c r="X425" s="17" t="s">
        <v>56</v>
      </c>
      <c r="Y425" s="17"/>
      <c r="Z425" s="17" t="s">
        <v>56</v>
      </c>
      <c r="AA425" s="17"/>
      <c r="AB425" s="17" t="s">
        <v>57</v>
      </c>
      <c r="AC425" s="17">
        <v>2007</v>
      </c>
      <c r="AD425" s="17">
        <v>1</v>
      </c>
      <c r="AE425" s="17">
        <v>2</v>
      </c>
      <c r="AF425" s="17"/>
      <c r="AG425" s="17">
        <v>1998</v>
      </c>
      <c r="AH425" s="14">
        <f t="shared" si="30"/>
        <v>9</v>
      </c>
      <c r="AI425" s="17">
        <f t="shared" si="31"/>
        <v>10.166666666666666</v>
      </c>
      <c r="AJ425" s="17"/>
      <c r="AK425" s="17" t="s">
        <v>56</v>
      </c>
      <c r="AL425" s="16" t="s">
        <v>790</v>
      </c>
      <c r="AM425" s="15">
        <v>2014</v>
      </c>
      <c r="AN425" s="15" t="s">
        <v>150</v>
      </c>
      <c r="AO425" s="15" t="s">
        <v>56</v>
      </c>
      <c r="AP425" s="15" t="s">
        <v>791</v>
      </c>
      <c r="AQ425" s="15" t="s">
        <v>56</v>
      </c>
      <c r="AR425" s="15" t="s">
        <v>58</v>
      </c>
      <c r="AS425" s="15" t="s">
        <v>163</v>
      </c>
      <c r="AT425" s="15"/>
      <c r="AU425" s="45" t="s">
        <v>2667</v>
      </c>
      <c r="AV425" s="15"/>
      <c r="AW425" s="12" t="str">
        <f>B425&amp;C425&amp;L425&amp;M425&amp;O425&amp;U425&amp;AL425&amp;AM425</f>
        <v>ItalyPortofino Marine Protected AreaDetritivoresdensity0.748091603121904Guidetti2014</v>
      </c>
    </row>
    <row r="426" spans="1:49" ht="14.25" customHeight="1" x14ac:dyDescent="0.35">
      <c r="A426" s="12">
        <v>425</v>
      </c>
      <c r="B426" s="15" t="s">
        <v>1527</v>
      </c>
      <c r="C426" s="43" t="s">
        <v>1654</v>
      </c>
      <c r="D426" s="43" t="s">
        <v>1654</v>
      </c>
      <c r="E426" s="15" t="s">
        <v>1376</v>
      </c>
      <c r="F426" s="13" t="s">
        <v>50</v>
      </c>
      <c r="G426" s="13" t="s">
        <v>51</v>
      </c>
      <c r="H426" s="16" t="s">
        <v>481</v>
      </c>
      <c r="I426" s="16" t="s">
        <v>156</v>
      </c>
      <c r="J426" s="17">
        <v>0.18</v>
      </c>
      <c r="K426" s="17"/>
      <c r="L426" s="17"/>
      <c r="M426" s="17" t="s">
        <v>789</v>
      </c>
      <c r="N426" s="53" t="s">
        <v>98</v>
      </c>
      <c r="O426" s="17" t="s">
        <v>70</v>
      </c>
      <c r="P426" s="17"/>
      <c r="Q426" s="17"/>
      <c r="R426" s="17"/>
      <c r="S426" s="17">
        <v>5175.2021563341759</v>
      </c>
      <c r="T426" s="17">
        <v>217358.4905660376</v>
      </c>
      <c r="U426" s="20">
        <f t="shared" si="29"/>
        <v>42.000000000000426</v>
      </c>
      <c r="V426" s="22">
        <f t="shared" si="32"/>
        <v>4100.0000000000427</v>
      </c>
      <c r="W426" s="17"/>
      <c r="X426" s="17" t="s">
        <v>56</v>
      </c>
      <c r="Y426" s="17"/>
      <c r="Z426" s="17" t="s">
        <v>56</v>
      </c>
      <c r="AA426" s="17"/>
      <c r="AB426" s="17" t="s">
        <v>57</v>
      </c>
      <c r="AC426" s="17">
        <v>2007</v>
      </c>
      <c r="AD426" s="17">
        <v>1</v>
      </c>
      <c r="AE426" s="17">
        <v>2</v>
      </c>
      <c r="AF426" s="17"/>
      <c r="AG426" s="17">
        <v>1998</v>
      </c>
      <c r="AH426" s="14">
        <f t="shared" si="30"/>
        <v>9</v>
      </c>
      <c r="AI426" s="17">
        <f t="shared" si="31"/>
        <v>10.166666666666666</v>
      </c>
      <c r="AJ426" s="17"/>
      <c r="AK426" s="17" t="s">
        <v>56</v>
      </c>
      <c r="AL426" s="16" t="s">
        <v>790</v>
      </c>
      <c r="AM426" s="15">
        <v>2014</v>
      </c>
      <c r="AN426" s="15" t="s">
        <v>150</v>
      </c>
      <c r="AO426" s="15" t="s">
        <v>56</v>
      </c>
      <c r="AP426" s="15" t="s">
        <v>791</v>
      </c>
      <c r="AQ426" s="15" t="s">
        <v>56</v>
      </c>
      <c r="AR426" s="15" t="s">
        <v>58</v>
      </c>
      <c r="AS426" s="15" t="s">
        <v>163</v>
      </c>
      <c r="AT426" s="15"/>
      <c r="AU426" s="45" t="s">
        <v>2667</v>
      </c>
      <c r="AV426" s="15"/>
      <c r="AW426" s="12" t="str">
        <f>B426&amp;C426&amp;L426&amp;M426&amp;O426&amp;U426&amp;AL426&amp;AM426</f>
        <v>ItalyPortofino Marine Protected AreaApex predatorsbiomassden42.0000000000004Guidetti2014</v>
      </c>
    </row>
    <row r="427" spans="1:49" ht="14.25" customHeight="1" x14ac:dyDescent="0.35">
      <c r="A427" s="12">
        <v>426</v>
      </c>
      <c r="B427" s="15" t="s">
        <v>1527</v>
      </c>
      <c r="C427" s="43" t="s">
        <v>1654</v>
      </c>
      <c r="D427" s="43" t="s">
        <v>1654</v>
      </c>
      <c r="E427" s="15" t="s">
        <v>1376</v>
      </c>
      <c r="F427" s="13" t="s">
        <v>50</v>
      </c>
      <c r="G427" s="13" t="s">
        <v>51</v>
      </c>
      <c r="H427" s="16" t="s">
        <v>481</v>
      </c>
      <c r="I427" s="16" t="s">
        <v>156</v>
      </c>
      <c r="J427" s="17">
        <v>0.18</v>
      </c>
      <c r="K427" s="17"/>
      <c r="L427" s="17"/>
      <c r="M427" s="17" t="s">
        <v>792</v>
      </c>
      <c r="N427" s="53" t="s">
        <v>98</v>
      </c>
      <c r="O427" s="17" t="s">
        <v>70</v>
      </c>
      <c r="P427" s="17"/>
      <c r="Q427" s="17"/>
      <c r="R427" s="17"/>
      <c r="S427" s="17">
        <v>102248.52071005919</v>
      </c>
      <c r="T427" s="17">
        <v>319999.99999999919</v>
      </c>
      <c r="U427" s="20">
        <f t="shared" si="29"/>
        <v>3.1296296296296209</v>
      </c>
      <c r="V427" s="22">
        <f t="shared" si="32"/>
        <v>212.96296296296208</v>
      </c>
      <c r="W427" s="17"/>
      <c r="X427" s="17" t="s">
        <v>56</v>
      </c>
      <c r="Y427" s="17"/>
      <c r="Z427" s="17" t="s">
        <v>56</v>
      </c>
      <c r="AA427" s="17"/>
      <c r="AB427" s="17" t="s">
        <v>57</v>
      </c>
      <c r="AC427" s="17">
        <v>2007</v>
      </c>
      <c r="AD427" s="17">
        <v>1</v>
      </c>
      <c r="AE427" s="17">
        <v>2</v>
      </c>
      <c r="AF427" s="17"/>
      <c r="AG427" s="17">
        <v>1998</v>
      </c>
      <c r="AH427" s="14">
        <f t="shared" si="30"/>
        <v>9</v>
      </c>
      <c r="AI427" s="17">
        <f t="shared" si="31"/>
        <v>10.166666666666666</v>
      </c>
      <c r="AJ427" s="17"/>
      <c r="AK427" s="17" t="s">
        <v>56</v>
      </c>
      <c r="AL427" s="16" t="s">
        <v>790</v>
      </c>
      <c r="AM427" s="15">
        <v>2014</v>
      </c>
      <c r="AN427" s="15" t="s">
        <v>150</v>
      </c>
      <c r="AO427" s="15" t="s">
        <v>56</v>
      </c>
      <c r="AP427" s="15" t="s">
        <v>791</v>
      </c>
      <c r="AQ427" s="15" t="s">
        <v>56</v>
      </c>
      <c r="AR427" s="15" t="s">
        <v>58</v>
      </c>
      <c r="AS427" s="15" t="s">
        <v>163</v>
      </c>
      <c r="AT427" s="15"/>
      <c r="AU427" s="45" t="s">
        <v>2667</v>
      </c>
      <c r="AV427" s="15"/>
      <c r="AW427" s="12" t="str">
        <f>B427&amp;C427&amp;L427&amp;M427&amp;O427&amp;U427&amp;AL427&amp;AM427</f>
        <v>ItalyPortofino Marine Protected AreaCarnivoresbiomassden3.12962962962962Guidetti2014</v>
      </c>
    </row>
    <row r="428" spans="1:49" ht="14.25" customHeight="1" x14ac:dyDescent="0.35">
      <c r="A428" s="12">
        <v>427</v>
      </c>
      <c r="B428" s="15" t="s">
        <v>1527</v>
      </c>
      <c r="C428" s="43" t="s">
        <v>1654</v>
      </c>
      <c r="D428" s="43" t="s">
        <v>1654</v>
      </c>
      <c r="E428" s="15" t="s">
        <v>1376</v>
      </c>
      <c r="F428" s="13" t="s">
        <v>50</v>
      </c>
      <c r="G428" s="13" t="s">
        <v>51</v>
      </c>
      <c r="H428" s="16" t="s">
        <v>481</v>
      </c>
      <c r="I428" s="16" t="s">
        <v>156</v>
      </c>
      <c r="J428" s="17">
        <v>0.18</v>
      </c>
      <c r="K428" s="17"/>
      <c r="L428" s="17"/>
      <c r="M428" s="17" t="s">
        <v>560</v>
      </c>
      <c r="N428" s="53" t="s">
        <v>98</v>
      </c>
      <c r="O428" s="17" t="s">
        <v>70</v>
      </c>
      <c r="P428" s="17"/>
      <c r="Q428" s="17"/>
      <c r="R428" s="17"/>
      <c r="S428" s="17">
        <v>818.71344799999997</v>
      </c>
      <c r="T428" s="17">
        <v>2456.1403519999999</v>
      </c>
      <c r="U428" s="20">
        <f t="shared" si="29"/>
        <v>3.0000000097714286</v>
      </c>
      <c r="V428" s="22">
        <f t="shared" si="32"/>
        <v>200.00000097714286</v>
      </c>
      <c r="W428" s="17"/>
      <c r="X428" s="17" t="s">
        <v>56</v>
      </c>
      <c r="Y428" s="17"/>
      <c r="Z428" s="17" t="s">
        <v>56</v>
      </c>
      <c r="AA428" s="17"/>
      <c r="AB428" s="17" t="s">
        <v>57</v>
      </c>
      <c r="AC428" s="17">
        <v>2007</v>
      </c>
      <c r="AD428" s="17">
        <v>1</v>
      </c>
      <c r="AE428" s="17">
        <v>2</v>
      </c>
      <c r="AF428" s="17"/>
      <c r="AG428" s="17">
        <v>1998</v>
      </c>
      <c r="AH428" s="14">
        <f t="shared" si="30"/>
        <v>9</v>
      </c>
      <c r="AI428" s="17">
        <f t="shared" si="31"/>
        <v>10.166666666666666</v>
      </c>
      <c r="AJ428" s="17"/>
      <c r="AK428" s="17" t="s">
        <v>56</v>
      </c>
      <c r="AL428" s="16" t="s">
        <v>790</v>
      </c>
      <c r="AM428" s="15">
        <v>2014</v>
      </c>
      <c r="AN428" s="15" t="s">
        <v>150</v>
      </c>
      <c r="AO428" s="15" t="s">
        <v>56</v>
      </c>
      <c r="AP428" s="15" t="s">
        <v>791</v>
      </c>
      <c r="AQ428" s="15" t="s">
        <v>56</v>
      </c>
      <c r="AR428" s="15" t="s">
        <v>58</v>
      </c>
      <c r="AS428" s="15" t="s">
        <v>163</v>
      </c>
      <c r="AT428" s="15"/>
      <c r="AU428" s="45" t="s">
        <v>2667</v>
      </c>
      <c r="AV428" s="15"/>
      <c r="AW428" s="12" t="str">
        <f>B428&amp;C428&amp;L428&amp;M428&amp;O428&amp;U428&amp;AL428&amp;AM428</f>
        <v>ItalyPortofino Marine Protected AreaPlanktivoresbiomassden3.00000000977143Guidetti2014</v>
      </c>
    </row>
    <row r="429" spans="1:49" ht="14.25" customHeight="1" x14ac:dyDescent="0.35">
      <c r="A429" s="12">
        <v>428</v>
      </c>
      <c r="B429" s="15" t="s">
        <v>1527</v>
      </c>
      <c r="C429" s="43" t="s">
        <v>1654</v>
      </c>
      <c r="D429" s="43" t="s">
        <v>1654</v>
      </c>
      <c r="E429" s="15" t="s">
        <v>1376</v>
      </c>
      <c r="F429" s="16" t="s">
        <v>50</v>
      </c>
      <c r="G429" s="16" t="s">
        <v>51</v>
      </c>
      <c r="H429" s="16" t="s">
        <v>481</v>
      </c>
      <c r="I429" s="16" t="s">
        <v>156</v>
      </c>
      <c r="J429" s="17">
        <v>0.18</v>
      </c>
      <c r="K429" s="17"/>
      <c r="L429" s="17"/>
      <c r="M429" s="17" t="s">
        <v>559</v>
      </c>
      <c r="N429" s="53" t="s">
        <v>98</v>
      </c>
      <c r="O429" s="17" t="s">
        <v>70</v>
      </c>
      <c r="P429" s="17"/>
      <c r="Q429" s="17"/>
      <c r="R429" s="17"/>
      <c r="S429" s="17">
        <v>11520</v>
      </c>
      <c r="T429" s="17">
        <v>69120</v>
      </c>
      <c r="U429" s="20">
        <f t="shared" si="29"/>
        <v>6</v>
      </c>
      <c r="V429" s="22">
        <f t="shared" si="32"/>
        <v>500</v>
      </c>
      <c r="W429" s="17"/>
      <c r="X429" s="17" t="s">
        <v>56</v>
      </c>
      <c r="Y429" s="17"/>
      <c r="Z429" s="17" t="s">
        <v>56</v>
      </c>
      <c r="AA429" s="17"/>
      <c r="AB429" s="17" t="s">
        <v>57</v>
      </c>
      <c r="AC429" s="17">
        <v>2007</v>
      </c>
      <c r="AD429" s="17">
        <v>1</v>
      </c>
      <c r="AE429" s="17">
        <v>2</v>
      </c>
      <c r="AF429" s="17"/>
      <c r="AG429" s="17">
        <v>1998</v>
      </c>
      <c r="AH429" s="14">
        <f t="shared" si="30"/>
        <v>9</v>
      </c>
      <c r="AI429" s="17">
        <f t="shared" si="31"/>
        <v>10.166666666666666</v>
      </c>
      <c r="AJ429" s="17"/>
      <c r="AK429" s="17" t="s">
        <v>56</v>
      </c>
      <c r="AL429" s="16" t="s">
        <v>790</v>
      </c>
      <c r="AM429" s="15">
        <v>2014</v>
      </c>
      <c r="AN429" s="15" t="s">
        <v>150</v>
      </c>
      <c r="AO429" s="15" t="s">
        <v>56</v>
      </c>
      <c r="AP429" s="15" t="s">
        <v>791</v>
      </c>
      <c r="AQ429" s="15" t="s">
        <v>56</v>
      </c>
      <c r="AR429" s="15" t="s">
        <v>58</v>
      </c>
      <c r="AS429" s="15" t="s">
        <v>163</v>
      </c>
      <c r="AT429" s="15"/>
      <c r="AU429" s="45" t="s">
        <v>2667</v>
      </c>
      <c r="AV429" s="15"/>
      <c r="AW429" s="12" t="str">
        <f>B429&amp;C429&amp;L429&amp;M429&amp;O429&amp;U429&amp;AL429&amp;AM429</f>
        <v>ItalyPortofino Marine Protected AreaHerbivoresbiomassden6Guidetti2014</v>
      </c>
    </row>
    <row r="430" spans="1:49" ht="14.25" customHeight="1" x14ac:dyDescent="0.35">
      <c r="A430" s="12">
        <v>429</v>
      </c>
      <c r="B430" s="12" t="s">
        <v>1527</v>
      </c>
      <c r="C430" s="44" t="s">
        <v>1654</v>
      </c>
      <c r="D430" s="44" t="s">
        <v>1654</v>
      </c>
      <c r="E430" s="12" t="s">
        <v>1376</v>
      </c>
      <c r="F430" s="13" t="s">
        <v>50</v>
      </c>
      <c r="G430" s="13" t="s">
        <v>51</v>
      </c>
      <c r="H430" s="13" t="s">
        <v>481</v>
      </c>
      <c r="I430" s="13" t="s">
        <v>156</v>
      </c>
      <c r="J430" s="17">
        <v>0.18</v>
      </c>
      <c r="K430" s="14"/>
      <c r="L430" s="14"/>
      <c r="M430" s="14" t="s">
        <v>793</v>
      </c>
      <c r="N430" s="42" t="s">
        <v>98</v>
      </c>
      <c r="O430" s="17" t="s">
        <v>70</v>
      </c>
      <c r="P430" s="14"/>
      <c r="Q430" s="14"/>
      <c r="R430" s="14"/>
      <c r="S430" s="14">
        <v>25194.274031999998</v>
      </c>
      <c r="T430" s="14">
        <v>17406.952967999998</v>
      </c>
      <c r="U430" s="19">
        <f t="shared" si="29"/>
        <v>0.69090909092641084</v>
      </c>
      <c r="V430" s="41">
        <f t="shared" si="32"/>
        <v>-30.909090907358916</v>
      </c>
      <c r="W430" s="14"/>
      <c r="X430" s="17" t="s">
        <v>56</v>
      </c>
      <c r="Z430" s="14" t="s">
        <v>56</v>
      </c>
      <c r="AA430" s="14"/>
      <c r="AB430" s="14" t="s">
        <v>57</v>
      </c>
      <c r="AC430" s="14">
        <v>2007</v>
      </c>
      <c r="AD430" s="14">
        <v>1</v>
      </c>
      <c r="AE430" s="14">
        <v>2</v>
      </c>
      <c r="AF430" s="14"/>
      <c r="AG430" s="14">
        <v>1998</v>
      </c>
      <c r="AH430" s="14">
        <f t="shared" si="30"/>
        <v>9</v>
      </c>
      <c r="AI430" s="17">
        <f t="shared" si="31"/>
        <v>10.166666666666666</v>
      </c>
      <c r="AJ430" s="14"/>
      <c r="AK430" s="14" t="s">
        <v>56</v>
      </c>
      <c r="AL430" s="13" t="s">
        <v>790</v>
      </c>
      <c r="AM430" s="12">
        <v>2014</v>
      </c>
      <c r="AN430" s="12" t="s">
        <v>150</v>
      </c>
      <c r="AO430" s="12" t="s">
        <v>56</v>
      </c>
      <c r="AP430" s="12" t="s">
        <v>791</v>
      </c>
      <c r="AQ430" s="12" t="s">
        <v>56</v>
      </c>
      <c r="AR430" s="12" t="s">
        <v>58</v>
      </c>
      <c r="AS430" s="12" t="s">
        <v>163</v>
      </c>
      <c r="AT430" s="12"/>
      <c r="AU430" s="45" t="s">
        <v>2667</v>
      </c>
      <c r="AV430" s="15"/>
      <c r="AW430" s="12" t="str">
        <f>B430&amp;C430&amp;L430&amp;M430&amp;O430&amp;U430&amp;AL430&amp;AM430</f>
        <v>ItalyPortofino Marine Protected AreaDetritivoresbiomassden0.690909090926411Guidetti2014</v>
      </c>
    </row>
    <row r="431" spans="1:49" ht="14.25" customHeight="1" x14ac:dyDescent="0.35">
      <c r="A431" s="12">
        <v>430</v>
      </c>
      <c r="B431" s="15" t="s">
        <v>1527</v>
      </c>
      <c r="C431" s="43" t="s">
        <v>1654</v>
      </c>
      <c r="D431" s="43" t="s">
        <v>1654</v>
      </c>
      <c r="E431" s="15" t="s">
        <v>1376</v>
      </c>
      <c r="F431" s="16" t="s">
        <v>50</v>
      </c>
      <c r="G431" s="16" t="s">
        <v>51</v>
      </c>
      <c r="H431" s="16" t="s">
        <v>481</v>
      </c>
      <c r="I431" s="16" t="s">
        <v>156</v>
      </c>
      <c r="J431" s="17">
        <v>0.18</v>
      </c>
      <c r="K431" s="17"/>
      <c r="L431" s="17" t="s">
        <v>794</v>
      </c>
      <c r="M431" s="17" t="s">
        <v>795</v>
      </c>
      <c r="N431" s="17" t="s">
        <v>446</v>
      </c>
      <c r="O431" s="14" t="s">
        <v>55</v>
      </c>
      <c r="P431" s="17"/>
      <c r="Q431" s="17"/>
      <c r="R431" s="17"/>
      <c r="S431" s="17">
        <v>106229.50816</v>
      </c>
      <c r="T431" s="17">
        <v>113704.91800000001</v>
      </c>
      <c r="U431" s="20">
        <f t="shared" si="29"/>
        <v>1.0703703704317331</v>
      </c>
      <c r="V431" s="22">
        <f t="shared" si="32"/>
        <v>7.0370370431733109</v>
      </c>
      <c r="W431" s="17"/>
      <c r="X431" s="17" t="s">
        <v>56</v>
      </c>
      <c r="Y431" s="17"/>
      <c r="Z431" s="17" t="s">
        <v>56</v>
      </c>
      <c r="AA431" s="17"/>
      <c r="AB431" s="17" t="s">
        <v>57</v>
      </c>
      <c r="AC431" s="17">
        <v>2007</v>
      </c>
      <c r="AD431" s="17">
        <v>1</v>
      </c>
      <c r="AE431" s="17">
        <v>2</v>
      </c>
      <c r="AF431" s="17"/>
      <c r="AG431" s="17">
        <v>1998</v>
      </c>
      <c r="AH431" s="14">
        <f t="shared" si="30"/>
        <v>9</v>
      </c>
      <c r="AI431" s="17">
        <f t="shared" si="31"/>
        <v>10.166666666666666</v>
      </c>
      <c r="AJ431" s="17"/>
      <c r="AK431" s="17" t="s">
        <v>56</v>
      </c>
      <c r="AL431" s="16" t="s">
        <v>790</v>
      </c>
      <c r="AM431" s="15">
        <v>2014</v>
      </c>
      <c r="AN431" s="15" t="s">
        <v>150</v>
      </c>
      <c r="AO431" s="15" t="s">
        <v>56</v>
      </c>
      <c r="AP431" s="15" t="s">
        <v>791</v>
      </c>
      <c r="AQ431" s="15" t="s">
        <v>56</v>
      </c>
      <c r="AR431" s="15" t="s">
        <v>58</v>
      </c>
      <c r="AS431" s="15" t="s">
        <v>163</v>
      </c>
      <c r="AT431" s="15"/>
      <c r="AU431" s="45" t="s">
        <v>2667</v>
      </c>
      <c r="AV431" s="15"/>
      <c r="AW431" s="12" t="str">
        <f>B431&amp;C431&amp;L431&amp;M431&amp;O431&amp;U431&amp;AL431&amp;AM431</f>
        <v>ItalyPortofino Marine Protected AreaActinopterygiiFishesrichness1.07037037043173Guidetti2014</v>
      </c>
    </row>
    <row r="432" spans="1:49" ht="14.25" customHeight="1" x14ac:dyDescent="0.35">
      <c r="A432" s="12">
        <v>431</v>
      </c>
      <c r="B432" s="12" t="s">
        <v>1527</v>
      </c>
      <c r="C432" s="44" t="s">
        <v>1953</v>
      </c>
      <c r="D432" s="44" t="s">
        <v>1953</v>
      </c>
      <c r="E432" s="12" t="s">
        <v>155</v>
      </c>
      <c r="F432" s="13" t="s">
        <v>50</v>
      </c>
      <c r="G432" s="13" t="s">
        <v>51</v>
      </c>
      <c r="H432" s="13" t="s">
        <v>481</v>
      </c>
      <c r="I432" s="13" t="s">
        <v>156</v>
      </c>
      <c r="J432" s="17">
        <v>5.29</v>
      </c>
      <c r="K432" s="17"/>
      <c r="L432" s="14"/>
      <c r="M432" s="14" t="s">
        <v>789</v>
      </c>
      <c r="N432" s="53" t="s">
        <v>98</v>
      </c>
      <c r="O432" s="14" t="s">
        <v>86</v>
      </c>
      <c r="P432" s="14"/>
      <c r="Q432" s="14"/>
      <c r="R432" s="14"/>
      <c r="S432" s="14">
        <v>1587.8284923928045</v>
      </c>
      <c r="T432" s="14">
        <v>18116.182572614078</v>
      </c>
      <c r="U432" s="19">
        <f t="shared" si="29"/>
        <v>11.409407665505231</v>
      </c>
      <c r="V432" s="41">
        <f t="shared" si="32"/>
        <v>1040.9407665505232</v>
      </c>
      <c r="W432" s="14"/>
      <c r="X432" s="17" t="s">
        <v>56</v>
      </c>
      <c r="Z432" s="14" t="s">
        <v>56</v>
      </c>
      <c r="AA432" s="14"/>
      <c r="AB432" s="14" t="s">
        <v>57</v>
      </c>
      <c r="AC432" s="14">
        <v>2007</v>
      </c>
      <c r="AD432" s="14">
        <v>1</v>
      </c>
      <c r="AE432" s="14">
        <v>2</v>
      </c>
      <c r="AF432" s="14"/>
      <c r="AG432" s="14">
        <v>2003</v>
      </c>
      <c r="AH432" s="14">
        <f t="shared" si="30"/>
        <v>4</v>
      </c>
      <c r="AI432" s="17">
        <f t="shared" si="31"/>
        <v>5.166666666666667</v>
      </c>
      <c r="AJ432" s="14"/>
      <c r="AK432" s="14" t="s">
        <v>56</v>
      </c>
      <c r="AL432" s="13" t="s">
        <v>790</v>
      </c>
      <c r="AM432" s="12">
        <v>2014</v>
      </c>
      <c r="AN432" s="12" t="s">
        <v>150</v>
      </c>
      <c r="AO432" s="12" t="s">
        <v>56</v>
      </c>
      <c r="AP432" s="12" t="s">
        <v>791</v>
      </c>
      <c r="AQ432" s="12" t="s">
        <v>56</v>
      </c>
      <c r="AR432" s="12" t="s">
        <v>58</v>
      </c>
      <c r="AS432" s="12" t="s">
        <v>163</v>
      </c>
      <c r="AT432" s="12"/>
      <c r="AU432" s="45" t="s">
        <v>2729</v>
      </c>
      <c r="AV432" s="15"/>
      <c r="AW432" s="12" t="str">
        <f>B432&amp;C432&amp;L432&amp;M432&amp;O432&amp;U432&amp;AL432&amp;AM432</f>
        <v>ItalyTavolara-Punta Coda Cavallo MPAApex predatorsdensity11.4094076655052Guidetti2014</v>
      </c>
    </row>
    <row r="433" spans="1:49" ht="14.25" customHeight="1" x14ac:dyDescent="0.35">
      <c r="A433" s="12">
        <v>432</v>
      </c>
      <c r="B433" s="12" t="s">
        <v>1527</v>
      </c>
      <c r="C433" s="44" t="s">
        <v>1953</v>
      </c>
      <c r="D433" s="44" t="s">
        <v>1953</v>
      </c>
      <c r="E433" s="12" t="s">
        <v>155</v>
      </c>
      <c r="F433" s="13" t="s">
        <v>50</v>
      </c>
      <c r="G433" s="13" t="s">
        <v>51</v>
      </c>
      <c r="H433" s="13" t="s">
        <v>481</v>
      </c>
      <c r="I433" s="13" t="s">
        <v>156</v>
      </c>
      <c r="J433" s="17">
        <v>5.29</v>
      </c>
      <c r="K433" s="14"/>
      <c r="L433" s="14"/>
      <c r="M433" s="14" t="s">
        <v>792</v>
      </c>
      <c r="N433" s="53" t="s">
        <v>98</v>
      </c>
      <c r="O433" s="17" t="s">
        <v>86</v>
      </c>
      <c r="P433" s="14"/>
      <c r="Q433" s="14"/>
      <c r="R433" s="14"/>
      <c r="S433" s="14">
        <v>681290.32258064474</v>
      </c>
      <c r="T433" s="14">
        <v>610064.51612903201</v>
      </c>
      <c r="U433" s="19">
        <f t="shared" si="29"/>
        <v>0.89545454545454561</v>
      </c>
      <c r="V433" s="41">
        <f t="shared" si="32"/>
        <v>-10.454545454545439</v>
      </c>
      <c r="W433" s="14"/>
      <c r="X433" s="17" t="s">
        <v>56</v>
      </c>
      <c r="Z433" s="14" t="s">
        <v>56</v>
      </c>
      <c r="AA433" s="14"/>
      <c r="AB433" s="14" t="s">
        <v>57</v>
      </c>
      <c r="AC433" s="14">
        <v>2007</v>
      </c>
      <c r="AD433" s="14">
        <v>1</v>
      </c>
      <c r="AE433" s="14">
        <v>2</v>
      </c>
      <c r="AF433" s="14"/>
      <c r="AG433" s="14">
        <v>2003</v>
      </c>
      <c r="AH433" s="14">
        <f t="shared" si="30"/>
        <v>4</v>
      </c>
      <c r="AI433" s="17">
        <f t="shared" si="31"/>
        <v>5.166666666666667</v>
      </c>
      <c r="AJ433" s="14"/>
      <c r="AK433" s="14" t="s">
        <v>56</v>
      </c>
      <c r="AL433" s="13" t="s">
        <v>790</v>
      </c>
      <c r="AM433" s="12">
        <v>2014</v>
      </c>
      <c r="AN433" s="12" t="s">
        <v>150</v>
      </c>
      <c r="AO433" s="12" t="s">
        <v>56</v>
      </c>
      <c r="AP433" s="12" t="s">
        <v>791</v>
      </c>
      <c r="AQ433" s="12" t="s">
        <v>56</v>
      </c>
      <c r="AR433" s="12" t="s">
        <v>58</v>
      </c>
      <c r="AS433" s="12" t="s">
        <v>163</v>
      </c>
      <c r="AT433" s="12"/>
      <c r="AU433" s="45" t="s">
        <v>2730</v>
      </c>
      <c r="AV433" s="15"/>
      <c r="AW433" s="12" t="str">
        <f>B433&amp;C433&amp;L433&amp;M433&amp;O433&amp;U433&amp;AL433&amp;AM433</f>
        <v>ItalyTavolara-Punta Coda Cavallo MPACarnivoresdensity0.895454545454546Guidetti2014</v>
      </c>
    </row>
    <row r="434" spans="1:49" ht="14.25" customHeight="1" x14ac:dyDescent="0.35">
      <c r="A434" s="12">
        <v>433</v>
      </c>
      <c r="B434" s="15" t="s">
        <v>1527</v>
      </c>
      <c r="C434" s="43" t="s">
        <v>1953</v>
      </c>
      <c r="D434" s="43" t="s">
        <v>1953</v>
      </c>
      <c r="E434" s="15" t="s">
        <v>155</v>
      </c>
      <c r="F434" s="16" t="s">
        <v>50</v>
      </c>
      <c r="G434" s="16" t="s">
        <v>51</v>
      </c>
      <c r="H434" s="16" t="s">
        <v>481</v>
      </c>
      <c r="I434" s="16" t="s">
        <v>156</v>
      </c>
      <c r="J434" s="17">
        <v>5.29</v>
      </c>
      <c r="K434" s="17"/>
      <c r="L434" s="17"/>
      <c r="M434" s="17" t="s">
        <v>560</v>
      </c>
      <c r="N434" s="53" t="s">
        <v>98</v>
      </c>
      <c r="O434" s="17" t="s">
        <v>86</v>
      </c>
      <c r="P434" s="17"/>
      <c r="Q434" s="17"/>
      <c r="R434" s="17"/>
      <c r="S434" s="17">
        <v>1391191.71</v>
      </c>
      <c r="T434" s="17">
        <v>1269430.0519999999</v>
      </c>
      <c r="U434" s="19">
        <f t="shared" si="29"/>
        <v>0.9124767225647139</v>
      </c>
      <c r="V434" s="41">
        <f t="shared" si="32"/>
        <v>-8.7523277435286104</v>
      </c>
      <c r="W434" s="17"/>
      <c r="X434" s="17" t="s">
        <v>56</v>
      </c>
      <c r="Y434" s="17"/>
      <c r="Z434" s="17" t="s">
        <v>56</v>
      </c>
      <c r="AA434" s="17"/>
      <c r="AB434" s="17" t="s">
        <v>57</v>
      </c>
      <c r="AC434" s="17">
        <v>2007</v>
      </c>
      <c r="AD434" s="17">
        <v>1</v>
      </c>
      <c r="AE434" s="17">
        <v>2</v>
      </c>
      <c r="AF434" s="17"/>
      <c r="AG434" s="17">
        <v>2003</v>
      </c>
      <c r="AH434" s="14">
        <f t="shared" si="30"/>
        <v>4</v>
      </c>
      <c r="AI434" s="17">
        <f t="shared" si="31"/>
        <v>5.166666666666667</v>
      </c>
      <c r="AJ434" s="17"/>
      <c r="AK434" s="17" t="s">
        <v>56</v>
      </c>
      <c r="AL434" s="16" t="s">
        <v>790</v>
      </c>
      <c r="AM434" s="15">
        <v>2014</v>
      </c>
      <c r="AN434" s="15" t="s">
        <v>150</v>
      </c>
      <c r="AO434" s="15" t="s">
        <v>56</v>
      </c>
      <c r="AP434" s="15" t="s">
        <v>791</v>
      </c>
      <c r="AQ434" s="15" t="s">
        <v>56</v>
      </c>
      <c r="AR434" s="15" t="s">
        <v>58</v>
      </c>
      <c r="AS434" s="15" t="s">
        <v>163</v>
      </c>
      <c r="AT434" s="12"/>
      <c r="AU434" s="45" t="s">
        <v>2731</v>
      </c>
      <c r="AV434" s="15"/>
      <c r="AW434" s="12" t="str">
        <f>B434&amp;C434&amp;L434&amp;M434&amp;O434&amp;U434&amp;AL434&amp;AM434</f>
        <v>ItalyTavolara-Punta Coda Cavallo MPAPlanktivoresdensity0.912476722564714Guidetti2014</v>
      </c>
    </row>
    <row r="435" spans="1:49" ht="14.25" customHeight="1" x14ac:dyDescent="0.35">
      <c r="A435" s="12">
        <v>434</v>
      </c>
      <c r="B435" s="15" t="s">
        <v>1527</v>
      </c>
      <c r="C435" s="43" t="s">
        <v>1953</v>
      </c>
      <c r="D435" s="43" t="s">
        <v>1953</v>
      </c>
      <c r="E435" s="15" t="s">
        <v>155</v>
      </c>
      <c r="F435" s="16" t="s">
        <v>50</v>
      </c>
      <c r="G435" s="16" t="s">
        <v>51</v>
      </c>
      <c r="H435" s="16" t="s">
        <v>481</v>
      </c>
      <c r="I435" s="16" t="s">
        <v>156</v>
      </c>
      <c r="J435" s="17">
        <v>5.29</v>
      </c>
      <c r="K435" s="17"/>
      <c r="L435" s="17"/>
      <c r="M435" s="17" t="s">
        <v>559</v>
      </c>
      <c r="N435" s="53" t="s">
        <v>98</v>
      </c>
      <c r="O435" s="17" t="s">
        <v>86</v>
      </c>
      <c r="P435" s="17"/>
      <c r="Q435" s="17"/>
      <c r="R435" s="17"/>
      <c r="S435" s="17">
        <v>73702.422148000012</v>
      </c>
      <c r="T435" s="17">
        <v>103806.22839999999</v>
      </c>
      <c r="U435" s="19">
        <f t="shared" si="29"/>
        <v>1.4084507045311112</v>
      </c>
      <c r="V435" s="41">
        <f t="shared" si="32"/>
        <v>40.84507045311112</v>
      </c>
      <c r="W435" s="17"/>
      <c r="X435" s="17" t="s">
        <v>56</v>
      </c>
      <c r="Y435" s="17"/>
      <c r="Z435" s="17" t="s">
        <v>56</v>
      </c>
      <c r="AA435" s="17"/>
      <c r="AB435" s="17" t="s">
        <v>57</v>
      </c>
      <c r="AC435" s="17">
        <v>2007</v>
      </c>
      <c r="AD435" s="17">
        <v>1</v>
      </c>
      <c r="AE435" s="17">
        <v>2</v>
      </c>
      <c r="AF435" s="17"/>
      <c r="AG435" s="17">
        <v>2003</v>
      </c>
      <c r="AH435" s="14">
        <f t="shared" si="30"/>
        <v>4</v>
      </c>
      <c r="AI435" s="17">
        <f t="shared" si="31"/>
        <v>5.166666666666667</v>
      </c>
      <c r="AJ435" s="17"/>
      <c r="AK435" s="17" t="s">
        <v>56</v>
      </c>
      <c r="AL435" s="16" t="s">
        <v>790</v>
      </c>
      <c r="AM435" s="15">
        <v>2014</v>
      </c>
      <c r="AN435" s="15" t="s">
        <v>150</v>
      </c>
      <c r="AO435" s="15" t="s">
        <v>56</v>
      </c>
      <c r="AP435" s="15" t="s">
        <v>791</v>
      </c>
      <c r="AQ435" s="15" t="s">
        <v>56</v>
      </c>
      <c r="AR435" s="15" t="s">
        <v>58</v>
      </c>
      <c r="AS435" s="15" t="s">
        <v>163</v>
      </c>
      <c r="AT435" s="12"/>
      <c r="AU435" s="45" t="s">
        <v>2732</v>
      </c>
      <c r="AV435" s="15"/>
      <c r="AW435" s="12" t="str">
        <f>B435&amp;C435&amp;L435&amp;M435&amp;O435&amp;U435&amp;AL435&amp;AM435</f>
        <v>ItalyTavolara-Punta Coda Cavallo MPAHerbivoresdensity1.40845070453111Guidetti2014</v>
      </c>
    </row>
    <row r="436" spans="1:49" ht="14.25" customHeight="1" x14ac:dyDescent="0.35">
      <c r="A436" s="12">
        <v>435</v>
      </c>
      <c r="B436" s="15" t="s">
        <v>1527</v>
      </c>
      <c r="C436" s="43" t="s">
        <v>1953</v>
      </c>
      <c r="D436" s="43" t="s">
        <v>1953</v>
      </c>
      <c r="E436" s="15" t="s">
        <v>155</v>
      </c>
      <c r="F436" s="13" t="s">
        <v>50</v>
      </c>
      <c r="G436" s="13" t="s">
        <v>51</v>
      </c>
      <c r="H436" s="16" t="s">
        <v>481</v>
      </c>
      <c r="I436" s="16" t="s">
        <v>156</v>
      </c>
      <c r="J436" s="17">
        <v>5.29</v>
      </c>
      <c r="K436" s="17"/>
      <c r="L436" s="17"/>
      <c r="M436" s="17" t="s">
        <v>793</v>
      </c>
      <c r="N436" s="53" t="s">
        <v>98</v>
      </c>
      <c r="O436" s="17" t="s">
        <v>86</v>
      </c>
      <c r="P436" s="17"/>
      <c r="Q436" s="17"/>
      <c r="R436" s="17"/>
      <c r="S436" s="17">
        <v>0</v>
      </c>
      <c r="T436" s="17">
        <v>0</v>
      </c>
      <c r="U436" s="20" t="str">
        <f t="shared" si="29"/>
        <v>N/A</v>
      </c>
      <c r="V436" s="41" t="str">
        <f t="shared" si="32"/>
        <v>N/A</v>
      </c>
      <c r="W436" s="17"/>
      <c r="X436" s="17" t="s">
        <v>56</v>
      </c>
      <c r="Y436" s="17"/>
      <c r="Z436" s="17" t="s">
        <v>56</v>
      </c>
      <c r="AA436" s="17"/>
      <c r="AB436" s="17" t="s">
        <v>57</v>
      </c>
      <c r="AC436" s="17">
        <v>2007</v>
      </c>
      <c r="AD436" s="17">
        <v>1</v>
      </c>
      <c r="AE436" s="17">
        <v>2</v>
      </c>
      <c r="AF436" s="17"/>
      <c r="AG436" s="17">
        <v>2003</v>
      </c>
      <c r="AH436" s="14">
        <f t="shared" si="30"/>
        <v>4</v>
      </c>
      <c r="AI436" s="17">
        <f t="shared" si="31"/>
        <v>5.166666666666667</v>
      </c>
      <c r="AJ436" s="17"/>
      <c r="AK436" s="17" t="s">
        <v>56</v>
      </c>
      <c r="AL436" s="16" t="s">
        <v>790</v>
      </c>
      <c r="AM436" s="15">
        <v>2014</v>
      </c>
      <c r="AN436" s="15" t="s">
        <v>150</v>
      </c>
      <c r="AO436" s="15" t="s">
        <v>56</v>
      </c>
      <c r="AP436" s="15" t="s">
        <v>791</v>
      </c>
      <c r="AQ436" s="15" t="s">
        <v>56</v>
      </c>
      <c r="AR436" s="15" t="s">
        <v>58</v>
      </c>
      <c r="AS436" s="15" t="s">
        <v>163</v>
      </c>
      <c r="AT436" s="15"/>
      <c r="AU436" s="45" t="s">
        <v>2733</v>
      </c>
      <c r="AV436" s="15"/>
      <c r="AW436" s="12" t="str">
        <f>B436&amp;C436&amp;L436&amp;M436&amp;O436&amp;U436&amp;AL436&amp;AM436</f>
        <v>ItalyTavolara-Punta Coda Cavallo MPADetritivoresdensityN/AGuidetti2014</v>
      </c>
    </row>
    <row r="437" spans="1:49" ht="14.25" customHeight="1" x14ac:dyDescent="0.35">
      <c r="A437" s="12">
        <v>436</v>
      </c>
      <c r="B437" s="15" t="s">
        <v>1527</v>
      </c>
      <c r="C437" s="43" t="s">
        <v>1953</v>
      </c>
      <c r="D437" s="43" t="s">
        <v>1953</v>
      </c>
      <c r="E437" s="15" t="s">
        <v>155</v>
      </c>
      <c r="F437" s="16" t="s">
        <v>50</v>
      </c>
      <c r="G437" s="16" t="s">
        <v>51</v>
      </c>
      <c r="H437" s="16" t="s">
        <v>481</v>
      </c>
      <c r="I437" s="16" t="s">
        <v>156</v>
      </c>
      <c r="J437" s="17">
        <v>5.29</v>
      </c>
      <c r="K437" s="17"/>
      <c r="L437" s="17"/>
      <c r="M437" s="17" t="s">
        <v>789</v>
      </c>
      <c r="N437" s="53" t="s">
        <v>98</v>
      </c>
      <c r="O437" s="17" t="s">
        <v>70</v>
      </c>
      <c r="P437" s="17"/>
      <c r="Q437" s="17"/>
      <c r="R437" s="17"/>
      <c r="S437" s="17">
        <v>15525.6064690026</v>
      </c>
      <c r="T437" s="17">
        <v>282048.51752021525</v>
      </c>
      <c r="U437" s="20">
        <f t="shared" si="29"/>
        <v>18.166666666666753</v>
      </c>
      <c r="V437" s="41">
        <f t="shared" si="32"/>
        <v>1716.6666666666754</v>
      </c>
      <c r="W437" s="17"/>
      <c r="X437" s="17" t="s">
        <v>56</v>
      </c>
      <c r="Y437" s="17"/>
      <c r="Z437" s="17" t="s">
        <v>56</v>
      </c>
      <c r="AA437" s="17"/>
      <c r="AB437" s="17" t="s">
        <v>57</v>
      </c>
      <c r="AC437" s="17">
        <v>2007</v>
      </c>
      <c r="AD437" s="17">
        <v>1</v>
      </c>
      <c r="AE437" s="17">
        <v>2</v>
      </c>
      <c r="AF437" s="17"/>
      <c r="AG437" s="17">
        <v>2003</v>
      </c>
      <c r="AH437" s="14">
        <f t="shared" si="30"/>
        <v>4</v>
      </c>
      <c r="AI437" s="17">
        <f t="shared" si="31"/>
        <v>5.166666666666667</v>
      </c>
      <c r="AJ437" s="17"/>
      <c r="AK437" s="17" t="s">
        <v>56</v>
      </c>
      <c r="AL437" s="16" t="s">
        <v>790</v>
      </c>
      <c r="AM437" s="15">
        <v>2014</v>
      </c>
      <c r="AN437" s="15" t="s">
        <v>150</v>
      </c>
      <c r="AO437" s="15" t="s">
        <v>56</v>
      </c>
      <c r="AP437" s="15" t="s">
        <v>791</v>
      </c>
      <c r="AQ437" s="15" t="s">
        <v>56</v>
      </c>
      <c r="AR437" s="15" t="s">
        <v>58</v>
      </c>
      <c r="AS437" s="15" t="s">
        <v>163</v>
      </c>
      <c r="AT437" s="15"/>
      <c r="AU437" s="45" t="s">
        <v>2734</v>
      </c>
      <c r="AV437" s="15"/>
      <c r="AW437" s="12" t="str">
        <f>B437&amp;C437&amp;L437&amp;M437&amp;O437&amp;U437&amp;AL437&amp;AM437</f>
        <v>ItalyTavolara-Punta Coda Cavallo MPAApex predatorsbiomassden18.1666666666668Guidetti2014</v>
      </c>
    </row>
    <row r="438" spans="1:49" ht="14.25" customHeight="1" x14ac:dyDescent="0.35">
      <c r="A438" s="12">
        <v>437</v>
      </c>
      <c r="B438" s="15" t="s">
        <v>1527</v>
      </c>
      <c r="C438" s="43" t="s">
        <v>1953</v>
      </c>
      <c r="D438" s="44" t="s">
        <v>1953</v>
      </c>
      <c r="E438" s="12" t="s">
        <v>155</v>
      </c>
      <c r="F438" s="13" t="s">
        <v>50</v>
      </c>
      <c r="G438" s="13" t="s">
        <v>51</v>
      </c>
      <c r="H438" s="16" t="s">
        <v>481</v>
      </c>
      <c r="I438" s="16" t="s">
        <v>156</v>
      </c>
      <c r="J438" s="17">
        <v>5.29</v>
      </c>
      <c r="K438" s="17"/>
      <c r="L438" s="17"/>
      <c r="M438" s="17" t="s">
        <v>792</v>
      </c>
      <c r="N438" s="53" t="s">
        <v>98</v>
      </c>
      <c r="O438" s="17" t="s">
        <v>70</v>
      </c>
      <c r="P438" s="17"/>
      <c r="Q438" s="17"/>
      <c r="R438" s="17"/>
      <c r="S438" s="17">
        <v>257514.792899408</v>
      </c>
      <c r="T438" s="17">
        <v>528284.02366863843</v>
      </c>
      <c r="U438" s="19">
        <f t="shared" si="29"/>
        <v>2.0514705882352939</v>
      </c>
      <c r="V438" s="41">
        <f t="shared" si="32"/>
        <v>105.14705882352939</v>
      </c>
      <c r="W438" s="14"/>
      <c r="X438" s="17" t="s">
        <v>56</v>
      </c>
      <c r="Y438" s="17"/>
      <c r="Z438" s="17" t="s">
        <v>56</v>
      </c>
      <c r="AA438" s="17"/>
      <c r="AB438" s="17" t="s">
        <v>57</v>
      </c>
      <c r="AC438" s="17">
        <v>2007</v>
      </c>
      <c r="AD438" s="17">
        <v>1</v>
      </c>
      <c r="AE438" s="17">
        <v>2</v>
      </c>
      <c r="AF438" s="17"/>
      <c r="AG438" s="17">
        <v>2003</v>
      </c>
      <c r="AH438" s="14">
        <f t="shared" si="30"/>
        <v>4</v>
      </c>
      <c r="AI438" s="17">
        <f t="shared" si="31"/>
        <v>5.166666666666667</v>
      </c>
      <c r="AJ438" s="17"/>
      <c r="AK438" s="17" t="s">
        <v>56</v>
      </c>
      <c r="AL438" s="16" t="s">
        <v>790</v>
      </c>
      <c r="AM438" s="15">
        <v>2014</v>
      </c>
      <c r="AN438" s="15" t="s">
        <v>150</v>
      </c>
      <c r="AO438" s="15" t="s">
        <v>56</v>
      </c>
      <c r="AP438" s="15" t="s">
        <v>791</v>
      </c>
      <c r="AQ438" s="15" t="s">
        <v>56</v>
      </c>
      <c r="AR438" s="15" t="s">
        <v>58</v>
      </c>
      <c r="AS438" s="15" t="s">
        <v>163</v>
      </c>
      <c r="AT438" s="12"/>
      <c r="AU438" s="45" t="s">
        <v>2735</v>
      </c>
      <c r="AV438" s="15"/>
      <c r="AW438" s="12" t="str">
        <f>B438&amp;C438&amp;L438&amp;M438&amp;O438&amp;U438&amp;AL438&amp;AM438</f>
        <v>ItalyTavolara-Punta Coda Cavallo MPACarnivoresbiomassden2.05147058823529Guidetti2014</v>
      </c>
    </row>
    <row r="439" spans="1:49" ht="14.25" customHeight="1" x14ac:dyDescent="0.35">
      <c r="A439" s="12">
        <v>438</v>
      </c>
      <c r="B439" s="15" t="s">
        <v>1527</v>
      </c>
      <c r="C439" s="43" t="s">
        <v>1953</v>
      </c>
      <c r="D439" s="44" t="s">
        <v>1953</v>
      </c>
      <c r="E439" s="12" t="s">
        <v>155</v>
      </c>
      <c r="F439" s="13" t="s">
        <v>50</v>
      </c>
      <c r="G439" s="13" t="s">
        <v>51</v>
      </c>
      <c r="H439" s="16" t="s">
        <v>481</v>
      </c>
      <c r="I439" s="16" t="s">
        <v>156</v>
      </c>
      <c r="J439" s="17">
        <v>5.29</v>
      </c>
      <c r="K439" s="17"/>
      <c r="L439" s="17"/>
      <c r="M439" s="17" t="s">
        <v>560</v>
      </c>
      <c r="N439" s="53" t="s">
        <v>98</v>
      </c>
      <c r="O439" s="17" t="s">
        <v>70</v>
      </c>
      <c r="P439" s="17"/>
      <c r="Q439" s="17"/>
      <c r="R439" s="17"/>
      <c r="S439" s="17">
        <v>2514.6198840000002</v>
      </c>
      <c r="T439" s="17">
        <v>22807.017544000002</v>
      </c>
      <c r="U439" s="19">
        <f t="shared" si="29"/>
        <v>9.069767438457113</v>
      </c>
      <c r="V439" s="41">
        <f t="shared" si="32"/>
        <v>806.97674384571133</v>
      </c>
      <c r="W439" s="14"/>
      <c r="X439" s="17" t="s">
        <v>56</v>
      </c>
      <c r="Y439" s="17"/>
      <c r="Z439" s="17" t="s">
        <v>56</v>
      </c>
      <c r="AA439" s="17"/>
      <c r="AB439" s="17" t="s">
        <v>57</v>
      </c>
      <c r="AC439" s="17">
        <v>2007</v>
      </c>
      <c r="AD439" s="17">
        <v>1</v>
      </c>
      <c r="AE439" s="17">
        <v>2</v>
      </c>
      <c r="AF439" s="17"/>
      <c r="AG439" s="17">
        <v>2003</v>
      </c>
      <c r="AH439" s="14">
        <f t="shared" si="30"/>
        <v>4</v>
      </c>
      <c r="AI439" s="17">
        <f t="shared" si="31"/>
        <v>5.166666666666667</v>
      </c>
      <c r="AJ439" s="17"/>
      <c r="AK439" s="17" t="s">
        <v>56</v>
      </c>
      <c r="AL439" s="16" t="s">
        <v>790</v>
      </c>
      <c r="AM439" s="15">
        <v>2014</v>
      </c>
      <c r="AN439" s="15" t="s">
        <v>150</v>
      </c>
      <c r="AO439" s="15" t="s">
        <v>56</v>
      </c>
      <c r="AP439" s="15" t="s">
        <v>791</v>
      </c>
      <c r="AQ439" s="15" t="s">
        <v>56</v>
      </c>
      <c r="AR439" s="15" t="s">
        <v>58</v>
      </c>
      <c r="AS439" s="15" t="s">
        <v>163</v>
      </c>
      <c r="AT439" s="12"/>
      <c r="AU439" s="45" t="s">
        <v>2736</v>
      </c>
      <c r="AV439" s="15"/>
      <c r="AW439" s="12" t="str">
        <f>B439&amp;C439&amp;L439&amp;M439&amp;O439&amp;U439&amp;AL439&amp;AM439</f>
        <v>ItalyTavolara-Punta Coda Cavallo MPAPlanktivoresbiomassden9.06976743845711Guidetti2014</v>
      </c>
    </row>
    <row r="440" spans="1:49" ht="14.25" customHeight="1" x14ac:dyDescent="0.35">
      <c r="A440" s="12">
        <v>439</v>
      </c>
      <c r="B440" s="15" t="s">
        <v>1527</v>
      </c>
      <c r="C440" s="44" t="s">
        <v>1953</v>
      </c>
      <c r="D440" s="44" t="s">
        <v>1953</v>
      </c>
      <c r="E440" s="12" t="s">
        <v>155</v>
      </c>
      <c r="F440" s="13" t="s">
        <v>50</v>
      </c>
      <c r="G440" s="13" t="s">
        <v>51</v>
      </c>
      <c r="H440" s="13" t="s">
        <v>481</v>
      </c>
      <c r="I440" s="13" t="s">
        <v>156</v>
      </c>
      <c r="J440" s="14">
        <v>5.29</v>
      </c>
      <c r="K440" s="14"/>
      <c r="L440" s="14"/>
      <c r="M440" s="14" t="s">
        <v>559</v>
      </c>
      <c r="N440" s="53" t="s">
        <v>98</v>
      </c>
      <c r="O440" s="17" t="s">
        <v>70</v>
      </c>
      <c r="P440" s="14"/>
      <c r="Q440" s="14"/>
      <c r="R440" s="14"/>
      <c r="S440" s="14">
        <v>63120</v>
      </c>
      <c r="T440" s="14">
        <v>94560</v>
      </c>
      <c r="U440" s="19">
        <f t="shared" si="29"/>
        <v>1.4980988593155893</v>
      </c>
      <c r="V440" s="41">
        <f t="shared" si="32"/>
        <v>49.809885931558931</v>
      </c>
      <c r="W440" s="14"/>
      <c r="X440" s="14" t="s">
        <v>56</v>
      </c>
      <c r="Z440" s="17" t="s">
        <v>56</v>
      </c>
      <c r="AA440" s="14"/>
      <c r="AB440" s="14" t="s">
        <v>57</v>
      </c>
      <c r="AC440" s="14">
        <v>2007</v>
      </c>
      <c r="AD440" s="14">
        <v>1</v>
      </c>
      <c r="AE440" s="14">
        <v>2</v>
      </c>
      <c r="AF440" s="14"/>
      <c r="AG440" s="14">
        <v>2003</v>
      </c>
      <c r="AH440" s="14">
        <f t="shared" si="30"/>
        <v>4</v>
      </c>
      <c r="AI440" s="17">
        <f t="shared" si="31"/>
        <v>5.166666666666667</v>
      </c>
      <c r="AJ440" s="14"/>
      <c r="AK440" s="14" t="s">
        <v>56</v>
      </c>
      <c r="AL440" s="13" t="s">
        <v>790</v>
      </c>
      <c r="AM440" s="12">
        <v>2014</v>
      </c>
      <c r="AN440" s="12" t="s">
        <v>150</v>
      </c>
      <c r="AO440" s="12" t="s">
        <v>56</v>
      </c>
      <c r="AP440" s="12" t="s">
        <v>791</v>
      </c>
      <c r="AQ440" s="12" t="s">
        <v>56</v>
      </c>
      <c r="AR440" s="12" t="s">
        <v>58</v>
      </c>
      <c r="AS440" s="12" t="s">
        <v>163</v>
      </c>
      <c r="AT440" s="12"/>
      <c r="AU440" s="45" t="s">
        <v>2737</v>
      </c>
      <c r="AV440" s="15"/>
      <c r="AW440" s="12" t="str">
        <f>B440&amp;C440&amp;L440&amp;M440&amp;O440&amp;U440&amp;AL440&amp;AM440</f>
        <v>ItalyTavolara-Punta Coda Cavallo MPAHerbivoresbiomassden1.49809885931559Guidetti2014</v>
      </c>
    </row>
    <row r="441" spans="1:49" ht="14.25" customHeight="1" x14ac:dyDescent="0.35">
      <c r="A441" s="12">
        <v>440</v>
      </c>
      <c r="B441" s="15" t="s">
        <v>1527</v>
      </c>
      <c r="C441" s="43" t="s">
        <v>1953</v>
      </c>
      <c r="D441" s="44" t="s">
        <v>1953</v>
      </c>
      <c r="E441" s="15" t="s">
        <v>155</v>
      </c>
      <c r="F441" s="16" t="s">
        <v>50</v>
      </c>
      <c r="G441" s="16" t="s">
        <v>51</v>
      </c>
      <c r="H441" s="16" t="s">
        <v>481</v>
      </c>
      <c r="I441" s="16" t="s">
        <v>156</v>
      </c>
      <c r="J441" s="14">
        <v>5.29</v>
      </c>
      <c r="K441" s="17"/>
      <c r="L441" s="17"/>
      <c r="M441" s="17" t="s">
        <v>793</v>
      </c>
      <c r="N441" s="42" t="s">
        <v>98</v>
      </c>
      <c r="O441" s="17" t="s">
        <v>70</v>
      </c>
      <c r="P441" s="17"/>
      <c r="Q441" s="17"/>
      <c r="R441" s="17"/>
      <c r="S441" s="17">
        <v>0</v>
      </c>
      <c r="T441" s="17">
        <v>0</v>
      </c>
      <c r="U441" s="20" t="str">
        <f t="shared" si="29"/>
        <v>N/A</v>
      </c>
      <c r="V441" s="41" t="str">
        <f t="shared" si="32"/>
        <v>N/A</v>
      </c>
      <c r="W441" s="17"/>
      <c r="X441" s="17" t="s">
        <v>56</v>
      </c>
      <c r="Y441" s="17"/>
      <c r="Z441" s="17" t="s">
        <v>56</v>
      </c>
      <c r="AA441" s="17"/>
      <c r="AB441" s="17" t="s">
        <v>57</v>
      </c>
      <c r="AC441" s="17">
        <v>2007</v>
      </c>
      <c r="AD441" s="17">
        <v>1</v>
      </c>
      <c r="AE441" s="17">
        <v>2</v>
      </c>
      <c r="AF441" s="17"/>
      <c r="AG441" s="17">
        <v>2003</v>
      </c>
      <c r="AH441" s="14">
        <f t="shared" si="30"/>
        <v>4</v>
      </c>
      <c r="AI441" s="17">
        <f t="shared" si="31"/>
        <v>5.166666666666667</v>
      </c>
      <c r="AJ441" s="17"/>
      <c r="AK441" s="17" t="s">
        <v>56</v>
      </c>
      <c r="AL441" s="16" t="s">
        <v>790</v>
      </c>
      <c r="AM441" s="15">
        <v>2014</v>
      </c>
      <c r="AN441" s="15" t="s">
        <v>150</v>
      </c>
      <c r="AO441" s="15" t="s">
        <v>56</v>
      </c>
      <c r="AP441" s="15" t="s">
        <v>791</v>
      </c>
      <c r="AQ441" s="15" t="s">
        <v>56</v>
      </c>
      <c r="AR441" s="15" t="s">
        <v>58</v>
      </c>
      <c r="AS441" s="15" t="s">
        <v>163</v>
      </c>
      <c r="AT441" s="15"/>
      <c r="AU441" s="45" t="s">
        <v>2738</v>
      </c>
      <c r="AV441" s="15"/>
      <c r="AW441" s="12" t="str">
        <f>B441&amp;C441&amp;L441&amp;M441&amp;O441&amp;U441&amp;AL441&amp;AM441</f>
        <v>ItalyTavolara-Punta Coda Cavallo MPADetritivoresbiomassdenN/AGuidetti2014</v>
      </c>
    </row>
    <row r="442" spans="1:49" ht="14.25" customHeight="1" x14ac:dyDescent="0.35">
      <c r="A442" s="12">
        <v>441</v>
      </c>
      <c r="B442" s="15" t="s">
        <v>1527</v>
      </c>
      <c r="C442" s="43" t="s">
        <v>1953</v>
      </c>
      <c r="D442" s="43" t="s">
        <v>1953</v>
      </c>
      <c r="E442" s="12" t="s">
        <v>155</v>
      </c>
      <c r="F442" s="13" t="s">
        <v>50</v>
      </c>
      <c r="G442" s="13" t="s">
        <v>51</v>
      </c>
      <c r="H442" s="16" t="s">
        <v>481</v>
      </c>
      <c r="I442" s="16" t="s">
        <v>156</v>
      </c>
      <c r="J442" s="17">
        <v>5.29</v>
      </c>
      <c r="K442" s="17"/>
      <c r="L442" s="17" t="s">
        <v>794</v>
      </c>
      <c r="M442" s="17" t="s">
        <v>795</v>
      </c>
      <c r="N442" s="17" t="s">
        <v>446</v>
      </c>
      <c r="O442" s="17" t="s">
        <v>55</v>
      </c>
      <c r="P442" s="17"/>
      <c r="Q442" s="17"/>
      <c r="R442" s="17"/>
      <c r="S442" s="17">
        <v>105245.90164</v>
      </c>
      <c r="T442" s="17">
        <v>128262.29512000001</v>
      </c>
      <c r="U442" s="19">
        <f t="shared" ref="U442:U505" si="33">IFERROR(IF(AND(Q442="",R442="",S442="",T442=""),"",IF(AND(Q442&lt;&gt;"",R442&lt;&gt;"",S442&lt;&gt;"",T442&lt;&gt;""),(T442/R442)/(S442/Q442),IF(AND(Q442&lt;&gt;"",R442&lt;&gt;""),R442/Q442,IF(AND(S442&lt;&gt;"",T442&lt;&gt;""),T442/S442,IF(AND(Q442&lt;&gt;"",S442&lt;&gt;""),Q442/S442,IF(AND(R442&lt;&gt;"",T442&lt;&gt;""),T442/R442)))))), "N/A")</f>
        <v>1.2186915891388246</v>
      </c>
      <c r="V442" s="41">
        <f t="shared" si="32"/>
        <v>21.869158913882458</v>
      </c>
      <c r="W442" s="14"/>
      <c r="X442" s="17" t="s">
        <v>56</v>
      </c>
      <c r="Y442" s="17"/>
      <c r="Z442" s="17" t="s">
        <v>56</v>
      </c>
      <c r="AA442" s="17"/>
      <c r="AB442" s="17" t="s">
        <v>57</v>
      </c>
      <c r="AC442" s="17">
        <v>2007</v>
      </c>
      <c r="AD442" s="17">
        <v>1</v>
      </c>
      <c r="AE442" s="17">
        <v>2</v>
      </c>
      <c r="AF442" s="17"/>
      <c r="AG442" s="17">
        <v>2003</v>
      </c>
      <c r="AH442" s="14">
        <f t="shared" si="30"/>
        <v>4</v>
      </c>
      <c r="AI442" s="17">
        <f t="shared" si="31"/>
        <v>5.166666666666667</v>
      </c>
      <c r="AJ442" s="17"/>
      <c r="AK442" s="17" t="s">
        <v>56</v>
      </c>
      <c r="AL442" s="16" t="s">
        <v>790</v>
      </c>
      <c r="AM442" s="15">
        <v>2014</v>
      </c>
      <c r="AN442" s="15" t="s">
        <v>150</v>
      </c>
      <c r="AO442" s="15" t="s">
        <v>56</v>
      </c>
      <c r="AP442" s="15" t="s">
        <v>791</v>
      </c>
      <c r="AQ442" s="15" t="s">
        <v>56</v>
      </c>
      <c r="AR442" s="15" t="s">
        <v>58</v>
      </c>
      <c r="AS442" s="15" t="s">
        <v>163</v>
      </c>
      <c r="AT442" s="12"/>
      <c r="AU442" s="45" t="s">
        <v>2739</v>
      </c>
      <c r="AV442" s="15"/>
      <c r="AW442" s="12" t="str">
        <f>B442&amp;C442&amp;L442&amp;M442&amp;O442&amp;U442&amp;AL442&amp;AM442</f>
        <v>ItalyTavolara-Punta Coda Cavallo MPAActinopterygiiFishesrichness1.21869158913882Guidetti2014</v>
      </c>
    </row>
    <row r="443" spans="1:49" ht="14.25" customHeight="1" x14ac:dyDescent="0.35">
      <c r="A443" s="12">
        <v>442</v>
      </c>
      <c r="B443" s="15" t="s">
        <v>75</v>
      </c>
      <c r="C443" s="43" t="s">
        <v>583</v>
      </c>
      <c r="D443" s="15" t="s">
        <v>584</v>
      </c>
      <c r="E443" s="12" t="s">
        <v>121</v>
      </c>
      <c r="F443" s="13" t="s">
        <v>50</v>
      </c>
      <c r="G443" s="13" t="s">
        <v>51</v>
      </c>
      <c r="H443" s="16" t="s">
        <v>78</v>
      </c>
      <c r="I443" s="16" t="s">
        <v>53</v>
      </c>
      <c r="J443" s="17">
        <f>(0.13+0.18)/2</f>
        <v>0.155</v>
      </c>
      <c r="K443" s="17"/>
      <c r="L443" s="17" t="s">
        <v>84</v>
      </c>
      <c r="M443" s="17" t="s">
        <v>122</v>
      </c>
      <c r="N443" s="17" t="s">
        <v>85</v>
      </c>
      <c r="O443" s="17" t="s">
        <v>86</v>
      </c>
      <c r="P443" s="17"/>
      <c r="Q443" s="17"/>
      <c r="R443" s="17"/>
      <c r="S443" s="17">
        <v>7.3113999999999999</v>
      </c>
      <c r="T443" s="17">
        <v>9.3260000000000005</v>
      </c>
      <c r="U443" s="19">
        <f t="shared" si="33"/>
        <v>1.2755423037995459</v>
      </c>
      <c r="V443" s="41">
        <f t="shared" si="32"/>
        <v>27.554230379954593</v>
      </c>
      <c r="W443" s="14"/>
      <c r="X443" s="17" t="s">
        <v>56</v>
      </c>
      <c r="Y443" s="17"/>
      <c r="Z443" s="17" t="s">
        <v>58</v>
      </c>
      <c r="AA443" s="17" t="s">
        <v>58</v>
      </c>
      <c r="AB443" s="17" t="s">
        <v>57</v>
      </c>
      <c r="AC443" s="17">
        <v>1997</v>
      </c>
      <c r="AD443" s="17"/>
      <c r="AE443" s="17">
        <v>15</v>
      </c>
      <c r="AF443" s="17"/>
      <c r="AG443" s="17">
        <v>1988</v>
      </c>
      <c r="AH443" s="14">
        <f t="shared" si="30"/>
        <v>9</v>
      </c>
      <c r="AI443" s="17">
        <f t="shared" si="31"/>
        <v>10.25</v>
      </c>
      <c r="AJ443" s="17"/>
      <c r="AK443" s="17" t="s">
        <v>56</v>
      </c>
      <c r="AL443" s="16" t="s">
        <v>123</v>
      </c>
      <c r="AM443" s="15">
        <v>2007</v>
      </c>
      <c r="AN443" s="15" t="s">
        <v>72</v>
      </c>
      <c r="AO443" s="15" t="s">
        <v>56</v>
      </c>
      <c r="AP443" s="15"/>
      <c r="AQ443" s="15" t="s">
        <v>56</v>
      </c>
      <c r="AR443" s="15" t="s">
        <v>58</v>
      </c>
      <c r="AS443" s="15" t="s">
        <v>94</v>
      </c>
      <c r="AT443" s="12"/>
      <c r="AU443" s="45" t="s">
        <v>2651</v>
      </c>
      <c r="AV443" s="15"/>
      <c r="AW443" s="12" t="str">
        <f>B443&amp;C443&amp;L443&amp;M443&amp;O443&amp;U443&amp;AL443&amp;AM443</f>
        <v>United StatesCatalina Marine Science Center Marine Life RefugeParalabrax clathratusKelp bass, all sizesdensity1.27554230379955Tetreault2007</v>
      </c>
    </row>
    <row r="444" spans="1:49" ht="14.25" customHeight="1" x14ac:dyDescent="0.35">
      <c r="A444" s="12">
        <v>443</v>
      </c>
      <c r="B444" s="15" t="s">
        <v>75</v>
      </c>
      <c r="C444" s="15" t="s">
        <v>949</v>
      </c>
      <c r="D444" s="12" t="s">
        <v>949</v>
      </c>
      <c r="E444" s="12" t="s">
        <v>121</v>
      </c>
      <c r="F444" s="13" t="s">
        <v>50</v>
      </c>
      <c r="G444" s="13" t="s">
        <v>51</v>
      </c>
      <c r="H444" s="16" t="s">
        <v>78</v>
      </c>
      <c r="I444" s="16" t="s">
        <v>53</v>
      </c>
      <c r="J444" s="17">
        <v>0.13</v>
      </c>
      <c r="K444" s="17"/>
      <c r="L444" s="17" t="s">
        <v>84</v>
      </c>
      <c r="M444" s="17" t="s">
        <v>122</v>
      </c>
      <c r="N444" s="17" t="s">
        <v>85</v>
      </c>
      <c r="O444" s="14" t="s">
        <v>86</v>
      </c>
      <c r="P444" s="17"/>
      <c r="Q444" s="17"/>
      <c r="R444" s="17"/>
      <c r="S444" s="17">
        <v>1.4504999999999999</v>
      </c>
      <c r="T444" s="17">
        <v>1.5421</v>
      </c>
      <c r="U444" s="19">
        <f t="shared" si="33"/>
        <v>1.0631506377111342</v>
      </c>
      <c r="V444" s="41">
        <f t="shared" si="32"/>
        <v>6.3150637711134161</v>
      </c>
      <c r="W444" s="14"/>
      <c r="X444" s="17" t="s">
        <v>56</v>
      </c>
      <c r="Y444" s="17"/>
      <c r="Z444" s="17" t="s">
        <v>58</v>
      </c>
      <c r="AA444" s="17" t="s">
        <v>58</v>
      </c>
      <c r="AB444" s="17" t="s">
        <v>57</v>
      </c>
      <c r="AC444" s="17">
        <v>1997</v>
      </c>
      <c r="AD444" s="17"/>
      <c r="AE444" s="17">
        <v>15</v>
      </c>
      <c r="AF444" s="17"/>
      <c r="AG444" s="17">
        <v>1974</v>
      </c>
      <c r="AH444" s="14">
        <f t="shared" si="30"/>
        <v>23</v>
      </c>
      <c r="AI444" s="17">
        <f t="shared" si="31"/>
        <v>24.25</v>
      </c>
      <c r="AJ444" s="17"/>
      <c r="AK444" s="17" t="s">
        <v>56</v>
      </c>
      <c r="AL444" s="16" t="s">
        <v>123</v>
      </c>
      <c r="AM444" s="15">
        <v>2007</v>
      </c>
      <c r="AN444" s="15" t="s">
        <v>72</v>
      </c>
      <c r="AO444" s="15" t="s">
        <v>56</v>
      </c>
      <c r="AP444" s="15"/>
      <c r="AQ444" s="15" t="s">
        <v>56</v>
      </c>
      <c r="AR444" s="15" t="s">
        <v>58</v>
      </c>
      <c r="AS444" s="15" t="s">
        <v>94</v>
      </c>
      <c r="AT444" s="12"/>
      <c r="AU444" s="45" t="s">
        <v>2590</v>
      </c>
      <c r="AV444" s="15"/>
      <c r="AW444" s="12" t="str">
        <f>B444&amp;C444&amp;L444&amp;M444&amp;O444&amp;U444&amp;AL444&amp;AM444</f>
        <v>United StatesHeisler Park State Marine ReserveParalabrax clathratusKelp bass, all sizesdensity1.06315063771113Tetreault2007</v>
      </c>
    </row>
    <row r="445" spans="1:49" ht="14.25" customHeight="1" x14ac:dyDescent="0.35">
      <c r="A445" s="12">
        <v>444</v>
      </c>
      <c r="B445" s="15" t="s">
        <v>75</v>
      </c>
      <c r="C445" s="50" t="s">
        <v>106</v>
      </c>
      <c r="D445" s="50" t="s">
        <v>77</v>
      </c>
      <c r="E445" s="12" t="s">
        <v>121</v>
      </c>
      <c r="F445" s="13" t="s">
        <v>50</v>
      </c>
      <c r="G445" s="13" t="s">
        <v>51</v>
      </c>
      <c r="H445" s="13" t="s">
        <v>78</v>
      </c>
      <c r="I445" s="13" t="s">
        <v>53</v>
      </c>
      <c r="J445" s="14">
        <v>0.12</v>
      </c>
      <c r="K445" s="17"/>
      <c r="L445" s="14" t="s">
        <v>84</v>
      </c>
      <c r="M445" s="14" t="s">
        <v>122</v>
      </c>
      <c r="N445" s="14" t="s">
        <v>85</v>
      </c>
      <c r="O445" s="14" t="s">
        <v>86</v>
      </c>
      <c r="P445" s="14"/>
      <c r="Q445" s="14"/>
      <c r="R445" s="14"/>
      <c r="S445" s="14">
        <v>0.80952000000000002</v>
      </c>
      <c r="T445" s="14">
        <v>3.5568</v>
      </c>
      <c r="U445" s="19">
        <f t="shared" si="33"/>
        <v>4.393714793951971</v>
      </c>
      <c r="V445" s="41">
        <f t="shared" si="32"/>
        <v>339.37147939519707</v>
      </c>
      <c r="W445" s="14"/>
      <c r="X445" s="14" t="s">
        <v>56</v>
      </c>
      <c r="Z445" s="17" t="s">
        <v>58</v>
      </c>
      <c r="AA445" s="14" t="s">
        <v>58</v>
      </c>
      <c r="AB445" s="14" t="s">
        <v>57</v>
      </c>
      <c r="AC445" s="14">
        <v>1997</v>
      </c>
      <c r="AD445" s="14"/>
      <c r="AE445" s="14">
        <v>15</v>
      </c>
      <c r="AF445" s="14"/>
      <c r="AG445" s="14">
        <v>1978</v>
      </c>
      <c r="AH445" s="14">
        <f t="shared" si="30"/>
        <v>19</v>
      </c>
      <c r="AI445" s="17">
        <f t="shared" si="31"/>
        <v>20.25</v>
      </c>
      <c r="AJ445" s="14"/>
      <c r="AK445" s="14" t="s">
        <v>56</v>
      </c>
      <c r="AL445" s="13" t="s">
        <v>123</v>
      </c>
      <c r="AM445" s="12">
        <v>2007</v>
      </c>
      <c r="AN445" s="12" t="s">
        <v>72</v>
      </c>
      <c r="AO445" s="12" t="s">
        <v>56</v>
      </c>
      <c r="AP445" s="12"/>
      <c r="AQ445" s="12" t="s">
        <v>56</v>
      </c>
      <c r="AR445" s="12" t="s">
        <v>58</v>
      </c>
      <c r="AS445" s="12" t="s">
        <v>94</v>
      </c>
      <c r="AT445" s="12"/>
      <c r="AU445" s="45"/>
      <c r="AV445" s="15"/>
      <c r="AW445" s="12" t="str">
        <f>B445&amp;C445&amp;L445&amp;M445&amp;O445&amp;U445&amp;AL445&amp;AM445</f>
        <v>United StatesAnacapa Island State Marine Reserve (old)Paralabrax clathratusKelp bass, all sizesdensity4.39371479395197Tetreault2007</v>
      </c>
    </row>
    <row r="446" spans="1:49" ht="14.25" customHeight="1" x14ac:dyDescent="0.35">
      <c r="A446" s="12">
        <v>445</v>
      </c>
      <c r="B446" s="15" t="s">
        <v>75</v>
      </c>
      <c r="C446" s="12" t="s">
        <v>949</v>
      </c>
      <c r="D446" s="12" t="s">
        <v>949</v>
      </c>
      <c r="E446" s="12" t="s">
        <v>121</v>
      </c>
      <c r="F446" s="13" t="s">
        <v>50</v>
      </c>
      <c r="G446" s="13" t="s">
        <v>51</v>
      </c>
      <c r="H446" s="13" t="s">
        <v>78</v>
      </c>
      <c r="I446" s="13" t="s">
        <v>53</v>
      </c>
      <c r="J446" s="14">
        <v>0.13</v>
      </c>
      <c r="K446" s="17"/>
      <c r="L446" s="14" t="s">
        <v>1140</v>
      </c>
      <c r="M446" s="14" t="s">
        <v>950</v>
      </c>
      <c r="N446" s="14" t="s">
        <v>85</v>
      </c>
      <c r="O446" s="14" t="s">
        <v>86</v>
      </c>
      <c r="P446" s="14"/>
      <c r="Q446" s="14"/>
      <c r="R446" s="14"/>
      <c r="S446" s="14">
        <v>0.78876999999999997</v>
      </c>
      <c r="T446" s="14">
        <v>2.5897000000000001</v>
      </c>
      <c r="U446" s="19">
        <f t="shared" si="33"/>
        <v>3.2832131039466512</v>
      </c>
      <c r="V446" s="41">
        <f t="shared" si="32"/>
        <v>228.32131039466512</v>
      </c>
      <c r="W446" s="14"/>
      <c r="X446" s="14" t="s">
        <v>56</v>
      </c>
      <c r="Z446" s="17" t="s">
        <v>58</v>
      </c>
      <c r="AA446" s="14" t="s">
        <v>58</v>
      </c>
      <c r="AB446" s="14" t="s">
        <v>57</v>
      </c>
      <c r="AC446" s="14">
        <v>1997</v>
      </c>
      <c r="AD446" s="14"/>
      <c r="AE446" s="14">
        <v>15</v>
      </c>
      <c r="AF446" s="14"/>
      <c r="AG446" s="14">
        <v>1974</v>
      </c>
      <c r="AH446" s="14">
        <f t="shared" si="30"/>
        <v>23</v>
      </c>
      <c r="AI446" s="17">
        <f t="shared" si="31"/>
        <v>24.25</v>
      </c>
      <c r="AJ446" s="14"/>
      <c r="AK446" s="14" t="s">
        <v>56</v>
      </c>
      <c r="AL446" s="13" t="s">
        <v>123</v>
      </c>
      <c r="AM446" s="12">
        <v>2007</v>
      </c>
      <c r="AN446" s="12" t="s">
        <v>72</v>
      </c>
      <c r="AO446" s="12" t="s">
        <v>56</v>
      </c>
      <c r="AP446" s="12"/>
      <c r="AQ446" s="12" t="s">
        <v>56</v>
      </c>
      <c r="AR446" s="12" t="s">
        <v>58</v>
      </c>
      <c r="AS446" s="12" t="s">
        <v>94</v>
      </c>
      <c r="AT446" s="12"/>
      <c r="AU446" s="45" t="s">
        <v>2590</v>
      </c>
      <c r="AV446" s="15"/>
      <c r="AW446" s="12" t="str">
        <f>B446&amp;C446&amp;L446&amp;M446&amp;O446&amp;U446&amp;AL446&amp;AM446</f>
        <v>United StatesHeisler Park State Marine ReserveParalabrax nebuliferBarred sand bass, all sizesdensity3.28321310394665Tetreault2007</v>
      </c>
    </row>
    <row r="447" spans="1:49" ht="14.25" customHeight="1" x14ac:dyDescent="0.35">
      <c r="A447" s="12">
        <v>446</v>
      </c>
      <c r="B447" s="12" t="s">
        <v>75</v>
      </c>
      <c r="C447" s="44" t="s">
        <v>583</v>
      </c>
      <c r="D447" s="12" t="s">
        <v>584</v>
      </c>
      <c r="E447" s="12" t="s">
        <v>121</v>
      </c>
      <c r="F447" s="13" t="s">
        <v>50</v>
      </c>
      <c r="G447" s="13" t="s">
        <v>51</v>
      </c>
      <c r="H447" s="13" t="s">
        <v>78</v>
      </c>
      <c r="I447" s="13" t="s">
        <v>53</v>
      </c>
      <c r="J447" s="14">
        <f>(0.13+0.18)/2</f>
        <v>0.155</v>
      </c>
      <c r="K447" s="17"/>
      <c r="L447" s="14" t="s">
        <v>115</v>
      </c>
      <c r="M447" s="14" t="s">
        <v>124</v>
      </c>
      <c r="N447" s="14" t="s">
        <v>85</v>
      </c>
      <c r="O447" s="17" t="s">
        <v>86</v>
      </c>
      <c r="P447" s="14"/>
      <c r="Q447" s="14"/>
      <c r="R447" s="14"/>
      <c r="S447" s="14">
        <v>0.98843999999999999</v>
      </c>
      <c r="T447" s="14">
        <v>1.7182999999999999</v>
      </c>
      <c r="U447" s="19">
        <f t="shared" si="33"/>
        <v>1.7383958560964752</v>
      </c>
      <c r="V447" s="41">
        <f t="shared" si="32"/>
        <v>73.839585609647514</v>
      </c>
      <c r="W447" s="14"/>
      <c r="X447" s="14" t="s">
        <v>56</v>
      </c>
      <c r="Z447" s="14" t="s">
        <v>58</v>
      </c>
      <c r="AA447" s="14" t="s">
        <v>58</v>
      </c>
      <c r="AB447" s="14" t="s">
        <v>57</v>
      </c>
      <c r="AC447" s="14">
        <v>1997</v>
      </c>
      <c r="AD447" s="14"/>
      <c r="AE447" s="14">
        <v>15</v>
      </c>
      <c r="AF447" s="14"/>
      <c r="AG447" s="14">
        <v>1988</v>
      </c>
      <c r="AH447" s="14">
        <f t="shared" si="30"/>
        <v>9</v>
      </c>
      <c r="AI447" s="17">
        <f t="shared" si="31"/>
        <v>10.25</v>
      </c>
      <c r="AJ447" s="14"/>
      <c r="AK447" s="14" t="s">
        <v>56</v>
      </c>
      <c r="AL447" s="13" t="s">
        <v>123</v>
      </c>
      <c r="AM447" s="12">
        <v>2007</v>
      </c>
      <c r="AN447" s="12" t="s">
        <v>72</v>
      </c>
      <c r="AO447" s="12" t="s">
        <v>56</v>
      </c>
      <c r="AP447" s="12"/>
      <c r="AQ447" s="12" t="s">
        <v>56</v>
      </c>
      <c r="AR447" s="12" t="s">
        <v>58</v>
      </c>
      <c r="AS447" s="12" t="s">
        <v>94</v>
      </c>
      <c r="AT447" s="12"/>
      <c r="AU447" s="45" t="s">
        <v>2651</v>
      </c>
      <c r="AV447" s="15"/>
      <c r="AW447" s="12" t="str">
        <f>B447&amp;C447&amp;L447&amp;M447&amp;O447&amp;U447&amp;AL447&amp;AM447</f>
        <v>United StatesCatalina Marine Science Center Marine Life RefugeSemicossyphus pulcherCalifornia sheephead, all sizes, femaledensity1.73839585609648Tetreault2007</v>
      </c>
    </row>
    <row r="448" spans="1:49" ht="14.25" customHeight="1" x14ac:dyDescent="0.35">
      <c r="A448" s="12">
        <v>447</v>
      </c>
      <c r="B448" s="15" t="s">
        <v>75</v>
      </c>
      <c r="C448" s="15" t="s">
        <v>949</v>
      </c>
      <c r="D448" s="12" t="s">
        <v>949</v>
      </c>
      <c r="E448" s="15" t="s">
        <v>121</v>
      </c>
      <c r="F448" s="16" t="s">
        <v>50</v>
      </c>
      <c r="G448" s="16" t="s">
        <v>51</v>
      </c>
      <c r="H448" s="16" t="s">
        <v>78</v>
      </c>
      <c r="I448" s="16" t="s">
        <v>53</v>
      </c>
      <c r="J448" s="17">
        <v>0.13</v>
      </c>
      <c r="K448" s="17"/>
      <c r="L448" s="14" t="s">
        <v>115</v>
      </c>
      <c r="M448" s="17" t="s">
        <v>124</v>
      </c>
      <c r="N448" s="17" t="s">
        <v>85</v>
      </c>
      <c r="O448" s="17" t="s">
        <v>86</v>
      </c>
      <c r="P448" s="17"/>
      <c r="Q448" s="17"/>
      <c r="R448" s="17"/>
      <c r="S448" s="17">
        <v>0.57791999999999999</v>
      </c>
      <c r="T448" s="17">
        <v>0.28144000000000002</v>
      </c>
      <c r="U448" s="20">
        <f t="shared" si="33"/>
        <v>0.48698781838316729</v>
      </c>
      <c r="V448" s="41">
        <f t="shared" si="32"/>
        <v>-51.301218161683273</v>
      </c>
      <c r="W448" s="17"/>
      <c r="X448" s="17" t="s">
        <v>56</v>
      </c>
      <c r="Y448" s="17"/>
      <c r="Z448" s="17" t="s">
        <v>58</v>
      </c>
      <c r="AA448" s="17" t="s">
        <v>58</v>
      </c>
      <c r="AB448" s="17" t="s">
        <v>57</v>
      </c>
      <c r="AC448" s="17">
        <v>1997</v>
      </c>
      <c r="AD448" s="17"/>
      <c r="AE448" s="17">
        <v>15</v>
      </c>
      <c r="AF448" s="17"/>
      <c r="AG448" s="17">
        <v>1974</v>
      </c>
      <c r="AH448" s="14">
        <f t="shared" si="30"/>
        <v>23</v>
      </c>
      <c r="AI448" s="17">
        <f t="shared" si="31"/>
        <v>24.25</v>
      </c>
      <c r="AJ448" s="17"/>
      <c r="AK448" s="17" t="s">
        <v>56</v>
      </c>
      <c r="AL448" s="16" t="s">
        <v>123</v>
      </c>
      <c r="AM448" s="15">
        <v>2007</v>
      </c>
      <c r="AN448" s="15" t="s">
        <v>72</v>
      </c>
      <c r="AO448" s="15" t="s">
        <v>56</v>
      </c>
      <c r="AP448" s="15"/>
      <c r="AQ448" s="15" t="s">
        <v>56</v>
      </c>
      <c r="AR448" s="15" t="s">
        <v>58</v>
      </c>
      <c r="AS448" s="15" t="s">
        <v>94</v>
      </c>
      <c r="AT448" s="15"/>
      <c r="AU448" s="45" t="s">
        <v>2590</v>
      </c>
      <c r="AV448" s="15"/>
      <c r="AW448" s="12" t="str">
        <f>B448&amp;C448&amp;L448&amp;M448&amp;O448&amp;U448&amp;AL448&amp;AM448</f>
        <v>United StatesHeisler Park State Marine ReserveSemicossyphus pulcherCalifornia sheephead, all sizes, femaledensity0.486987818383167Tetreault2007</v>
      </c>
    </row>
    <row r="449" spans="1:49" ht="14.25" customHeight="1" x14ac:dyDescent="0.35">
      <c r="A449" s="12">
        <v>448</v>
      </c>
      <c r="B449" s="15" t="s">
        <v>75</v>
      </c>
      <c r="C449" s="59" t="s">
        <v>106</v>
      </c>
      <c r="D449" s="50" t="s">
        <v>77</v>
      </c>
      <c r="E449" s="15" t="s">
        <v>121</v>
      </c>
      <c r="F449" s="16" t="s">
        <v>50</v>
      </c>
      <c r="G449" s="16" t="s">
        <v>51</v>
      </c>
      <c r="H449" s="16" t="s">
        <v>78</v>
      </c>
      <c r="I449" s="16" t="s">
        <v>53</v>
      </c>
      <c r="J449" s="17">
        <v>0.12</v>
      </c>
      <c r="K449" s="17"/>
      <c r="L449" s="14" t="s">
        <v>115</v>
      </c>
      <c r="M449" s="17" t="s">
        <v>124</v>
      </c>
      <c r="N449" s="17" t="s">
        <v>85</v>
      </c>
      <c r="O449" s="17" t="s">
        <v>86</v>
      </c>
      <c r="P449" s="17"/>
      <c r="Q449" s="17"/>
      <c r="R449" s="17"/>
      <c r="S449" s="17">
        <v>0.19020999999999999</v>
      </c>
      <c r="T449" s="17">
        <v>0.37265999999999999</v>
      </c>
      <c r="U449" s="19">
        <f t="shared" si="33"/>
        <v>1.959202986173177</v>
      </c>
      <c r="V449" s="41">
        <f t="shared" si="32"/>
        <v>95.920298617317698</v>
      </c>
      <c r="W449" s="17"/>
      <c r="X449" s="17" t="s">
        <v>56</v>
      </c>
      <c r="Y449" s="17"/>
      <c r="Z449" s="17" t="s">
        <v>58</v>
      </c>
      <c r="AA449" s="17" t="s">
        <v>58</v>
      </c>
      <c r="AB449" s="17" t="s">
        <v>57</v>
      </c>
      <c r="AC449" s="17">
        <v>1997</v>
      </c>
      <c r="AD449" s="17"/>
      <c r="AE449" s="17">
        <v>15</v>
      </c>
      <c r="AF449" s="17"/>
      <c r="AG449" s="17">
        <v>1978</v>
      </c>
      <c r="AH449" s="14">
        <f t="shared" si="30"/>
        <v>19</v>
      </c>
      <c r="AI449" s="17">
        <f t="shared" si="31"/>
        <v>20.25</v>
      </c>
      <c r="AJ449" s="17"/>
      <c r="AK449" s="17" t="s">
        <v>56</v>
      </c>
      <c r="AL449" s="16" t="s">
        <v>123</v>
      </c>
      <c r="AM449" s="15">
        <v>2007</v>
      </c>
      <c r="AN449" s="15" t="s">
        <v>72</v>
      </c>
      <c r="AO449" s="15" t="s">
        <v>56</v>
      </c>
      <c r="AP449" s="15"/>
      <c r="AQ449" s="15" t="s">
        <v>56</v>
      </c>
      <c r="AR449" s="15" t="s">
        <v>58</v>
      </c>
      <c r="AS449" s="15" t="s">
        <v>94</v>
      </c>
      <c r="AT449" s="12"/>
      <c r="AU449" s="45"/>
      <c r="AV449" s="15"/>
      <c r="AW449" s="12" t="str">
        <f>B449&amp;C449&amp;L449&amp;M449&amp;O449&amp;U449&amp;AL449&amp;AM449</f>
        <v>United StatesAnacapa Island State Marine Reserve (old)Semicossyphus pulcherCalifornia sheephead, all sizes, femaledensity1.95920298617318Tetreault2007</v>
      </c>
    </row>
    <row r="450" spans="1:49" ht="14.25" customHeight="1" x14ac:dyDescent="0.35">
      <c r="A450" s="12">
        <v>449</v>
      </c>
      <c r="B450" s="15" t="s">
        <v>75</v>
      </c>
      <c r="C450" s="59" t="s">
        <v>106</v>
      </c>
      <c r="D450" s="59" t="s">
        <v>77</v>
      </c>
      <c r="E450" s="15" t="s">
        <v>121</v>
      </c>
      <c r="F450" s="16" t="s">
        <v>50</v>
      </c>
      <c r="G450" s="16" t="s">
        <v>51</v>
      </c>
      <c r="H450" s="16" t="s">
        <v>78</v>
      </c>
      <c r="I450" s="16" t="s">
        <v>53</v>
      </c>
      <c r="J450" s="17">
        <v>0.12</v>
      </c>
      <c r="K450" s="17"/>
      <c r="L450" s="17" t="s">
        <v>115</v>
      </c>
      <c r="M450" s="17" t="s">
        <v>125</v>
      </c>
      <c r="N450" s="17" t="s">
        <v>85</v>
      </c>
      <c r="O450" s="17" t="s">
        <v>86</v>
      </c>
      <c r="P450" s="17"/>
      <c r="Q450" s="17"/>
      <c r="R450" s="17"/>
      <c r="S450" s="17">
        <v>3.9303999999999999E-2</v>
      </c>
      <c r="T450" s="17">
        <v>0.24456</v>
      </c>
      <c r="U450" s="19">
        <f t="shared" si="33"/>
        <v>6.2222674536942808</v>
      </c>
      <c r="V450" s="41">
        <f t="shared" si="32"/>
        <v>522.22674536942804</v>
      </c>
      <c r="W450" s="17"/>
      <c r="X450" s="17" t="s">
        <v>56</v>
      </c>
      <c r="Y450" s="17"/>
      <c r="Z450" s="17" t="s">
        <v>58</v>
      </c>
      <c r="AA450" s="17" t="s">
        <v>58</v>
      </c>
      <c r="AB450" s="17" t="s">
        <v>57</v>
      </c>
      <c r="AC450" s="17">
        <v>1997</v>
      </c>
      <c r="AD450" s="17"/>
      <c r="AE450" s="17">
        <v>15</v>
      </c>
      <c r="AF450" s="17"/>
      <c r="AG450" s="17">
        <v>1978</v>
      </c>
      <c r="AH450" s="14">
        <f t="shared" ref="AH450:AH513" si="34">IF(OR(AG450="NA",AC450="NA"),"NA",IF(OR(AC450="",AG450=""), "", AC450-AG450))</f>
        <v>19</v>
      </c>
      <c r="AI450" s="17">
        <f t="shared" ref="AI450:AI513" si="35">IF(AH450="NA", "NA",IF(OR(AH450="",AND(AD450="",AE450="")), "",AH450+AD450+AE450/12))</f>
        <v>20.25</v>
      </c>
      <c r="AJ450" s="17"/>
      <c r="AK450" s="17" t="s">
        <v>56</v>
      </c>
      <c r="AL450" s="16" t="s">
        <v>123</v>
      </c>
      <c r="AM450" s="15">
        <v>2007</v>
      </c>
      <c r="AN450" s="15" t="s">
        <v>72</v>
      </c>
      <c r="AO450" s="15" t="s">
        <v>56</v>
      </c>
      <c r="AP450" s="15"/>
      <c r="AQ450" s="15" t="s">
        <v>56</v>
      </c>
      <c r="AR450" s="15" t="s">
        <v>58</v>
      </c>
      <c r="AS450" s="15" t="s">
        <v>94</v>
      </c>
      <c r="AT450" s="12"/>
      <c r="AU450" s="45"/>
      <c r="AV450" s="15"/>
      <c r="AW450" s="12" t="str">
        <f>B450&amp;C450&amp;L450&amp;M450&amp;O450&amp;U450&amp;AL450&amp;AM450</f>
        <v>United StatesAnacapa Island State Marine Reserve (old)Semicossyphus pulcherCalifornia sheephead, all sizes, maledensity6.22226745369428Tetreault2007</v>
      </c>
    </row>
    <row r="451" spans="1:49" ht="14.25" customHeight="1" x14ac:dyDescent="0.35">
      <c r="A451" s="12">
        <v>450</v>
      </c>
      <c r="B451" s="15" t="s">
        <v>75</v>
      </c>
      <c r="C451" s="43" t="s">
        <v>583</v>
      </c>
      <c r="D451" s="15" t="s">
        <v>584</v>
      </c>
      <c r="E451" s="15" t="s">
        <v>121</v>
      </c>
      <c r="F451" s="16" t="s">
        <v>50</v>
      </c>
      <c r="G451" s="16" t="s">
        <v>51</v>
      </c>
      <c r="H451" s="16" t="s">
        <v>78</v>
      </c>
      <c r="I451" s="16" t="s">
        <v>53</v>
      </c>
      <c r="J451" s="17">
        <f>(0.13+0.18)/2</f>
        <v>0.155</v>
      </c>
      <c r="K451" s="17"/>
      <c r="L451" s="17" t="s">
        <v>84</v>
      </c>
      <c r="M451" s="17" t="s">
        <v>126</v>
      </c>
      <c r="N451" s="17" t="s">
        <v>85</v>
      </c>
      <c r="O451" s="17" t="s">
        <v>86</v>
      </c>
      <c r="P451" s="17"/>
      <c r="Q451" s="17"/>
      <c r="R451" s="17"/>
      <c r="S451" s="17">
        <v>8.4249000000000004E-2</v>
      </c>
      <c r="T451" s="17">
        <v>0.67949000000000004</v>
      </c>
      <c r="U451" s="20">
        <f t="shared" si="33"/>
        <v>8.0652589348241523</v>
      </c>
      <c r="V451" s="22">
        <f t="shared" si="32"/>
        <v>706.5258934824152</v>
      </c>
      <c r="W451" s="17"/>
      <c r="X451" s="17" t="s">
        <v>56</v>
      </c>
      <c r="Y451" s="17"/>
      <c r="Z451" s="17" t="s">
        <v>58</v>
      </c>
      <c r="AA451" s="17" t="s">
        <v>58</v>
      </c>
      <c r="AB451" s="17" t="s">
        <v>57</v>
      </c>
      <c r="AC451" s="17">
        <v>1997</v>
      </c>
      <c r="AD451" s="17"/>
      <c r="AE451" s="17">
        <v>15</v>
      </c>
      <c r="AF451" s="17"/>
      <c r="AG451" s="17">
        <v>1988</v>
      </c>
      <c r="AH451" s="14">
        <f t="shared" si="34"/>
        <v>9</v>
      </c>
      <c r="AI451" s="17">
        <f t="shared" si="35"/>
        <v>10.25</v>
      </c>
      <c r="AJ451" s="17"/>
      <c r="AK451" s="17" t="s">
        <v>56</v>
      </c>
      <c r="AL451" s="16" t="s">
        <v>123</v>
      </c>
      <c r="AM451" s="15">
        <v>2007</v>
      </c>
      <c r="AN451" s="15" t="s">
        <v>72</v>
      </c>
      <c r="AO451" s="15" t="s">
        <v>56</v>
      </c>
      <c r="AP451" s="15"/>
      <c r="AQ451" s="15" t="s">
        <v>56</v>
      </c>
      <c r="AR451" s="15" t="s">
        <v>58</v>
      </c>
      <c r="AS451" s="15" t="s">
        <v>94</v>
      </c>
      <c r="AT451" s="15"/>
      <c r="AU451" s="45" t="s">
        <v>2652</v>
      </c>
      <c r="AV451" s="15"/>
      <c r="AW451" s="12" t="str">
        <f>B451&amp;C451&amp;L451&amp;M451&amp;O451&amp;U451&amp;AL451&amp;AM451</f>
        <v>United StatesCatalina Marine Science Center Marine Life RefugeParalabrax clathratusKelp bass, legal sizesdensity8.06525893482415Tetreault2007</v>
      </c>
    </row>
    <row r="452" spans="1:49" ht="14.25" customHeight="1" x14ac:dyDescent="0.35">
      <c r="A452" s="12">
        <v>451</v>
      </c>
      <c r="B452" s="15" t="s">
        <v>75</v>
      </c>
      <c r="C452" s="15" t="s">
        <v>949</v>
      </c>
      <c r="D452" s="12" t="s">
        <v>949</v>
      </c>
      <c r="E452" s="15" t="s">
        <v>121</v>
      </c>
      <c r="F452" s="16" t="s">
        <v>50</v>
      </c>
      <c r="G452" s="16" t="s">
        <v>51</v>
      </c>
      <c r="H452" s="16" t="s">
        <v>78</v>
      </c>
      <c r="I452" s="16" t="s">
        <v>53</v>
      </c>
      <c r="J452" s="17">
        <v>0.13</v>
      </c>
      <c r="K452" s="17"/>
      <c r="L452" s="17" t="s">
        <v>84</v>
      </c>
      <c r="M452" s="17" t="s">
        <v>126</v>
      </c>
      <c r="N452" s="17" t="s">
        <v>85</v>
      </c>
      <c r="O452" s="17" t="s">
        <v>86</v>
      </c>
      <c r="P452" s="17"/>
      <c r="Q452" s="17"/>
      <c r="R452" s="17"/>
      <c r="S452" s="17">
        <v>8.4249000000000004E-2</v>
      </c>
      <c r="T452" s="17">
        <v>0.13003999999999999</v>
      </c>
      <c r="U452" s="20">
        <f t="shared" si="33"/>
        <v>1.5435198043893694</v>
      </c>
      <c r="V452" s="22">
        <f t="shared" ref="V452:V515" si="36">IFERROR(IF(U452 = "", "",(U452-1)*100),"N/A")</f>
        <v>54.351980438936941</v>
      </c>
      <c r="W452" s="17"/>
      <c r="X452" s="17" t="s">
        <v>56</v>
      </c>
      <c r="Y452" s="17"/>
      <c r="Z452" s="17" t="s">
        <v>58</v>
      </c>
      <c r="AA452" s="17" t="s">
        <v>58</v>
      </c>
      <c r="AB452" s="17" t="s">
        <v>57</v>
      </c>
      <c r="AC452" s="17">
        <v>1997</v>
      </c>
      <c r="AD452" s="17"/>
      <c r="AE452" s="17">
        <v>15</v>
      </c>
      <c r="AF452" s="17"/>
      <c r="AG452" s="17">
        <v>1974</v>
      </c>
      <c r="AH452" s="14">
        <f t="shared" si="34"/>
        <v>23</v>
      </c>
      <c r="AI452" s="17">
        <f t="shared" si="35"/>
        <v>24.25</v>
      </c>
      <c r="AJ452" s="17"/>
      <c r="AK452" s="17" t="s">
        <v>56</v>
      </c>
      <c r="AL452" s="16" t="s">
        <v>123</v>
      </c>
      <c r="AM452" s="15">
        <v>2007</v>
      </c>
      <c r="AN452" s="15" t="s">
        <v>72</v>
      </c>
      <c r="AO452" s="15" t="s">
        <v>56</v>
      </c>
      <c r="AP452" s="15"/>
      <c r="AQ452" s="15" t="s">
        <v>56</v>
      </c>
      <c r="AR452" s="15" t="s">
        <v>58</v>
      </c>
      <c r="AS452" s="15" t="s">
        <v>94</v>
      </c>
      <c r="AT452" s="15"/>
      <c r="AU452" s="45" t="s">
        <v>2591</v>
      </c>
      <c r="AV452" s="15"/>
      <c r="AW452" s="12" t="str">
        <f>B452&amp;C452&amp;L452&amp;M452&amp;O452&amp;U452&amp;AL452&amp;AM452</f>
        <v>United StatesHeisler Park State Marine ReserveParalabrax clathratusKelp bass, legal sizesdensity1.54351980438937Tetreault2007</v>
      </c>
    </row>
    <row r="453" spans="1:49" ht="14.25" customHeight="1" x14ac:dyDescent="0.35">
      <c r="A453" s="12">
        <v>452</v>
      </c>
      <c r="B453" s="15" t="s">
        <v>75</v>
      </c>
      <c r="C453" s="59" t="s">
        <v>106</v>
      </c>
      <c r="D453" s="59" t="s">
        <v>77</v>
      </c>
      <c r="E453" s="15" t="s">
        <v>121</v>
      </c>
      <c r="F453" s="16" t="s">
        <v>50</v>
      </c>
      <c r="G453" s="16" t="s">
        <v>51</v>
      </c>
      <c r="H453" s="16" t="s">
        <v>78</v>
      </c>
      <c r="I453" s="16" t="s">
        <v>53</v>
      </c>
      <c r="J453" s="17">
        <v>0.12</v>
      </c>
      <c r="K453" s="17"/>
      <c r="L453" s="14" t="s">
        <v>84</v>
      </c>
      <c r="M453" s="17" t="s">
        <v>126</v>
      </c>
      <c r="N453" s="17" t="s">
        <v>85</v>
      </c>
      <c r="O453" s="17" t="s">
        <v>86</v>
      </c>
      <c r="P453" s="17"/>
      <c r="Q453" s="17"/>
      <c r="R453" s="17"/>
      <c r="S453" s="17">
        <v>8.4249000000000004E-2</v>
      </c>
      <c r="T453" s="17">
        <v>0.86263999999999996</v>
      </c>
      <c r="U453" s="20">
        <f t="shared" si="33"/>
        <v>10.239171978302412</v>
      </c>
      <c r="V453" s="22">
        <f t="shared" si="36"/>
        <v>923.91719783024121</v>
      </c>
      <c r="W453" s="17"/>
      <c r="X453" s="17" t="s">
        <v>56</v>
      </c>
      <c r="Y453" s="17"/>
      <c r="Z453" s="17" t="s">
        <v>58</v>
      </c>
      <c r="AA453" s="17" t="s">
        <v>58</v>
      </c>
      <c r="AB453" s="17" t="s">
        <v>57</v>
      </c>
      <c r="AC453" s="17">
        <v>1997</v>
      </c>
      <c r="AD453" s="17"/>
      <c r="AE453" s="17">
        <v>15</v>
      </c>
      <c r="AF453" s="17"/>
      <c r="AG453" s="17">
        <v>1978</v>
      </c>
      <c r="AH453" s="14">
        <f t="shared" si="34"/>
        <v>19</v>
      </c>
      <c r="AI453" s="17">
        <f t="shared" si="35"/>
        <v>20.25</v>
      </c>
      <c r="AJ453" s="17"/>
      <c r="AK453" s="17" t="s">
        <v>56</v>
      </c>
      <c r="AL453" s="16" t="s">
        <v>123</v>
      </c>
      <c r="AM453" s="15">
        <v>2007</v>
      </c>
      <c r="AN453" s="15" t="s">
        <v>72</v>
      </c>
      <c r="AO453" s="15" t="s">
        <v>56</v>
      </c>
      <c r="AP453" s="15"/>
      <c r="AQ453" s="15" t="s">
        <v>56</v>
      </c>
      <c r="AR453" s="15" t="s">
        <v>58</v>
      </c>
      <c r="AS453" s="15" t="s">
        <v>94</v>
      </c>
      <c r="AT453" s="15"/>
      <c r="AU453" s="45" t="s">
        <v>127</v>
      </c>
      <c r="AV453" s="15"/>
      <c r="AW453" s="12" t="str">
        <f>B453&amp;C453&amp;L453&amp;M453&amp;O453&amp;U453&amp;AL453&amp;AM453</f>
        <v>United StatesAnacapa Island State Marine Reserve (old)Paralabrax clathratusKelp bass, legal sizesdensity10.2391719783024Tetreault2007</v>
      </c>
    </row>
    <row r="454" spans="1:49" ht="14.25" customHeight="1" x14ac:dyDescent="0.35">
      <c r="A454" s="12">
        <v>453</v>
      </c>
      <c r="B454" s="15" t="s">
        <v>75</v>
      </c>
      <c r="C454" s="15" t="s">
        <v>949</v>
      </c>
      <c r="D454" s="15" t="s">
        <v>949</v>
      </c>
      <c r="E454" s="15" t="s">
        <v>121</v>
      </c>
      <c r="F454" s="16" t="s">
        <v>50</v>
      </c>
      <c r="G454" s="16" t="s">
        <v>51</v>
      </c>
      <c r="H454" s="16" t="s">
        <v>78</v>
      </c>
      <c r="I454" s="16" t="s">
        <v>53</v>
      </c>
      <c r="J454" s="17">
        <v>0.13</v>
      </c>
      <c r="K454" s="17"/>
      <c r="L454" s="14" t="s">
        <v>1140</v>
      </c>
      <c r="M454" s="17" t="s">
        <v>951</v>
      </c>
      <c r="N454" s="17" t="s">
        <v>85</v>
      </c>
      <c r="O454" s="17" t="s">
        <v>86</v>
      </c>
      <c r="P454" s="17"/>
      <c r="Q454" s="17"/>
      <c r="R454" s="17"/>
      <c r="S454" s="17">
        <v>0.10902000000000001</v>
      </c>
      <c r="T454" s="17">
        <v>0.70199</v>
      </c>
      <c r="U454" s="19">
        <f t="shared" si="33"/>
        <v>6.4390937442671063</v>
      </c>
      <c r="V454" s="41">
        <f t="shared" si="36"/>
        <v>543.90937442671066</v>
      </c>
      <c r="W454" s="17"/>
      <c r="X454" s="17" t="s">
        <v>56</v>
      </c>
      <c r="Y454" s="17"/>
      <c r="Z454" s="17" t="s">
        <v>58</v>
      </c>
      <c r="AA454" s="17" t="s">
        <v>58</v>
      </c>
      <c r="AB454" s="17" t="s">
        <v>57</v>
      </c>
      <c r="AC454" s="17">
        <v>1997</v>
      </c>
      <c r="AD454" s="17"/>
      <c r="AE454" s="17">
        <v>15</v>
      </c>
      <c r="AF454" s="17"/>
      <c r="AG454" s="17">
        <v>1974</v>
      </c>
      <c r="AH454" s="14">
        <f t="shared" si="34"/>
        <v>23</v>
      </c>
      <c r="AI454" s="17">
        <f t="shared" si="35"/>
        <v>24.25</v>
      </c>
      <c r="AJ454" s="17"/>
      <c r="AK454" s="17" t="s">
        <v>56</v>
      </c>
      <c r="AL454" s="16" t="s">
        <v>123</v>
      </c>
      <c r="AM454" s="15">
        <v>2007</v>
      </c>
      <c r="AN454" s="15" t="s">
        <v>72</v>
      </c>
      <c r="AO454" s="15" t="s">
        <v>56</v>
      </c>
      <c r="AP454" s="15"/>
      <c r="AQ454" s="15" t="s">
        <v>56</v>
      </c>
      <c r="AR454" s="15" t="s">
        <v>58</v>
      </c>
      <c r="AS454" s="15" t="s">
        <v>94</v>
      </c>
      <c r="AT454" s="12"/>
      <c r="AU454" s="45" t="s">
        <v>2591</v>
      </c>
      <c r="AV454" s="15"/>
      <c r="AW454" s="12" t="str">
        <f>B454&amp;C454&amp;L454&amp;M454&amp;O454&amp;U454&amp;AL454&amp;AM454</f>
        <v>United StatesHeisler Park State Marine ReserveParalabrax nebuliferBarred sand bass, legal sizesdensity6.43909374426711Tetreault2007</v>
      </c>
    </row>
    <row r="455" spans="1:49" ht="14.25" customHeight="1" x14ac:dyDescent="0.35">
      <c r="A455" s="12">
        <v>454</v>
      </c>
      <c r="B455" s="15" t="s">
        <v>75</v>
      </c>
      <c r="C455" s="15" t="s">
        <v>949</v>
      </c>
      <c r="D455" s="12" t="s">
        <v>949</v>
      </c>
      <c r="E455" s="15" t="s">
        <v>121</v>
      </c>
      <c r="F455" s="16" t="s">
        <v>50</v>
      </c>
      <c r="G455" s="16" t="s">
        <v>51</v>
      </c>
      <c r="H455" s="16" t="s">
        <v>78</v>
      </c>
      <c r="I455" s="16" t="s">
        <v>53</v>
      </c>
      <c r="J455" s="17">
        <v>0.13</v>
      </c>
      <c r="K455" s="17"/>
      <c r="L455" s="14" t="s">
        <v>115</v>
      </c>
      <c r="M455" s="17" t="s">
        <v>952</v>
      </c>
      <c r="N455" s="17" t="s">
        <v>85</v>
      </c>
      <c r="O455" s="17" t="s">
        <v>86</v>
      </c>
      <c r="P455" s="17"/>
      <c r="Q455" s="17"/>
      <c r="R455" s="17"/>
      <c r="S455" s="17">
        <v>3.8041999999999999E-2</v>
      </c>
      <c r="T455" s="17">
        <v>3.3480000000000003E-2</v>
      </c>
      <c r="U455" s="19">
        <f t="shared" si="33"/>
        <v>0.88007991167656807</v>
      </c>
      <c r="V455" s="41">
        <f t="shared" si="36"/>
        <v>-11.992008832343192</v>
      </c>
      <c r="W455" s="17"/>
      <c r="X455" s="17" t="s">
        <v>56</v>
      </c>
      <c r="Y455" s="17"/>
      <c r="Z455" s="17" t="s">
        <v>58</v>
      </c>
      <c r="AA455" s="17" t="s">
        <v>58</v>
      </c>
      <c r="AB455" s="17" t="s">
        <v>57</v>
      </c>
      <c r="AC455" s="17">
        <v>1997</v>
      </c>
      <c r="AD455" s="17"/>
      <c r="AE455" s="17">
        <v>15</v>
      </c>
      <c r="AF455" s="17"/>
      <c r="AG455" s="17">
        <v>1974</v>
      </c>
      <c r="AH455" s="14">
        <f t="shared" si="34"/>
        <v>23</v>
      </c>
      <c r="AI455" s="17">
        <f t="shared" si="35"/>
        <v>24.25</v>
      </c>
      <c r="AJ455" s="17"/>
      <c r="AK455" s="17" t="s">
        <v>56</v>
      </c>
      <c r="AL455" s="16" t="s">
        <v>123</v>
      </c>
      <c r="AM455" s="15">
        <v>2007</v>
      </c>
      <c r="AN455" s="15" t="s">
        <v>72</v>
      </c>
      <c r="AO455" s="15" t="s">
        <v>56</v>
      </c>
      <c r="AP455" s="15"/>
      <c r="AQ455" s="15" t="s">
        <v>56</v>
      </c>
      <c r="AR455" s="15" t="s">
        <v>58</v>
      </c>
      <c r="AS455" s="15" t="s">
        <v>94</v>
      </c>
      <c r="AT455" s="12"/>
      <c r="AU455" s="45" t="s">
        <v>2591</v>
      </c>
      <c r="AV455" s="15"/>
      <c r="AW455" s="12" t="str">
        <f>B455&amp;C455&amp;L455&amp;M455&amp;O455&amp;U455&amp;AL455&amp;AM455</f>
        <v>United StatesHeisler Park State Marine ReserveSemicossyphus pulcherCalifornia sheephead, legal sizes, femaledensity0.880079911676568Tetreault2007</v>
      </c>
    </row>
    <row r="456" spans="1:49" ht="14.25" customHeight="1" x14ac:dyDescent="0.35">
      <c r="A456" s="12">
        <v>455</v>
      </c>
      <c r="B456" s="15" t="s">
        <v>75</v>
      </c>
      <c r="C456" s="59" t="s">
        <v>106</v>
      </c>
      <c r="D456" s="59" t="s">
        <v>77</v>
      </c>
      <c r="E456" s="15" t="s">
        <v>121</v>
      </c>
      <c r="F456" s="13" t="s">
        <v>50</v>
      </c>
      <c r="G456" s="13" t="s">
        <v>51</v>
      </c>
      <c r="H456" s="16" t="s">
        <v>78</v>
      </c>
      <c r="I456" s="16" t="s">
        <v>53</v>
      </c>
      <c r="J456" s="17">
        <v>0.12</v>
      </c>
      <c r="K456" s="17"/>
      <c r="L456" s="17" t="s">
        <v>115</v>
      </c>
      <c r="M456" s="17" t="s">
        <v>128</v>
      </c>
      <c r="N456" s="17" t="s">
        <v>85</v>
      </c>
      <c r="O456" s="17" t="s">
        <v>86</v>
      </c>
      <c r="P456" s="17"/>
      <c r="Q456" s="17"/>
      <c r="R456" s="17"/>
      <c r="S456" s="17">
        <v>3.9303999999999999E-2</v>
      </c>
      <c r="T456" s="17">
        <v>0.24456</v>
      </c>
      <c r="U456" s="20">
        <f t="shared" si="33"/>
        <v>6.2222674536942808</v>
      </c>
      <c r="V456" s="22">
        <f t="shared" si="36"/>
        <v>522.22674536942804</v>
      </c>
      <c r="W456" s="17"/>
      <c r="X456" s="17" t="s">
        <v>56</v>
      </c>
      <c r="Y456" s="17"/>
      <c r="Z456" s="17" t="s">
        <v>58</v>
      </c>
      <c r="AA456" s="17" t="s">
        <v>58</v>
      </c>
      <c r="AB456" s="17" t="s">
        <v>57</v>
      </c>
      <c r="AC456" s="17">
        <v>1997</v>
      </c>
      <c r="AD456" s="17"/>
      <c r="AE456" s="17">
        <v>15</v>
      </c>
      <c r="AF456" s="17"/>
      <c r="AG456" s="17">
        <v>1978</v>
      </c>
      <c r="AH456" s="14">
        <f t="shared" si="34"/>
        <v>19</v>
      </c>
      <c r="AI456" s="17">
        <f t="shared" si="35"/>
        <v>20.25</v>
      </c>
      <c r="AJ456" s="17"/>
      <c r="AK456" s="17" t="s">
        <v>56</v>
      </c>
      <c r="AL456" s="16" t="s">
        <v>123</v>
      </c>
      <c r="AM456" s="15">
        <v>2007</v>
      </c>
      <c r="AN456" s="15" t="s">
        <v>72</v>
      </c>
      <c r="AO456" s="15" t="s">
        <v>56</v>
      </c>
      <c r="AP456" s="15"/>
      <c r="AQ456" s="15" t="s">
        <v>56</v>
      </c>
      <c r="AR456" s="15" t="s">
        <v>58</v>
      </c>
      <c r="AS456" s="15" t="s">
        <v>94</v>
      </c>
      <c r="AT456" s="15"/>
      <c r="AU456" s="45" t="s">
        <v>127</v>
      </c>
      <c r="AV456" s="15"/>
      <c r="AW456" s="12" t="str">
        <f>B456&amp;C456&amp;L456&amp;M456&amp;O456&amp;U456&amp;AL456&amp;AM456</f>
        <v>United StatesAnacapa Island State Marine Reserve (old)Semicossyphus pulcherCalifornia sheephead, legal sizes, maledensity6.22226745369428Tetreault2007</v>
      </c>
    </row>
    <row r="457" spans="1:49" ht="14.25" customHeight="1" x14ac:dyDescent="0.35">
      <c r="A457" s="12">
        <v>456</v>
      </c>
      <c r="B457" s="12" t="s">
        <v>75</v>
      </c>
      <c r="C457" s="44" t="s">
        <v>583</v>
      </c>
      <c r="D457" s="12" t="s">
        <v>584</v>
      </c>
      <c r="E457" s="12" t="s">
        <v>121</v>
      </c>
      <c r="F457" s="13" t="s">
        <v>50</v>
      </c>
      <c r="G457" s="13" t="s">
        <v>51</v>
      </c>
      <c r="H457" s="13" t="s">
        <v>78</v>
      </c>
      <c r="I457" s="13" t="s">
        <v>53</v>
      </c>
      <c r="J457" s="14">
        <f>(0.13+0.18)/2</f>
        <v>0.155</v>
      </c>
      <c r="K457" s="14"/>
      <c r="L457" s="17" t="s">
        <v>1137</v>
      </c>
      <c r="M457" s="14" t="s">
        <v>129</v>
      </c>
      <c r="N457" s="14" t="s">
        <v>85</v>
      </c>
      <c r="O457" s="17" t="s">
        <v>86</v>
      </c>
      <c r="P457" s="14"/>
      <c r="Q457" s="14"/>
      <c r="R457" s="14"/>
      <c r="S457" s="14">
        <v>33.262999999999998</v>
      </c>
      <c r="T457" s="14">
        <v>29.097000000000001</v>
      </c>
      <c r="U457" s="19">
        <f t="shared" si="33"/>
        <v>0.87475573460000611</v>
      </c>
      <c r="V457" s="41">
        <f t="shared" si="36"/>
        <v>-12.524426539999389</v>
      </c>
      <c r="W457" s="14"/>
      <c r="X457" s="14" t="s">
        <v>56</v>
      </c>
      <c r="Z457" s="14" t="s">
        <v>58</v>
      </c>
      <c r="AA457" s="14" t="s">
        <v>58</v>
      </c>
      <c r="AB457" s="14" t="s">
        <v>57</v>
      </c>
      <c r="AC457" s="14">
        <v>1997</v>
      </c>
      <c r="AD457" s="14"/>
      <c r="AE457" s="14">
        <v>15</v>
      </c>
      <c r="AF457" s="14"/>
      <c r="AG457" s="14">
        <v>1988</v>
      </c>
      <c r="AH457" s="14">
        <f t="shared" si="34"/>
        <v>9</v>
      </c>
      <c r="AI457" s="17">
        <f t="shared" si="35"/>
        <v>10.25</v>
      </c>
      <c r="AJ457" s="14"/>
      <c r="AK457" s="14" t="s">
        <v>56</v>
      </c>
      <c r="AL457" s="13" t="s">
        <v>123</v>
      </c>
      <c r="AM457" s="12">
        <v>2007</v>
      </c>
      <c r="AN457" s="12" t="s">
        <v>72</v>
      </c>
      <c r="AO457" s="12" t="s">
        <v>56</v>
      </c>
      <c r="AP457" s="12"/>
      <c r="AQ457" s="12" t="s">
        <v>56</v>
      </c>
      <c r="AR457" s="12" t="s">
        <v>58</v>
      </c>
      <c r="AS457" s="12" t="s">
        <v>94</v>
      </c>
      <c r="AT457" s="12"/>
      <c r="AU457" s="45" t="s">
        <v>2651</v>
      </c>
      <c r="AV457" s="15"/>
      <c r="AW457" s="12" t="str">
        <f>B457&amp;C457&amp;L457&amp;M457&amp;O457&amp;U457&amp;AL457&amp;AM457</f>
        <v>United StatesCatalina Marine Science Center Marine Life RefugeChromis punctipinnisBlacksmithdensity0.874755734600006Tetreault2007</v>
      </c>
    </row>
    <row r="458" spans="1:49" ht="14.25" customHeight="1" x14ac:dyDescent="0.35">
      <c r="A458" s="12">
        <v>457</v>
      </c>
      <c r="B458" s="12" t="s">
        <v>75</v>
      </c>
      <c r="C458" s="12" t="s">
        <v>949</v>
      </c>
      <c r="D458" s="12" t="s">
        <v>949</v>
      </c>
      <c r="E458" s="12" t="s">
        <v>121</v>
      </c>
      <c r="F458" s="13" t="s">
        <v>50</v>
      </c>
      <c r="G458" s="13" t="s">
        <v>51</v>
      </c>
      <c r="H458" s="13" t="s">
        <v>78</v>
      </c>
      <c r="I458" s="13" t="s">
        <v>53</v>
      </c>
      <c r="J458" s="14">
        <v>0.13</v>
      </c>
      <c r="K458" s="14"/>
      <c r="L458" s="17" t="s">
        <v>1137</v>
      </c>
      <c r="M458" s="14" t="s">
        <v>129</v>
      </c>
      <c r="N458" s="14" t="s">
        <v>85</v>
      </c>
      <c r="O458" s="17" t="s">
        <v>86</v>
      </c>
      <c r="P458" s="14"/>
      <c r="Q458" s="14"/>
      <c r="R458" s="14"/>
      <c r="S458" s="14">
        <v>10.164</v>
      </c>
      <c r="T458" s="14">
        <v>6.3769</v>
      </c>
      <c r="U458" s="19">
        <f t="shared" si="33"/>
        <v>0.62740062967335697</v>
      </c>
      <c r="V458" s="41">
        <f t="shared" si="36"/>
        <v>-37.259937032664304</v>
      </c>
      <c r="W458" s="14"/>
      <c r="X458" s="14" t="s">
        <v>56</v>
      </c>
      <c r="Z458" s="14" t="s">
        <v>58</v>
      </c>
      <c r="AA458" s="14" t="s">
        <v>58</v>
      </c>
      <c r="AB458" s="14" t="s">
        <v>57</v>
      </c>
      <c r="AC458" s="14">
        <v>1997</v>
      </c>
      <c r="AD458" s="14"/>
      <c r="AE458" s="14">
        <v>15</v>
      </c>
      <c r="AF458" s="14"/>
      <c r="AG458" s="14">
        <v>1974</v>
      </c>
      <c r="AH458" s="14">
        <f t="shared" si="34"/>
        <v>23</v>
      </c>
      <c r="AI458" s="17">
        <f t="shared" si="35"/>
        <v>24.25</v>
      </c>
      <c r="AJ458" s="14"/>
      <c r="AK458" s="14" t="s">
        <v>56</v>
      </c>
      <c r="AL458" s="13" t="s">
        <v>123</v>
      </c>
      <c r="AM458" s="12">
        <v>2007</v>
      </c>
      <c r="AN458" s="12" t="s">
        <v>72</v>
      </c>
      <c r="AO458" s="12" t="s">
        <v>56</v>
      </c>
      <c r="AP458" s="12"/>
      <c r="AQ458" s="12" t="s">
        <v>56</v>
      </c>
      <c r="AR458" s="12" t="s">
        <v>58</v>
      </c>
      <c r="AS458" s="12" t="s">
        <v>94</v>
      </c>
      <c r="AT458" s="12"/>
      <c r="AU458" s="45" t="s">
        <v>2590</v>
      </c>
      <c r="AV458" s="15"/>
      <c r="AW458" s="12" t="str">
        <f>B458&amp;C458&amp;L458&amp;M458&amp;O458&amp;U458&amp;AL458&amp;AM458</f>
        <v>United StatesHeisler Park State Marine ReserveChromis punctipinnisBlacksmithdensity0.627400629673357Tetreault2007</v>
      </c>
    </row>
    <row r="459" spans="1:49" ht="14.25" customHeight="1" x14ac:dyDescent="0.35">
      <c r="A459" s="12">
        <v>458</v>
      </c>
      <c r="B459" s="15" t="s">
        <v>75</v>
      </c>
      <c r="C459" s="59" t="s">
        <v>106</v>
      </c>
      <c r="D459" s="59" t="s">
        <v>77</v>
      </c>
      <c r="E459" s="15" t="s">
        <v>121</v>
      </c>
      <c r="F459" s="16" t="s">
        <v>50</v>
      </c>
      <c r="G459" s="16" t="s">
        <v>51</v>
      </c>
      <c r="H459" s="16" t="s">
        <v>78</v>
      </c>
      <c r="I459" s="16" t="s">
        <v>53</v>
      </c>
      <c r="J459" s="17">
        <v>0.12</v>
      </c>
      <c r="K459" s="17"/>
      <c r="L459" s="17" t="s">
        <v>1137</v>
      </c>
      <c r="M459" s="17" t="s">
        <v>129</v>
      </c>
      <c r="N459" s="17" t="s">
        <v>85</v>
      </c>
      <c r="O459" s="17" t="s">
        <v>86</v>
      </c>
      <c r="P459" s="17"/>
      <c r="Q459" s="17"/>
      <c r="R459" s="17"/>
      <c r="S459" s="17">
        <v>15.465</v>
      </c>
      <c r="T459" s="17">
        <v>15.465</v>
      </c>
      <c r="U459" s="20">
        <f t="shared" si="33"/>
        <v>1</v>
      </c>
      <c r="V459" s="22">
        <f t="shared" si="36"/>
        <v>0</v>
      </c>
      <c r="W459" s="17"/>
      <c r="X459" s="17" t="s">
        <v>56</v>
      </c>
      <c r="Z459" s="17" t="s">
        <v>58</v>
      </c>
      <c r="AA459" s="17" t="s">
        <v>58</v>
      </c>
      <c r="AB459" s="17" t="s">
        <v>57</v>
      </c>
      <c r="AC459" s="17">
        <v>1997</v>
      </c>
      <c r="AD459" s="17"/>
      <c r="AE459" s="17">
        <v>15</v>
      </c>
      <c r="AF459" s="17"/>
      <c r="AG459" s="17">
        <v>1978</v>
      </c>
      <c r="AH459" s="14">
        <f t="shared" si="34"/>
        <v>19</v>
      </c>
      <c r="AI459" s="17">
        <f t="shared" si="35"/>
        <v>20.25</v>
      </c>
      <c r="AJ459" s="17"/>
      <c r="AK459" s="17" t="s">
        <v>56</v>
      </c>
      <c r="AL459" s="16" t="s">
        <v>123</v>
      </c>
      <c r="AM459" s="15">
        <v>2007</v>
      </c>
      <c r="AN459" s="15" t="s">
        <v>72</v>
      </c>
      <c r="AO459" s="15" t="s">
        <v>56</v>
      </c>
      <c r="AP459" s="15"/>
      <c r="AQ459" s="15" t="s">
        <v>56</v>
      </c>
      <c r="AR459" s="15" t="s">
        <v>58</v>
      </c>
      <c r="AS459" s="15" t="s">
        <v>94</v>
      </c>
      <c r="AT459" s="15"/>
      <c r="AU459" s="45"/>
      <c r="AV459" s="15"/>
      <c r="AW459" s="12" t="str">
        <f>B459&amp;C459&amp;L459&amp;M459&amp;O459&amp;U459&amp;AL459&amp;AM459</f>
        <v>United StatesAnacapa Island State Marine Reserve (old)Chromis punctipinnisBlacksmithdensity1Tetreault2007</v>
      </c>
    </row>
    <row r="460" spans="1:49" ht="14.25" customHeight="1" x14ac:dyDescent="0.35">
      <c r="A460" s="12">
        <v>459</v>
      </c>
      <c r="B460" s="15" t="s">
        <v>75</v>
      </c>
      <c r="C460" s="12" t="s">
        <v>949</v>
      </c>
      <c r="D460" s="12" t="s">
        <v>949</v>
      </c>
      <c r="E460" s="15" t="s">
        <v>121</v>
      </c>
      <c r="F460" s="16" t="s">
        <v>50</v>
      </c>
      <c r="G460" s="16" t="s">
        <v>51</v>
      </c>
      <c r="H460" s="16" t="s">
        <v>78</v>
      </c>
      <c r="I460" s="16" t="s">
        <v>53</v>
      </c>
      <c r="J460" s="14">
        <v>0.13</v>
      </c>
      <c r="K460" s="17"/>
      <c r="L460" s="17" t="s">
        <v>1129</v>
      </c>
      <c r="M460" s="17" t="s">
        <v>130</v>
      </c>
      <c r="N460" s="17" t="s">
        <v>85</v>
      </c>
      <c r="O460" s="17" t="s">
        <v>86</v>
      </c>
      <c r="P460" s="17"/>
      <c r="Q460" s="17"/>
      <c r="R460" s="17"/>
      <c r="S460" s="17">
        <v>0.48348999999999998</v>
      </c>
      <c r="T460" s="17">
        <v>6.6948999999999995E-2</v>
      </c>
      <c r="U460" s="19">
        <f t="shared" si="33"/>
        <v>0.13847028894082608</v>
      </c>
      <c r="V460" s="41">
        <f t="shared" si="36"/>
        <v>-86.152971105917402</v>
      </c>
      <c r="W460" s="17"/>
      <c r="X460" s="17" t="s">
        <v>56</v>
      </c>
      <c r="Z460" s="17" t="s">
        <v>58</v>
      </c>
      <c r="AA460" s="17" t="s">
        <v>58</v>
      </c>
      <c r="AB460" s="17" t="s">
        <v>57</v>
      </c>
      <c r="AC460" s="17">
        <v>1997</v>
      </c>
      <c r="AD460" s="17"/>
      <c r="AE460" s="17">
        <v>15</v>
      </c>
      <c r="AF460" s="17"/>
      <c r="AG460" s="14">
        <v>1974</v>
      </c>
      <c r="AH460" s="14">
        <f t="shared" si="34"/>
        <v>23</v>
      </c>
      <c r="AI460" s="17">
        <f t="shared" si="35"/>
        <v>24.25</v>
      </c>
      <c r="AJ460" s="17"/>
      <c r="AK460" s="17" t="s">
        <v>56</v>
      </c>
      <c r="AL460" s="16" t="s">
        <v>123</v>
      </c>
      <c r="AM460" s="15">
        <v>2007</v>
      </c>
      <c r="AN460" s="15" t="s">
        <v>72</v>
      </c>
      <c r="AO460" s="15" t="s">
        <v>56</v>
      </c>
      <c r="AP460" s="15"/>
      <c r="AQ460" s="15" t="s">
        <v>56</v>
      </c>
      <c r="AR460" s="15" t="s">
        <v>58</v>
      </c>
      <c r="AS460" s="15" t="s">
        <v>94</v>
      </c>
      <c r="AT460" s="12"/>
      <c r="AU460" s="45" t="s">
        <v>2590</v>
      </c>
      <c r="AV460" s="15"/>
      <c r="AW460" s="12" t="str">
        <f>B460&amp;C460&amp;L460&amp;M460&amp;O460&amp;U460&amp;AL460&amp;AM460</f>
        <v>United StatesHeisler Park State Marine ReserveEmbiotoca jacksoniBlack surfperchdensity0.138470288940826Tetreault2007</v>
      </c>
    </row>
    <row r="461" spans="1:49" ht="14.25" customHeight="1" x14ac:dyDescent="0.35">
      <c r="A461" s="12">
        <v>460</v>
      </c>
      <c r="B461" s="15" t="s">
        <v>75</v>
      </c>
      <c r="C461" s="50" t="s">
        <v>106</v>
      </c>
      <c r="D461" s="50" t="s">
        <v>77</v>
      </c>
      <c r="E461" s="15" t="s">
        <v>121</v>
      </c>
      <c r="F461" s="16" t="s">
        <v>50</v>
      </c>
      <c r="G461" s="16" t="s">
        <v>51</v>
      </c>
      <c r="H461" s="16" t="s">
        <v>78</v>
      </c>
      <c r="I461" s="16" t="s">
        <v>53</v>
      </c>
      <c r="J461" s="14">
        <v>0.12</v>
      </c>
      <c r="K461" s="17"/>
      <c r="L461" s="17" t="s">
        <v>1129</v>
      </c>
      <c r="M461" s="17" t="s">
        <v>130</v>
      </c>
      <c r="N461" s="17" t="s">
        <v>85</v>
      </c>
      <c r="O461" s="17" t="s">
        <v>86</v>
      </c>
      <c r="P461" s="17"/>
      <c r="Q461" s="17"/>
      <c r="R461" s="17"/>
      <c r="S461" s="17">
        <v>0.11239</v>
      </c>
      <c r="T461" s="17">
        <v>0.14268</v>
      </c>
      <c r="U461" s="19">
        <f t="shared" si="33"/>
        <v>1.2695079633419344</v>
      </c>
      <c r="V461" s="41">
        <f t="shared" si="36"/>
        <v>26.950796334193438</v>
      </c>
      <c r="W461" s="17"/>
      <c r="X461" s="17" t="s">
        <v>56</v>
      </c>
      <c r="Z461" s="17" t="s">
        <v>58</v>
      </c>
      <c r="AA461" s="17" t="s">
        <v>58</v>
      </c>
      <c r="AB461" s="17" t="s">
        <v>57</v>
      </c>
      <c r="AC461" s="17">
        <v>1997</v>
      </c>
      <c r="AD461" s="17"/>
      <c r="AE461" s="17">
        <v>15</v>
      </c>
      <c r="AF461" s="17"/>
      <c r="AG461" s="14">
        <v>1978</v>
      </c>
      <c r="AH461" s="14">
        <f t="shared" si="34"/>
        <v>19</v>
      </c>
      <c r="AI461" s="17">
        <f t="shared" si="35"/>
        <v>20.25</v>
      </c>
      <c r="AJ461" s="17"/>
      <c r="AK461" s="17" t="s">
        <v>56</v>
      </c>
      <c r="AL461" s="16" t="s">
        <v>123</v>
      </c>
      <c r="AM461" s="15">
        <v>2007</v>
      </c>
      <c r="AN461" s="15" t="s">
        <v>72</v>
      </c>
      <c r="AO461" s="15" t="s">
        <v>56</v>
      </c>
      <c r="AP461" s="15"/>
      <c r="AQ461" s="15" t="s">
        <v>56</v>
      </c>
      <c r="AR461" s="15" t="s">
        <v>58</v>
      </c>
      <c r="AS461" s="15" t="s">
        <v>94</v>
      </c>
      <c r="AT461" s="12"/>
      <c r="AU461" s="45"/>
      <c r="AV461" s="15"/>
      <c r="AW461" s="12" t="str">
        <f>B461&amp;C461&amp;L461&amp;M461&amp;O461&amp;U461&amp;AL461&amp;AM461</f>
        <v>United StatesAnacapa Island State Marine Reserve (old)Embiotoca jacksoniBlack surfperchdensity1.26950796334193Tetreault2007</v>
      </c>
    </row>
    <row r="462" spans="1:49" ht="14.25" customHeight="1" x14ac:dyDescent="0.35">
      <c r="A462" s="12">
        <v>461</v>
      </c>
      <c r="B462" s="15" t="s">
        <v>75</v>
      </c>
      <c r="C462" s="44" t="s">
        <v>583</v>
      </c>
      <c r="D462" s="12" t="s">
        <v>584</v>
      </c>
      <c r="E462" s="15" t="s">
        <v>121</v>
      </c>
      <c r="F462" s="16" t="s">
        <v>50</v>
      </c>
      <c r="G462" s="16" t="s">
        <v>51</v>
      </c>
      <c r="H462" s="16" t="s">
        <v>78</v>
      </c>
      <c r="I462" s="16" t="s">
        <v>53</v>
      </c>
      <c r="J462" s="14">
        <f>(0.13+0.18)/2</f>
        <v>0.155</v>
      </c>
      <c r="K462" s="17"/>
      <c r="L462" s="17" t="s">
        <v>1134</v>
      </c>
      <c r="M462" s="17" t="s">
        <v>131</v>
      </c>
      <c r="N462" s="17" t="s">
        <v>85</v>
      </c>
      <c r="O462" s="17" t="s">
        <v>86</v>
      </c>
      <c r="P462" s="17"/>
      <c r="Q462" s="17"/>
      <c r="R462" s="17"/>
      <c r="S462" s="17">
        <v>0.49742999999999998</v>
      </c>
      <c r="T462" s="17">
        <v>0.61860000000000004</v>
      </c>
      <c r="U462" s="20">
        <f t="shared" si="33"/>
        <v>1.2435920632048731</v>
      </c>
      <c r="V462" s="22">
        <f t="shared" si="36"/>
        <v>24.359206320487313</v>
      </c>
      <c r="W462" s="17"/>
      <c r="X462" s="17" t="s">
        <v>56</v>
      </c>
      <c r="Z462" s="17" t="s">
        <v>58</v>
      </c>
      <c r="AA462" s="17" t="s">
        <v>58</v>
      </c>
      <c r="AB462" s="17" t="s">
        <v>57</v>
      </c>
      <c r="AC462" s="17">
        <v>1997</v>
      </c>
      <c r="AD462" s="17"/>
      <c r="AE462" s="17">
        <v>15</v>
      </c>
      <c r="AF462" s="17"/>
      <c r="AG462" s="14">
        <v>1988</v>
      </c>
      <c r="AH462" s="14">
        <f t="shared" si="34"/>
        <v>9</v>
      </c>
      <c r="AI462" s="17">
        <f t="shared" si="35"/>
        <v>10.25</v>
      </c>
      <c r="AJ462" s="17"/>
      <c r="AK462" s="17" t="s">
        <v>56</v>
      </c>
      <c r="AL462" s="16" t="s">
        <v>123</v>
      </c>
      <c r="AM462" s="15">
        <v>2007</v>
      </c>
      <c r="AN462" s="15" t="s">
        <v>72</v>
      </c>
      <c r="AO462" s="15" t="s">
        <v>56</v>
      </c>
      <c r="AP462" s="15"/>
      <c r="AQ462" s="15" t="s">
        <v>56</v>
      </c>
      <c r="AR462" s="15" t="s">
        <v>58</v>
      </c>
      <c r="AS462" s="15" t="s">
        <v>94</v>
      </c>
      <c r="AT462" s="15"/>
      <c r="AU462" s="45" t="s">
        <v>2651</v>
      </c>
      <c r="AV462" s="15"/>
      <c r="AW462" s="12" t="str">
        <f>B462&amp;C462&amp;L462&amp;M462&amp;O462&amp;U462&amp;AL462&amp;AM462</f>
        <v>United StatesCatalina Marine Science Center Marine Life RefugeGirella nigricansOpaleyedensity1.24359206320487Tetreault2007</v>
      </c>
    </row>
    <row r="463" spans="1:49" ht="14.25" customHeight="1" x14ac:dyDescent="0.35">
      <c r="A463" s="12">
        <v>462</v>
      </c>
      <c r="B463" s="15" t="s">
        <v>75</v>
      </c>
      <c r="C463" s="12" t="s">
        <v>949</v>
      </c>
      <c r="D463" s="12" t="s">
        <v>949</v>
      </c>
      <c r="E463" s="15" t="s">
        <v>121</v>
      </c>
      <c r="F463" s="16" t="s">
        <v>50</v>
      </c>
      <c r="G463" s="16" t="s">
        <v>51</v>
      </c>
      <c r="H463" s="16" t="s">
        <v>78</v>
      </c>
      <c r="I463" s="16" t="s">
        <v>53</v>
      </c>
      <c r="J463" s="14">
        <v>0.13</v>
      </c>
      <c r="K463" s="17"/>
      <c r="L463" s="17" t="s">
        <v>1134</v>
      </c>
      <c r="M463" s="17" t="s">
        <v>131</v>
      </c>
      <c r="N463" s="17" t="s">
        <v>85</v>
      </c>
      <c r="O463" s="17" t="s">
        <v>86</v>
      </c>
      <c r="P463" s="17"/>
      <c r="Q463" s="17"/>
      <c r="R463" s="17"/>
      <c r="S463" s="17">
        <v>0.19449</v>
      </c>
      <c r="T463" s="17">
        <v>7.3311000000000001E-2</v>
      </c>
      <c r="U463" s="20">
        <f t="shared" si="33"/>
        <v>0.37693968841585684</v>
      </c>
      <c r="V463" s="22">
        <f t="shared" si="36"/>
        <v>-62.306031158414314</v>
      </c>
      <c r="W463" s="17"/>
      <c r="X463" s="17" t="s">
        <v>56</v>
      </c>
      <c r="Z463" s="17" t="s">
        <v>58</v>
      </c>
      <c r="AA463" s="17" t="s">
        <v>58</v>
      </c>
      <c r="AB463" s="17" t="s">
        <v>57</v>
      </c>
      <c r="AC463" s="17">
        <v>1997</v>
      </c>
      <c r="AD463" s="17"/>
      <c r="AE463" s="17">
        <v>15</v>
      </c>
      <c r="AF463" s="17"/>
      <c r="AG463" s="14">
        <v>1974</v>
      </c>
      <c r="AH463" s="14">
        <f t="shared" si="34"/>
        <v>23</v>
      </c>
      <c r="AI463" s="17">
        <f t="shared" si="35"/>
        <v>24.25</v>
      </c>
      <c r="AJ463" s="17"/>
      <c r="AK463" s="17" t="s">
        <v>56</v>
      </c>
      <c r="AL463" s="16" t="s">
        <v>123</v>
      </c>
      <c r="AM463" s="15">
        <v>2007</v>
      </c>
      <c r="AN463" s="15" t="s">
        <v>72</v>
      </c>
      <c r="AO463" s="15" t="s">
        <v>56</v>
      </c>
      <c r="AP463" s="15"/>
      <c r="AQ463" s="15" t="s">
        <v>56</v>
      </c>
      <c r="AR463" s="15" t="s">
        <v>58</v>
      </c>
      <c r="AS463" s="15" t="s">
        <v>94</v>
      </c>
      <c r="AT463" s="15"/>
      <c r="AU463" s="45" t="s">
        <v>2590</v>
      </c>
      <c r="AV463" s="15"/>
      <c r="AW463" s="12" t="str">
        <f>B463&amp;C463&amp;L463&amp;M463&amp;O463&amp;U463&amp;AL463&amp;AM463</f>
        <v>United StatesHeisler Park State Marine ReserveGirella nigricansOpaleyedensity0.376939688415857Tetreault2007</v>
      </c>
    </row>
    <row r="464" spans="1:49" ht="14.25" customHeight="1" x14ac:dyDescent="0.35">
      <c r="A464" s="12">
        <v>463</v>
      </c>
      <c r="B464" s="15" t="s">
        <v>75</v>
      </c>
      <c r="C464" s="50" t="s">
        <v>106</v>
      </c>
      <c r="D464" s="50" t="s">
        <v>77</v>
      </c>
      <c r="E464" s="15" t="s">
        <v>121</v>
      </c>
      <c r="F464" s="16" t="s">
        <v>50</v>
      </c>
      <c r="G464" s="16" t="s">
        <v>51</v>
      </c>
      <c r="H464" s="16" t="s">
        <v>78</v>
      </c>
      <c r="I464" s="16" t="s">
        <v>53</v>
      </c>
      <c r="J464" s="14">
        <v>0.12</v>
      </c>
      <c r="K464" s="17"/>
      <c r="L464" s="17" t="s">
        <v>1134</v>
      </c>
      <c r="M464" s="17" t="s">
        <v>131</v>
      </c>
      <c r="N464" s="17" t="s">
        <v>85</v>
      </c>
      <c r="O464" s="17" t="s">
        <v>86</v>
      </c>
      <c r="P464" s="17"/>
      <c r="Q464" s="17"/>
      <c r="R464" s="17"/>
      <c r="S464" s="17">
        <v>0.40654000000000001</v>
      </c>
      <c r="T464" s="17">
        <v>1.2850999999999999</v>
      </c>
      <c r="U464" s="20">
        <f t="shared" si="33"/>
        <v>3.1610665617159439</v>
      </c>
      <c r="V464" s="22">
        <f t="shared" si="36"/>
        <v>216.10665617159438</v>
      </c>
      <c r="W464" s="17"/>
      <c r="X464" s="17" t="s">
        <v>56</v>
      </c>
      <c r="Z464" s="17" t="s">
        <v>58</v>
      </c>
      <c r="AA464" s="17" t="s">
        <v>58</v>
      </c>
      <c r="AB464" s="17" t="s">
        <v>57</v>
      </c>
      <c r="AC464" s="17">
        <v>1997</v>
      </c>
      <c r="AD464" s="17"/>
      <c r="AE464" s="17">
        <v>15</v>
      </c>
      <c r="AF464" s="17"/>
      <c r="AG464" s="14">
        <v>1978</v>
      </c>
      <c r="AH464" s="14">
        <f t="shared" si="34"/>
        <v>19</v>
      </c>
      <c r="AI464" s="17">
        <f t="shared" si="35"/>
        <v>20.25</v>
      </c>
      <c r="AJ464" s="17"/>
      <c r="AK464" s="17" t="s">
        <v>56</v>
      </c>
      <c r="AL464" s="16" t="s">
        <v>123</v>
      </c>
      <c r="AM464" s="15">
        <v>2007</v>
      </c>
      <c r="AN464" s="15" t="s">
        <v>72</v>
      </c>
      <c r="AO464" s="15" t="s">
        <v>56</v>
      </c>
      <c r="AP464" s="15"/>
      <c r="AQ464" s="15" t="s">
        <v>56</v>
      </c>
      <c r="AR464" s="15" t="s">
        <v>58</v>
      </c>
      <c r="AS464" s="15" t="s">
        <v>94</v>
      </c>
      <c r="AT464" s="15"/>
      <c r="AU464" s="45"/>
      <c r="AV464" s="15"/>
      <c r="AW464" s="12" t="str">
        <f>B464&amp;C464&amp;L464&amp;M464&amp;O464&amp;U464&amp;AL464&amp;AM464</f>
        <v>United StatesAnacapa Island State Marine Reserve (old)Girella nigricansOpaleyedensity3.16106656171594Tetreault2007</v>
      </c>
    </row>
    <row r="465" spans="1:49" ht="14.25" customHeight="1" x14ac:dyDescent="0.35">
      <c r="A465" s="12">
        <v>464</v>
      </c>
      <c r="B465" s="15" t="s">
        <v>75</v>
      </c>
      <c r="C465" s="44" t="s">
        <v>583</v>
      </c>
      <c r="D465" s="12" t="s">
        <v>584</v>
      </c>
      <c r="E465" s="15" t="s">
        <v>121</v>
      </c>
      <c r="F465" s="16" t="s">
        <v>50</v>
      </c>
      <c r="G465" s="16" t="s">
        <v>51</v>
      </c>
      <c r="H465" s="16" t="s">
        <v>78</v>
      </c>
      <c r="I465" s="16" t="s">
        <v>53</v>
      </c>
      <c r="J465" s="14">
        <f>(0.13+0.18)/2</f>
        <v>0.155</v>
      </c>
      <c r="K465" s="17"/>
      <c r="L465" s="17" t="s">
        <v>2792</v>
      </c>
      <c r="M465" s="17" t="s">
        <v>132</v>
      </c>
      <c r="N465" s="17" t="s">
        <v>85</v>
      </c>
      <c r="O465" s="17" t="s">
        <v>86</v>
      </c>
      <c r="P465" s="17"/>
      <c r="Q465" s="17"/>
      <c r="R465" s="17"/>
      <c r="S465" s="17">
        <v>0.20757</v>
      </c>
      <c r="T465" s="17">
        <v>0.36207</v>
      </c>
      <c r="U465" s="19">
        <f t="shared" si="33"/>
        <v>1.7443272149154503</v>
      </c>
      <c r="V465" s="41">
        <f t="shared" si="36"/>
        <v>74.432721491545024</v>
      </c>
      <c r="W465" s="17"/>
      <c r="X465" s="17" t="s">
        <v>56</v>
      </c>
      <c r="Z465" s="17" t="s">
        <v>58</v>
      </c>
      <c r="AA465" s="17" t="s">
        <v>58</v>
      </c>
      <c r="AB465" s="17" t="s">
        <v>57</v>
      </c>
      <c r="AC465" s="17">
        <v>1997</v>
      </c>
      <c r="AD465" s="17"/>
      <c r="AE465" s="17">
        <v>15</v>
      </c>
      <c r="AF465" s="17"/>
      <c r="AG465" s="14">
        <v>1988</v>
      </c>
      <c r="AH465" s="14">
        <f t="shared" si="34"/>
        <v>9</v>
      </c>
      <c r="AI465" s="17">
        <f t="shared" si="35"/>
        <v>10.25</v>
      </c>
      <c r="AJ465" s="17"/>
      <c r="AK465" s="17" t="s">
        <v>56</v>
      </c>
      <c r="AL465" s="16" t="s">
        <v>123</v>
      </c>
      <c r="AM465" s="15">
        <v>2007</v>
      </c>
      <c r="AN465" s="15" t="s">
        <v>72</v>
      </c>
      <c r="AO465" s="15" t="s">
        <v>56</v>
      </c>
      <c r="AP465" s="15"/>
      <c r="AQ465" s="15" t="s">
        <v>56</v>
      </c>
      <c r="AR465" s="15" t="s">
        <v>58</v>
      </c>
      <c r="AS465" s="15" t="s">
        <v>94</v>
      </c>
      <c r="AT465" s="12"/>
      <c r="AU465" s="45" t="s">
        <v>2651</v>
      </c>
      <c r="AV465" s="15"/>
      <c r="AW465" s="12" t="str">
        <f>B465&amp;C465&amp;L465&amp;M465&amp;O465&amp;U465&amp;AL465&amp;AM465</f>
        <v>United StatesCatalina Marine Science Center Marine Life RefugeMedialuna californiensisHalfmoondensity1.74432721491545Tetreault2007</v>
      </c>
    </row>
    <row r="466" spans="1:49" ht="14.25" customHeight="1" x14ac:dyDescent="0.35">
      <c r="A466" s="12">
        <v>465</v>
      </c>
      <c r="B466" s="15" t="s">
        <v>75</v>
      </c>
      <c r="C466" s="12" t="s">
        <v>949</v>
      </c>
      <c r="D466" s="12" t="s">
        <v>949</v>
      </c>
      <c r="E466" s="15" t="s">
        <v>121</v>
      </c>
      <c r="F466" s="16" t="s">
        <v>50</v>
      </c>
      <c r="G466" s="16" t="s">
        <v>51</v>
      </c>
      <c r="H466" s="16" t="s">
        <v>78</v>
      </c>
      <c r="I466" s="16" t="s">
        <v>53</v>
      </c>
      <c r="J466" s="14">
        <v>0.13</v>
      </c>
      <c r="K466" s="17"/>
      <c r="L466" s="17" t="s">
        <v>2792</v>
      </c>
      <c r="M466" s="17" t="s">
        <v>132</v>
      </c>
      <c r="N466" s="17" t="s">
        <v>85</v>
      </c>
      <c r="O466" s="17" t="s">
        <v>86</v>
      </c>
      <c r="P466" s="17"/>
      <c r="Q466" s="17"/>
      <c r="R466" s="17"/>
      <c r="S466" s="17">
        <v>0.51656999999999997</v>
      </c>
      <c r="T466" s="17">
        <v>7.1250999999999995E-2</v>
      </c>
      <c r="U466" s="19">
        <f t="shared" si="33"/>
        <v>0.13793096772944616</v>
      </c>
      <c r="V466" s="41">
        <f t="shared" si="36"/>
        <v>-86.206903227055392</v>
      </c>
      <c r="W466" s="17"/>
      <c r="X466" s="17" t="s">
        <v>56</v>
      </c>
      <c r="Y466" s="12"/>
      <c r="Z466" s="17" t="s">
        <v>58</v>
      </c>
      <c r="AA466" s="17" t="s">
        <v>58</v>
      </c>
      <c r="AB466" s="17" t="s">
        <v>57</v>
      </c>
      <c r="AC466" s="17">
        <v>1997</v>
      </c>
      <c r="AD466" s="17"/>
      <c r="AE466" s="17">
        <v>15</v>
      </c>
      <c r="AF466" s="17"/>
      <c r="AG466" s="14">
        <v>1974</v>
      </c>
      <c r="AH466" s="14">
        <f t="shared" si="34"/>
        <v>23</v>
      </c>
      <c r="AI466" s="17">
        <f t="shared" si="35"/>
        <v>24.25</v>
      </c>
      <c r="AJ466" s="17"/>
      <c r="AK466" s="17" t="s">
        <v>56</v>
      </c>
      <c r="AL466" s="16" t="s">
        <v>123</v>
      </c>
      <c r="AM466" s="15">
        <v>2007</v>
      </c>
      <c r="AN466" s="15" t="s">
        <v>72</v>
      </c>
      <c r="AO466" s="15" t="s">
        <v>56</v>
      </c>
      <c r="AP466" s="15"/>
      <c r="AQ466" s="15" t="s">
        <v>56</v>
      </c>
      <c r="AR466" s="15" t="s">
        <v>58</v>
      </c>
      <c r="AS466" s="15" t="s">
        <v>94</v>
      </c>
      <c r="AT466" s="12"/>
      <c r="AU466" s="45" t="s">
        <v>2590</v>
      </c>
      <c r="AV466" s="15"/>
      <c r="AW466" s="12" t="str">
        <f>B466&amp;C466&amp;L466&amp;M466&amp;O466&amp;U466&amp;AL466&amp;AM466</f>
        <v>United StatesHeisler Park State Marine ReserveMedialuna californiensisHalfmoondensity0.137930967729446Tetreault2007</v>
      </c>
    </row>
    <row r="467" spans="1:49" ht="14.25" customHeight="1" x14ac:dyDescent="0.35">
      <c r="A467" s="12">
        <v>466</v>
      </c>
      <c r="B467" s="15" t="s">
        <v>75</v>
      </c>
      <c r="C467" s="50" t="s">
        <v>106</v>
      </c>
      <c r="D467" s="50" t="s">
        <v>77</v>
      </c>
      <c r="E467" s="15" t="s">
        <v>121</v>
      </c>
      <c r="F467" s="13" t="s">
        <v>50</v>
      </c>
      <c r="G467" s="13" t="s">
        <v>51</v>
      </c>
      <c r="H467" s="16" t="s">
        <v>78</v>
      </c>
      <c r="I467" s="16" t="s">
        <v>53</v>
      </c>
      <c r="J467" s="14">
        <v>0.12</v>
      </c>
      <c r="K467" s="17"/>
      <c r="L467" s="17" t="s">
        <v>2792</v>
      </c>
      <c r="M467" s="17" t="s">
        <v>132</v>
      </c>
      <c r="N467" s="17" t="s">
        <v>85</v>
      </c>
      <c r="O467" s="17" t="s">
        <v>86</v>
      </c>
      <c r="P467" s="17"/>
      <c r="Q467" s="17"/>
      <c r="R467" s="17"/>
      <c r="S467" s="17">
        <v>4.3986999999999998E-2</v>
      </c>
      <c r="T467" s="17">
        <v>0.18031</v>
      </c>
      <c r="U467" s="20">
        <f t="shared" si="33"/>
        <v>4.0991656625821262</v>
      </c>
      <c r="V467" s="22">
        <f t="shared" si="36"/>
        <v>309.91656625821264</v>
      </c>
      <c r="W467" s="17"/>
      <c r="X467" s="17" t="s">
        <v>56</v>
      </c>
      <c r="Z467" s="17" t="s">
        <v>58</v>
      </c>
      <c r="AA467" s="17" t="s">
        <v>58</v>
      </c>
      <c r="AB467" s="17" t="s">
        <v>57</v>
      </c>
      <c r="AC467" s="17">
        <v>1997</v>
      </c>
      <c r="AD467" s="17"/>
      <c r="AE467" s="17">
        <v>15</v>
      </c>
      <c r="AF467" s="17"/>
      <c r="AG467" s="14">
        <v>1978</v>
      </c>
      <c r="AH467" s="14">
        <f t="shared" si="34"/>
        <v>19</v>
      </c>
      <c r="AI467" s="17">
        <f t="shared" si="35"/>
        <v>20.25</v>
      </c>
      <c r="AJ467" s="17"/>
      <c r="AK467" s="17" t="s">
        <v>56</v>
      </c>
      <c r="AL467" s="16" t="s">
        <v>123</v>
      </c>
      <c r="AM467" s="15">
        <v>2007</v>
      </c>
      <c r="AN467" s="15" t="s">
        <v>72</v>
      </c>
      <c r="AO467" s="15" t="s">
        <v>56</v>
      </c>
      <c r="AP467" s="15"/>
      <c r="AQ467" s="15" t="s">
        <v>56</v>
      </c>
      <c r="AR467" s="15" t="s">
        <v>58</v>
      </c>
      <c r="AS467" s="15" t="s">
        <v>94</v>
      </c>
      <c r="AT467" s="15"/>
      <c r="AU467" s="45"/>
      <c r="AV467" s="15"/>
      <c r="AW467" s="12" t="str">
        <f>B467&amp;C467&amp;L467&amp;M467&amp;O467&amp;U467&amp;AL467&amp;AM467</f>
        <v>United StatesAnacapa Island State Marine Reserve (old)Medialuna californiensisHalfmoondensity4.09916566258213Tetreault2007</v>
      </c>
    </row>
    <row r="468" spans="1:49" ht="14.25" customHeight="1" x14ac:dyDescent="0.35">
      <c r="A468" s="12">
        <v>467</v>
      </c>
      <c r="B468" s="12" t="s">
        <v>75</v>
      </c>
      <c r="C468" s="44" t="s">
        <v>583</v>
      </c>
      <c r="D468" s="12" t="s">
        <v>584</v>
      </c>
      <c r="E468" s="12" t="s">
        <v>121</v>
      </c>
      <c r="F468" s="13" t="s">
        <v>50</v>
      </c>
      <c r="G468" s="13" t="s">
        <v>51</v>
      </c>
      <c r="H468" s="13" t="s">
        <v>78</v>
      </c>
      <c r="I468" s="13" t="s">
        <v>53</v>
      </c>
      <c r="J468" s="14">
        <f>(0.13+0.18)/2</f>
        <v>0.155</v>
      </c>
      <c r="K468" s="14"/>
      <c r="L468" s="14" t="s">
        <v>1126</v>
      </c>
      <c r="M468" s="14" t="s">
        <v>133</v>
      </c>
      <c r="N468" s="14" t="s">
        <v>85</v>
      </c>
      <c r="O468" s="17" t="s">
        <v>86</v>
      </c>
      <c r="P468" s="14"/>
      <c r="Q468" s="14"/>
      <c r="R468" s="14"/>
      <c r="S468" s="14">
        <v>5.4135</v>
      </c>
      <c r="T468" s="14">
        <v>3.9177</v>
      </c>
      <c r="U468" s="19">
        <f t="shared" si="33"/>
        <v>0.72369077306733165</v>
      </c>
      <c r="V468" s="41">
        <f t="shared" si="36"/>
        <v>-27.630922693266836</v>
      </c>
      <c r="W468" s="14"/>
      <c r="X468" s="14" t="s">
        <v>56</v>
      </c>
      <c r="Z468" s="14" t="s">
        <v>58</v>
      </c>
      <c r="AA468" s="14" t="s">
        <v>58</v>
      </c>
      <c r="AB468" s="14" t="s">
        <v>57</v>
      </c>
      <c r="AC468" s="14">
        <v>1997</v>
      </c>
      <c r="AD468" s="14"/>
      <c r="AE468" s="14">
        <v>15</v>
      </c>
      <c r="AF468" s="14"/>
      <c r="AG468" s="14">
        <v>1988</v>
      </c>
      <c r="AH468" s="14">
        <f t="shared" si="34"/>
        <v>9</v>
      </c>
      <c r="AI468" s="17">
        <f t="shared" si="35"/>
        <v>10.25</v>
      </c>
      <c r="AJ468" s="14"/>
      <c r="AK468" s="14" t="s">
        <v>56</v>
      </c>
      <c r="AL468" s="13" t="s">
        <v>123</v>
      </c>
      <c r="AM468" s="12">
        <v>2007</v>
      </c>
      <c r="AN468" s="12" t="s">
        <v>72</v>
      </c>
      <c r="AO468" s="12" t="s">
        <v>56</v>
      </c>
      <c r="AP468" s="12"/>
      <c r="AQ468" s="12" t="s">
        <v>56</v>
      </c>
      <c r="AR468" s="12" t="s">
        <v>58</v>
      </c>
      <c r="AS468" s="12" t="s">
        <v>94</v>
      </c>
      <c r="AT468" s="12"/>
      <c r="AU468" s="45" t="s">
        <v>2651</v>
      </c>
      <c r="AV468" s="15"/>
      <c r="AW468" s="12" t="str">
        <f>B468&amp;C468&amp;L468&amp;M468&amp;O468&amp;U468&amp;AL468&amp;AM468</f>
        <v>United StatesCatalina Marine Science Center Marine Life RefugeHalichoeres semicinctusRock wrassedensity0.723690773067332Tetreault2007</v>
      </c>
    </row>
    <row r="469" spans="1:49" ht="14.25" customHeight="1" x14ac:dyDescent="0.35">
      <c r="A469" s="12">
        <v>468</v>
      </c>
      <c r="B469" s="12" t="s">
        <v>75</v>
      </c>
      <c r="C469" s="12" t="s">
        <v>949</v>
      </c>
      <c r="D469" s="12" t="s">
        <v>949</v>
      </c>
      <c r="E469" s="12" t="s">
        <v>121</v>
      </c>
      <c r="F469" s="13" t="s">
        <v>50</v>
      </c>
      <c r="G469" s="13" t="s">
        <v>51</v>
      </c>
      <c r="H469" s="13" t="s">
        <v>78</v>
      </c>
      <c r="I469" s="13" t="s">
        <v>53</v>
      </c>
      <c r="J469" s="14">
        <v>0.13</v>
      </c>
      <c r="K469" s="14"/>
      <c r="L469" s="14" t="s">
        <v>1126</v>
      </c>
      <c r="M469" s="14" t="s">
        <v>133</v>
      </c>
      <c r="N469" s="14" t="s">
        <v>85</v>
      </c>
      <c r="O469" s="17" t="s">
        <v>86</v>
      </c>
      <c r="P469" s="14"/>
      <c r="Q469" s="14"/>
      <c r="R469" s="14"/>
      <c r="S469" s="14">
        <v>2.2618</v>
      </c>
      <c r="T469" s="14">
        <v>2.5287999999999999</v>
      </c>
      <c r="U469" s="19">
        <f t="shared" si="33"/>
        <v>1.1180475727296844</v>
      </c>
      <c r="V469" s="41">
        <f t="shared" si="36"/>
        <v>11.804757272968436</v>
      </c>
      <c r="W469" s="14"/>
      <c r="X469" s="14" t="s">
        <v>56</v>
      </c>
      <c r="Y469" s="12"/>
      <c r="Z469" s="14" t="s">
        <v>58</v>
      </c>
      <c r="AA469" s="14" t="s">
        <v>58</v>
      </c>
      <c r="AB469" s="14" t="s">
        <v>57</v>
      </c>
      <c r="AC469" s="14">
        <v>1997</v>
      </c>
      <c r="AD469" s="14"/>
      <c r="AE469" s="14">
        <v>15</v>
      </c>
      <c r="AF469" s="14"/>
      <c r="AG469" s="14">
        <v>1974</v>
      </c>
      <c r="AH469" s="14">
        <f t="shared" si="34"/>
        <v>23</v>
      </c>
      <c r="AI469" s="17">
        <f t="shared" si="35"/>
        <v>24.25</v>
      </c>
      <c r="AJ469" s="14"/>
      <c r="AK469" s="14" t="s">
        <v>56</v>
      </c>
      <c r="AL469" s="13" t="s">
        <v>123</v>
      </c>
      <c r="AM469" s="12">
        <v>2007</v>
      </c>
      <c r="AN469" s="12" t="s">
        <v>72</v>
      </c>
      <c r="AO469" s="12" t="s">
        <v>56</v>
      </c>
      <c r="AP469" s="12"/>
      <c r="AQ469" s="12" t="s">
        <v>56</v>
      </c>
      <c r="AR469" s="12" t="s">
        <v>58</v>
      </c>
      <c r="AS469" s="12" t="s">
        <v>94</v>
      </c>
      <c r="AT469" s="12"/>
      <c r="AU469" s="45" t="s">
        <v>2590</v>
      </c>
      <c r="AV469" s="15"/>
      <c r="AW469" s="12" t="str">
        <f>B469&amp;C469&amp;L469&amp;M469&amp;O469&amp;U469&amp;AL469&amp;AM469</f>
        <v>United StatesHeisler Park State Marine ReserveHalichoeres semicinctusRock wrassedensity1.11804757272968Tetreault2007</v>
      </c>
    </row>
    <row r="470" spans="1:49" ht="14.25" customHeight="1" x14ac:dyDescent="0.35">
      <c r="A470" s="12">
        <v>469</v>
      </c>
      <c r="B470" s="12" t="s">
        <v>75</v>
      </c>
      <c r="C470" s="50" t="s">
        <v>106</v>
      </c>
      <c r="D470" s="50" t="s">
        <v>77</v>
      </c>
      <c r="E470" s="12" t="s">
        <v>121</v>
      </c>
      <c r="F470" s="13" t="s">
        <v>50</v>
      </c>
      <c r="G470" s="13" t="s">
        <v>51</v>
      </c>
      <c r="H470" s="13" t="s">
        <v>78</v>
      </c>
      <c r="I470" s="13" t="s">
        <v>53</v>
      </c>
      <c r="J470" s="14">
        <v>0.12</v>
      </c>
      <c r="K470" s="17"/>
      <c r="L470" s="14" t="s">
        <v>1126</v>
      </c>
      <c r="M470" s="14" t="s">
        <v>133</v>
      </c>
      <c r="N470" s="14" t="s">
        <v>85</v>
      </c>
      <c r="O470" s="17" t="s">
        <v>86</v>
      </c>
      <c r="P470" s="14"/>
      <c r="Q470" s="14"/>
      <c r="R470" s="14"/>
      <c r="S470" s="14">
        <v>0.60577000000000003</v>
      </c>
      <c r="T470" s="14">
        <v>1.2467999999999999</v>
      </c>
      <c r="U470" s="19">
        <f t="shared" si="33"/>
        <v>2.058206910213447</v>
      </c>
      <c r="V470" s="41">
        <f t="shared" si="36"/>
        <v>105.8206910213447</v>
      </c>
      <c r="W470" s="14"/>
      <c r="X470" s="14" t="s">
        <v>56</v>
      </c>
      <c r="Z470" s="14" t="s">
        <v>58</v>
      </c>
      <c r="AA470" s="14" t="s">
        <v>58</v>
      </c>
      <c r="AB470" s="14" t="s">
        <v>57</v>
      </c>
      <c r="AC470" s="14">
        <v>1997</v>
      </c>
      <c r="AD470" s="14"/>
      <c r="AE470" s="14">
        <v>15</v>
      </c>
      <c r="AF470" s="14"/>
      <c r="AG470" s="14">
        <v>1978</v>
      </c>
      <c r="AH470" s="14">
        <f t="shared" si="34"/>
        <v>19</v>
      </c>
      <c r="AI470" s="17">
        <f t="shared" si="35"/>
        <v>20.25</v>
      </c>
      <c r="AJ470" s="14"/>
      <c r="AK470" s="14" t="s">
        <v>56</v>
      </c>
      <c r="AL470" s="13" t="s">
        <v>123</v>
      </c>
      <c r="AM470" s="12">
        <v>2007</v>
      </c>
      <c r="AN470" s="12" t="s">
        <v>72</v>
      </c>
      <c r="AO470" s="12" t="s">
        <v>56</v>
      </c>
      <c r="AP470" s="12"/>
      <c r="AQ470" s="12" t="s">
        <v>56</v>
      </c>
      <c r="AR470" s="12" t="s">
        <v>58</v>
      </c>
      <c r="AS470" s="12" t="s">
        <v>94</v>
      </c>
      <c r="AT470" s="12"/>
      <c r="AU470" s="45"/>
      <c r="AV470" s="15"/>
      <c r="AW470" s="12" t="str">
        <f>B470&amp;C470&amp;L470&amp;M470&amp;O470&amp;U470&amp;AL470&amp;AM470</f>
        <v>United StatesAnacapa Island State Marine Reserve (old)Halichoeres semicinctusRock wrassedensity2.05820691021345Tetreault2007</v>
      </c>
    </row>
    <row r="471" spans="1:49" ht="14.25" customHeight="1" x14ac:dyDescent="0.35">
      <c r="A471" s="12">
        <v>470</v>
      </c>
      <c r="B471" s="12" t="s">
        <v>75</v>
      </c>
      <c r="C471" s="43" t="s">
        <v>583</v>
      </c>
      <c r="D471" s="15" t="s">
        <v>584</v>
      </c>
      <c r="E471" s="15" t="s">
        <v>121</v>
      </c>
      <c r="F471" s="13" t="s">
        <v>50</v>
      </c>
      <c r="G471" s="13" t="s">
        <v>51</v>
      </c>
      <c r="H471" s="16" t="s">
        <v>78</v>
      </c>
      <c r="I471" s="16" t="s">
        <v>53</v>
      </c>
      <c r="J471" s="17">
        <f>(0.13+0.18)/2</f>
        <v>0.155</v>
      </c>
      <c r="K471" s="17"/>
      <c r="L471" s="14" t="s">
        <v>1136</v>
      </c>
      <c r="M471" s="17" t="s">
        <v>134</v>
      </c>
      <c r="N471" s="17" t="s">
        <v>85</v>
      </c>
      <c r="O471" s="17" t="s">
        <v>86</v>
      </c>
      <c r="P471" s="17"/>
      <c r="Q471" s="17"/>
      <c r="R471" s="17"/>
      <c r="S471" s="17">
        <v>1.6524000000000001</v>
      </c>
      <c r="T471" s="17">
        <v>1.6524000000000001</v>
      </c>
      <c r="U471" s="20">
        <f t="shared" si="33"/>
        <v>1</v>
      </c>
      <c r="V471" s="22">
        <f t="shared" si="36"/>
        <v>0</v>
      </c>
      <c r="W471" s="17"/>
      <c r="X471" s="17" t="s">
        <v>56</v>
      </c>
      <c r="Z471" s="17" t="s">
        <v>58</v>
      </c>
      <c r="AA471" s="17" t="s">
        <v>58</v>
      </c>
      <c r="AB471" s="17" t="s">
        <v>57</v>
      </c>
      <c r="AC471" s="17">
        <v>1997</v>
      </c>
      <c r="AD471" s="17"/>
      <c r="AE471" s="17">
        <v>15</v>
      </c>
      <c r="AF471" s="17"/>
      <c r="AG471" s="17">
        <v>1988</v>
      </c>
      <c r="AH471" s="14">
        <f t="shared" si="34"/>
        <v>9</v>
      </c>
      <c r="AI471" s="17">
        <f t="shared" si="35"/>
        <v>10.25</v>
      </c>
      <c r="AJ471" s="17"/>
      <c r="AK471" s="17" t="s">
        <v>56</v>
      </c>
      <c r="AL471" s="16" t="s">
        <v>123</v>
      </c>
      <c r="AM471" s="15">
        <v>2007</v>
      </c>
      <c r="AN471" s="15" t="s">
        <v>72</v>
      </c>
      <c r="AO471" s="15" t="s">
        <v>56</v>
      </c>
      <c r="AP471" s="15"/>
      <c r="AQ471" s="15" t="s">
        <v>56</v>
      </c>
      <c r="AR471" s="15" t="s">
        <v>58</v>
      </c>
      <c r="AS471" s="15" t="s">
        <v>94</v>
      </c>
      <c r="AT471" s="15"/>
      <c r="AU471" s="45" t="s">
        <v>2651</v>
      </c>
      <c r="AV471" s="15"/>
      <c r="AW471" s="12" t="str">
        <f>B471&amp;C471&amp;L471&amp;M471&amp;O471&amp;U471&amp;AL471&amp;AM471</f>
        <v>United StatesCatalina Marine Science Center Marine Life RefugeHypsypops rubicundusGaribaldidensity1Tetreault2007</v>
      </c>
    </row>
    <row r="472" spans="1:49" ht="14.25" customHeight="1" x14ac:dyDescent="0.35">
      <c r="A472" s="12">
        <v>471</v>
      </c>
      <c r="B472" s="15" t="s">
        <v>75</v>
      </c>
      <c r="C472" s="15" t="s">
        <v>949</v>
      </c>
      <c r="D472" s="12" t="s">
        <v>949</v>
      </c>
      <c r="E472" s="15" t="s">
        <v>121</v>
      </c>
      <c r="F472" s="16" t="s">
        <v>50</v>
      </c>
      <c r="G472" s="16" t="s">
        <v>51</v>
      </c>
      <c r="H472" s="16" t="s">
        <v>78</v>
      </c>
      <c r="I472" s="16" t="s">
        <v>53</v>
      </c>
      <c r="J472" s="17">
        <v>0.13</v>
      </c>
      <c r="K472" s="17"/>
      <c r="L472" s="14" t="s">
        <v>1136</v>
      </c>
      <c r="M472" s="17" t="s">
        <v>134</v>
      </c>
      <c r="N472" s="17" t="s">
        <v>85</v>
      </c>
      <c r="O472" s="17" t="s">
        <v>86</v>
      </c>
      <c r="P472" s="17"/>
      <c r="Q472" s="17"/>
      <c r="R472" s="17"/>
      <c r="S472" s="17">
        <v>2.0781999999999998</v>
      </c>
      <c r="T472" s="17">
        <v>2.3822000000000001</v>
      </c>
      <c r="U472" s="20">
        <f t="shared" si="33"/>
        <v>1.1462804349918201</v>
      </c>
      <c r="V472" s="22">
        <f t="shared" si="36"/>
        <v>14.628043499182009</v>
      </c>
      <c r="W472" s="17"/>
      <c r="X472" s="17" t="s">
        <v>56</v>
      </c>
      <c r="Y472" s="12"/>
      <c r="Z472" s="17" t="s">
        <v>58</v>
      </c>
      <c r="AA472" s="17" t="s">
        <v>58</v>
      </c>
      <c r="AB472" s="17" t="s">
        <v>57</v>
      </c>
      <c r="AC472" s="17">
        <v>1997</v>
      </c>
      <c r="AD472" s="17"/>
      <c r="AE472" s="17">
        <v>15</v>
      </c>
      <c r="AF472" s="17"/>
      <c r="AG472" s="17">
        <v>1974</v>
      </c>
      <c r="AH472" s="14">
        <f t="shared" si="34"/>
        <v>23</v>
      </c>
      <c r="AI472" s="17">
        <f t="shared" si="35"/>
        <v>24.25</v>
      </c>
      <c r="AJ472" s="17"/>
      <c r="AK472" s="17" t="s">
        <v>56</v>
      </c>
      <c r="AL472" s="16" t="s">
        <v>123</v>
      </c>
      <c r="AM472" s="15">
        <v>2007</v>
      </c>
      <c r="AN472" s="15" t="s">
        <v>72</v>
      </c>
      <c r="AO472" s="15" t="s">
        <v>56</v>
      </c>
      <c r="AP472" s="15"/>
      <c r="AQ472" s="15" t="s">
        <v>56</v>
      </c>
      <c r="AR472" s="15" t="s">
        <v>58</v>
      </c>
      <c r="AS472" s="15" t="s">
        <v>94</v>
      </c>
      <c r="AT472" s="15"/>
      <c r="AU472" s="45" t="s">
        <v>2590</v>
      </c>
      <c r="AV472" s="15"/>
      <c r="AW472" s="12" t="str">
        <f>B472&amp;C472&amp;L472&amp;M472&amp;O472&amp;U472&amp;AL472&amp;AM472</f>
        <v>United StatesHeisler Park State Marine ReserveHypsypops rubicundusGaribaldidensity1.14628043499182Tetreault2007</v>
      </c>
    </row>
    <row r="473" spans="1:49" ht="14.25" customHeight="1" x14ac:dyDescent="0.35">
      <c r="A473" s="12">
        <v>472</v>
      </c>
      <c r="B473" s="12" t="s">
        <v>75</v>
      </c>
      <c r="C473" s="59" t="s">
        <v>106</v>
      </c>
      <c r="D473" s="59" t="s">
        <v>77</v>
      </c>
      <c r="E473" s="15" t="s">
        <v>121</v>
      </c>
      <c r="F473" s="16" t="s">
        <v>50</v>
      </c>
      <c r="G473" s="16" t="s">
        <v>51</v>
      </c>
      <c r="H473" s="16" t="s">
        <v>78</v>
      </c>
      <c r="I473" s="16" t="s">
        <v>53</v>
      </c>
      <c r="J473" s="17">
        <v>0.12</v>
      </c>
      <c r="K473" s="17"/>
      <c r="L473" s="17" t="s">
        <v>1136</v>
      </c>
      <c r="M473" s="17" t="s">
        <v>134</v>
      </c>
      <c r="N473" s="17" t="s">
        <v>85</v>
      </c>
      <c r="O473" s="17" t="s">
        <v>86</v>
      </c>
      <c r="P473" s="17"/>
      <c r="Q473" s="17"/>
      <c r="R473" s="17"/>
      <c r="S473" s="17">
        <v>0.46647</v>
      </c>
      <c r="T473" s="17">
        <v>1.6524000000000001</v>
      </c>
      <c r="U473" s="20">
        <f t="shared" si="33"/>
        <v>3.5423499903530775</v>
      </c>
      <c r="V473" s="22">
        <f t="shared" si="36"/>
        <v>254.23499903530774</v>
      </c>
      <c r="W473" s="17"/>
      <c r="X473" s="17" t="s">
        <v>56</v>
      </c>
      <c r="Z473" s="17" t="s">
        <v>58</v>
      </c>
      <c r="AA473" s="17" t="s">
        <v>58</v>
      </c>
      <c r="AB473" s="17" t="s">
        <v>57</v>
      </c>
      <c r="AC473" s="17">
        <v>1997</v>
      </c>
      <c r="AD473" s="17"/>
      <c r="AE473" s="17">
        <v>15</v>
      </c>
      <c r="AF473" s="17"/>
      <c r="AG473" s="17">
        <v>1978</v>
      </c>
      <c r="AH473" s="14">
        <f t="shared" si="34"/>
        <v>19</v>
      </c>
      <c r="AI473" s="17">
        <f t="shared" si="35"/>
        <v>20.25</v>
      </c>
      <c r="AJ473" s="17"/>
      <c r="AK473" s="17" t="s">
        <v>56</v>
      </c>
      <c r="AL473" s="16" t="s">
        <v>123</v>
      </c>
      <c r="AM473" s="15">
        <v>2007</v>
      </c>
      <c r="AN473" s="15" t="s">
        <v>72</v>
      </c>
      <c r="AO473" s="15" t="s">
        <v>56</v>
      </c>
      <c r="AP473" s="15"/>
      <c r="AQ473" s="15" t="s">
        <v>56</v>
      </c>
      <c r="AR473" s="15" t="s">
        <v>58</v>
      </c>
      <c r="AS473" s="15" t="s">
        <v>94</v>
      </c>
      <c r="AT473" s="15"/>
      <c r="AU473" s="45"/>
      <c r="AV473" s="15"/>
      <c r="AW473" s="12" t="str">
        <f>B473&amp;C473&amp;L473&amp;M473&amp;O473&amp;U473&amp;AL473&amp;AM473</f>
        <v>United StatesAnacapa Island State Marine Reserve (old)Hypsypops rubicundusGaribaldidensity3.54234999035308Tetreault2007</v>
      </c>
    </row>
    <row r="474" spans="1:49" ht="14.25" customHeight="1" x14ac:dyDescent="0.35">
      <c r="A474" s="12">
        <v>473</v>
      </c>
      <c r="B474" s="12" t="s">
        <v>75</v>
      </c>
      <c r="C474" s="43" t="s">
        <v>583</v>
      </c>
      <c r="D474" s="15" t="s">
        <v>584</v>
      </c>
      <c r="E474" s="15" t="s">
        <v>121</v>
      </c>
      <c r="F474" s="16" t="s">
        <v>50</v>
      </c>
      <c r="G474" s="16" t="s">
        <v>51</v>
      </c>
      <c r="H474" s="16" t="s">
        <v>78</v>
      </c>
      <c r="I474" s="16" t="s">
        <v>53</v>
      </c>
      <c r="J474" s="17">
        <f>(0.13+0.18)/2</f>
        <v>0.155</v>
      </c>
      <c r="K474" s="17"/>
      <c r="L474" s="17" t="s">
        <v>1127</v>
      </c>
      <c r="M474" s="17" t="s">
        <v>135</v>
      </c>
      <c r="N474" s="17" t="s">
        <v>85</v>
      </c>
      <c r="O474" s="17" t="s">
        <v>86</v>
      </c>
      <c r="P474" s="17"/>
      <c r="Q474" s="17"/>
      <c r="R474" s="17"/>
      <c r="S474" s="17">
        <v>3.0667</v>
      </c>
      <c r="T474" s="17">
        <v>3.6749000000000001</v>
      </c>
      <c r="U474" s="20">
        <f t="shared" si="33"/>
        <v>1.1983239312616167</v>
      </c>
      <c r="V474" s="22">
        <f t="shared" si="36"/>
        <v>19.832393126161673</v>
      </c>
      <c r="W474" s="17"/>
      <c r="X474" s="17" t="s">
        <v>56</v>
      </c>
      <c r="Z474" s="17" t="s">
        <v>58</v>
      </c>
      <c r="AA474" s="17" t="s">
        <v>58</v>
      </c>
      <c r="AB474" s="17" t="s">
        <v>57</v>
      </c>
      <c r="AC474" s="17">
        <v>1997</v>
      </c>
      <c r="AD474" s="17"/>
      <c r="AE474" s="17">
        <v>15</v>
      </c>
      <c r="AF474" s="17"/>
      <c r="AG474" s="17">
        <v>1988</v>
      </c>
      <c r="AH474" s="14">
        <f t="shared" si="34"/>
        <v>9</v>
      </c>
      <c r="AI474" s="17">
        <f t="shared" si="35"/>
        <v>10.25</v>
      </c>
      <c r="AJ474" s="17"/>
      <c r="AK474" s="17" t="s">
        <v>56</v>
      </c>
      <c r="AL474" s="16" t="s">
        <v>123</v>
      </c>
      <c r="AM474" s="15">
        <v>2007</v>
      </c>
      <c r="AN474" s="15" t="s">
        <v>72</v>
      </c>
      <c r="AO474" s="15" t="s">
        <v>56</v>
      </c>
      <c r="AP474" s="15"/>
      <c r="AQ474" s="15" t="s">
        <v>56</v>
      </c>
      <c r="AR474" s="15" t="s">
        <v>58</v>
      </c>
      <c r="AS474" s="15" t="s">
        <v>94</v>
      </c>
      <c r="AT474" s="15"/>
      <c r="AU474" s="45" t="s">
        <v>2651</v>
      </c>
      <c r="AV474" s="15"/>
      <c r="AW474" s="12" t="str">
        <f>B474&amp;C474&amp;L474&amp;M474&amp;O474&amp;U474&amp;AL474&amp;AM474</f>
        <v>United StatesCatalina Marine Science Center Marine Life RefugeOxyjulis californicaSenoritadensity1.19832393126162Tetreault2007</v>
      </c>
    </row>
    <row r="475" spans="1:49" ht="14.25" customHeight="1" x14ac:dyDescent="0.35">
      <c r="A475" s="12">
        <v>474</v>
      </c>
      <c r="B475" s="12" t="s">
        <v>75</v>
      </c>
      <c r="C475" s="15" t="s">
        <v>949</v>
      </c>
      <c r="D475" s="12" t="s">
        <v>949</v>
      </c>
      <c r="E475" s="15" t="s">
        <v>121</v>
      </c>
      <c r="F475" s="16" t="s">
        <v>50</v>
      </c>
      <c r="G475" s="16" t="s">
        <v>51</v>
      </c>
      <c r="H475" s="16" t="s">
        <v>78</v>
      </c>
      <c r="I475" s="16" t="s">
        <v>53</v>
      </c>
      <c r="J475" s="17">
        <v>0.13</v>
      </c>
      <c r="K475" s="17"/>
      <c r="L475" s="17" t="s">
        <v>1127</v>
      </c>
      <c r="M475" s="17" t="s">
        <v>135</v>
      </c>
      <c r="N475" s="17" t="s">
        <v>85</v>
      </c>
      <c r="O475" s="17" t="s">
        <v>86</v>
      </c>
      <c r="P475" s="17"/>
      <c r="Q475" s="17"/>
      <c r="R475" s="17"/>
      <c r="S475" s="17">
        <v>0.71004999999999996</v>
      </c>
      <c r="T475" s="17">
        <v>2.5847999999999999E-2</v>
      </c>
      <c r="U475" s="20">
        <f t="shared" si="33"/>
        <v>3.6403070206323503E-2</v>
      </c>
      <c r="V475" s="22">
        <f t="shared" si="36"/>
        <v>-96.359692979367651</v>
      </c>
      <c r="W475" s="17"/>
      <c r="X475" s="17" t="s">
        <v>56</v>
      </c>
      <c r="Y475" s="12"/>
      <c r="Z475" s="17" t="s">
        <v>58</v>
      </c>
      <c r="AA475" s="17" t="s">
        <v>58</v>
      </c>
      <c r="AB475" s="17" t="s">
        <v>57</v>
      </c>
      <c r="AC475" s="17">
        <v>1997</v>
      </c>
      <c r="AD475" s="17"/>
      <c r="AE475" s="17">
        <v>15</v>
      </c>
      <c r="AF475" s="17"/>
      <c r="AG475" s="17">
        <v>1974</v>
      </c>
      <c r="AH475" s="14">
        <f t="shared" si="34"/>
        <v>23</v>
      </c>
      <c r="AI475" s="17">
        <f t="shared" si="35"/>
        <v>24.25</v>
      </c>
      <c r="AJ475" s="17"/>
      <c r="AK475" s="17" t="s">
        <v>56</v>
      </c>
      <c r="AL475" s="16" t="s">
        <v>123</v>
      </c>
      <c r="AM475" s="15">
        <v>2007</v>
      </c>
      <c r="AN475" s="15" t="s">
        <v>72</v>
      </c>
      <c r="AO475" s="15" t="s">
        <v>56</v>
      </c>
      <c r="AP475" s="15"/>
      <c r="AQ475" s="15" t="s">
        <v>56</v>
      </c>
      <c r="AR475" s="15" t="s">
        <v>58</v>
      </c>
      <c r="AS475" s="15" t="s">
        <v>94</v>
      </c>
      <c r="AT475" s="15"/>
      <c r="AU475" s="45" t="s">
        <v>2590</v>
      </c>
      <c r="AV475" s="15"/>
      <c r="AW475" s="12" t="str">
        <f>B475&amp;C475&amp;L475&amp;M475&amp;O475&amp;U475&amp;AL475&amp;AM475</f>
        <v>United StatesHeisler Park State Marine ReserveOxyjulis californicaSenoritadensity0.0364030702063235Tetreault2007</v>
      </c>
    </row>
    <row r="476" spans="1:49" ht="14.25" customHeight="1" x14ac:dyDescent="0.35">
      <c r="A476" s="12">
        <v>475</v>
      </c>
      <c r="B476" s="15" t="s">
        <v>75</v>
      </c>
      <c r="C476" s="50" t="s">
        <v>106</v>
      </c>
      <c r="D476" s="50" t="s">
        <v>77</v>
      </c>
      <c r="E476" s="15" t="s">
        <v>121</v>
      </c>
      <c r="F476" s="16" t="s">
        <v>50</v>
      </c>
      <c r="G476" s="16" t="s">
        <v>51</v>
      </c>
      <c r="H476" s="16" t="s">
        <v>78</v>
      </c>
      <c r="I476" s="16" t="s">
        <v>53</v>
      </c>
      <c r="J476" s="14">
        <v>0.12</v>
      </c>
      <c r="K476" s="17"/>
      <c r="L476" s="17" t="s">
        <v>1127</v>
      </c>
      <c r="M476" s="17" t="s">
        <v>135</v>
      </c>
      <c r="N476" s="17" t="s">
        <v>85</v>
      </c>
      <c r="O476" s="17" t="s">
        <v>86</v>
      </c>
      <c r="P476" s="17"/>
      <c r="Q476" s="17"/>
      <c r="R476" s="17"/>
      <c r="S476" s="17">
        <v>1.3943000000000001</v>
      </c>
      <c r="T476" s="17">
        <v>1.4702999999999999</v>
      </c>
      <c r="U476" s="20">
        <f t="shared" si="33"/>
        <v>1.0545076382414114</v>
      </c>
      <c r="V476" s="22">
        <f t="shared" si="36"/>
        <v>5.450763824141136</v>
      </c>
      <c r="W476" s="17"/>
      <c r="X476" s="17" t="s">
        <v>56</v>
      </c>
      <c r="Z476" s="17" t="s">
        <v>58</v>
      </c>
      <c r="AA476" s="17" t="s">
        <v>58</v>
      </c>
      <c r="AB476" s="17" t="s">
        <v>57</v>
      </c>
      <c r="AC476" s="17">
        <v>1997</v>
      </c>
      <c r="AD476" s="17"/>
      <c r="AE476" s="17">
        <v>15</v>
      </c>
      <c r="AF476" s="17"/>
      <c r="AG476" s="14">
        <v>1978</v>
      </c>
      <c r="AH476" s="14">
        <f t="shared" si="34"/>
        <v>19</v>
      </c>
      <c r="AI476" s="17">
        <f t="shared" si="35"/>
        <v>20.25</v>
      </c>
      <c r="AJ476" s="17"/>
      <c r="AK476" s="17" t="s">
        <v>56</v>
      </c>
      <c r="AL476" s="16" t="s">
        <v>123</v>
      </c>
      <c r="AM476" s="15">
        <v>2007</v>
      </c>
      <c r="AN476" s="12" t="s">
        <v>72</v>
      </c>
      <c r="AO476" s="15" t="s">
        <v>56</v>
      </c>
      <c r="AP476" s="15"/>
      <c r="AQ476" s="15" t="s">
        <v>56</v>
      </c>
      <c r="AR476" s="15" t="s">
        <v>58</v>
      </c>
      <c r="AS476" s="15" t="s">
        <v>94</v>
      </c>
      <c r="AT476" s="15"/>
      <c r="AU476" s="45"/>
      <c r="AV476" s="15"/>
      <c r="AW476" s="12" t="str">
        <f>B476&amp;C476&amp;L476&amp;M476&amp;O476&amp;U476&amp;AL476&amp;AM476</f>
        <v>United StatesAnacapa Island State Marine Reserve (old)Oxyjulis californicaSenoritadensity1.05450763824141Tetreault2007</v>
      </c>
    </row>
    <row r="477" spans="1:49" ht="14.25" customHeight="1" x14ac:dyDescent="0.35">
      <c r="A477" s="12">
        <v>476</v>
      </c>
      <c r="B477" s="12" t="s">
        <v>75</v>
      </c>
      <c r="C477" s="44" t="s">
        <v>583</v>
      </c>
      <c r="D477" s="12" t="s">
        <v>584</v>
      </c>
      <c r="E477" s="12" t="s">
        <v>121</v>
      </c>
      <c r="F477" s="13" t="s">
        <v>50</v>
      </c>
      <c r="G477" s="13" t="s">
        <v>51</v>
      </c>
      <c r="H477" s="13" t="s">
        <v>78</v>
      </c>
      <c r="I477" s="13" t="s">
        <v>53</v>
      </c>
      <c r="J477" s="14">
        <f>(0.13+0.18)/2</f>
        <v>0.155</v>
      </c>
      <c r="K477" s="14"/>
      <c r="L477" s="14" t="s">
        <v>84</v>
      </c>
      <c r="M477" s="14" t="s">
        <v>122</v>
      </c>
      <c r="N477" s="14" t="s">
        <v>85</v>
      </c>
      <c r="O477" s="17" t="s">
        <v>70</v>
      </c>
      <c r="P477" s="14"/>
      <c r="Q477" s="14"/>
      <c r="R477" s="14"/>
      <c r="S477" s="14">
        <v>220.99</v>
      </c>
      <c r="T477" s="14">
        <v>1060.8</v>
      </c>
      <c r="U477" s="19">
        <f t="shared" si="33"/>
        <v>4.8002172043983888</v>
      </c>
      <c r="V477" s="41">
        <f t="shared" si="36"/>
        <v>380.02172043983887</v>
      </c>
      <c r="W477" s="14"/>
      <c r="X477" s="14" t="s">
        <v>56</v>
      </c>
      <c r="Z477" s="14" t="s">
        <v>58</v>
      </c>
      <c r="AA477" s="14" t="s">
        <v>58</v>
      </c>
      <c r="AB477" s="14" t="s">
        <v>57</v>
      </c>
      <c r="AC477" s="14">
        <v>1997</v>
      </c>
      <c r="AD477" s="14"/>
      <c r="AE477" s="14">
        <v>15</v>
      </c>
      <c r="AF477" s="14"/>
      <c r="AG477" s="14">
        <v>1988</v>
      </c>
      <c r="AH477" s="14">
        <f t="shared" si="34"/>
        <v>9</v>
      </c>
      <c r="AI477" s="17">
        <f t="shared" si="35"/>
        <v>10.25</v>
      </c>
      <c r="AJ477" s="14"/>
      <c r="AK477" s="14" t="s">
        <v>56</v>
      </c>
      <c r="AL477" s="13" t="s">
        <v>123</v>
      </c>
      <c r="AM477" s="12">
        <v>2007</v>
      </c>
      <c r="AN477" s="12" t="s">
        <v>72</v>
      </c>
      <c r="AO477" s="12" t="s">
        <v>56</v>
      </c>
      <c r="AP477" s="12"/>
      <c r="AQ477" s="12" t="s">
        <v>56</v>
      </c>
      <c r="AR477" s="12" t="s">
        <v>58</v>
      </c>
      <c r="AS477" s="12" t="s">
        <v>94</v>
      </c>
      <c r="AT477" s="12"/>
      <c r="AU477" s="45" t="s">
        <v>2651</v>
      </c>
      <c r="AV477" s="15"/>
      <c r="AW477" s="12" t="str">
        <f>B477&amp;C477&amp;L477&amp;M477&amp;O477&amp;U477&amp;AL477&amp;AM477</f>
        <v>United StatesCatalina Marine Science Center Marine Life RefugeParalabrax clathratusKelp bass, all sizesbiomassden4.80021720439839Tetreault2007</v>
      </c>
    </row>
    <row r="478" spans="1:49" ht="14.25" customHeight="1" x14ac:dyDescent="0.35">
      <c r="A478" s="12">
        <v>477</v>
      </c>
      <c r="B478" s="12" t="s">
        <v>75</v>
      </c>
      <c r="C478" s="15" t="s">
        <v>949</v>
      </c>
      <c r="D478" s="12" t="s">
        <v>949</v>
      </c>
      <c r="E478" s="12" t="s">
        <v>121</v>
      </c>
      <c r="F478" s="13" t="s">
        <v>50</v>
      </c>
      <c r="G478" s="13" t="s">
        <v>51</v>
      </c>
      <c r="H478" s="13" t="s">
        <v>78</v>
      </c>
      <c r="I478" s="13" t="s">
        <v>53</v>
      </c>
      <c r="J478" s="14">
        <v>0.13</v>
      </c>
      <c r="K478" s="14"/>
      <c r="L478" s="14" t="s">
        <v>84</v>
      </c>
      <c r="M478" s="14" t="s">
        <v>122</v>
      </c>
      <c r="N478" s="14" t="s">
        <v>85</v>
      </c>
      <c r="O478" s="17" t="s">
        <v>70</v>
      </c>
      <c r="P478" s="14"/>
      <c r="Q478" s="14"/>
      <c r="R478" s="14"/>
      <c r="S478" s="14">
        <v>88.397999999999996</v>
      </c>
      <c r="T478" s="14">
        <v>88.397999999999996</v>
      </c>
      <c r="U478" s="19">
        <f t="shared" si="33"/>
        <v>1</v>
      </c>
      <c r="V478" s="41">
        <f t="shared" si="36"/>
        <v>0</v>
      </c>
      <c r="W478" s="14"/>
      <c r="X478" s="14" t="s">
        <v>56</v>
      </c>
      <c r="Y478" s="12"/>
      <c r="Z478" s="14" t="s">
        <v>58</v>
      </c>
      <c r="AA478" s="14" t="s">
        <v>58</v>
      </c>
      <c r="AB478" s="14" t="s">
        <v>57</v>
      </c>
      <c r="AC478" s="14">
        <v>1997</v>
      </c>
      <c r="AD478" s="14"/>
      <c r="AE478" s="14">
        <v>15</v>
      </c>
      <c r="AF478" s="14"/>
      <c r="AG478" s="14">
        <v>1974</v>
      </c>
      <c r="AH478" s="14">
        <f t="shared" si="34"/>
        <v>23</v>
      </c>
      <c r="AI478" s="17">
        <f t="shared" si="35"/>
        <v>24.25</v>
      </c>
      <c r="AJ478" s="14"/>
      <c r="AK478" s="14" t="s">
        <v>56</v>
      </c>
      <c r="AL478" s="13" t="s">
        <v>123</v>
      </c>
      <c r="AM478" s="12">
        <v>2007</v>
      </c>
      <c r="AN478" s="12" t="s">
        <v>72</v>
      </c>
      <c r="AO478" s="12" t="s">
        <v>56</v>
      </c>
      <c r="AP478" s="12"/>
      <c r="AQ478" s="12" t="s">
        <v>56</v>
      </c>
      <c r="AR478" s="12" t="s">
        <v>58</v>
      </c>
      <c r="AS478" s="12" t="s">
        <v>94</v>
      </c>
      <c r="AT478" s="12"/>
      <c r="AU478" s="45" t="s">
        <v>2590</v>
      </c>
      <c r="AV478" s="15"/>
      <c r="AW478" s="12" t="str">
        <f>B478&amp;C478&amp;L478&amp;M478&amp;O478&amp;U478&amp;AL478&amp;AM478</f>
        <v>United StatesHeisler Park State Marine ReserveParalabrax clathratusKelp bass, all sizesbiomassden1Tetreault2007</v>
      </c>
    </row>
    <row r="479" spans="1:49" ht="14.25" customHeight="1" x14ac:dyDescent="0.35">
      <c r="A479" s="12">
        <v>478</v>
      </c>
      <c r="B479" s="12" t="s">
        <v>75</v>
      </c>
      <c r="C479" s="59" t="s">
        <v>106</v>
      </c>
      <c r="D479" s="59" t="s">
        <v>77</v>
      </c>
      <c r="E479" s="12" t="s">
        <v>121</v>
      </c>
      <c r="F479" s="13" t="s">
        <v>50</v>
      </c>
      <c r="G479" s="13" t="s">
        <v>51</v>
      </c>
      <c r="H479" s="13" t="s">
        <v>78</v>
      </c>
      <c r="I479" s="13" t="s">
        <v>53</v>
      </c>
      <c r="J479" s="14">
        <v>0.12</v>
      </c>
      <c r="K479" s="14"/>
      <c r="L479" s="14" t="s">
        <v>84</v>
      </c>
      <c r="M479" s="14" t="s">
        <v>122</v>
      </c>
      <c r="N479" s="14" t="s">
        <v>85</v>
      </c>
      <c r="O479" s="17" t="s">
        <v>70</v>
      </c>
      <c r="P479" s="14"/>
      <c r="Q479" s="14"/>
      <c r="R479" s="14"/>
      <c r="S479" s="14">
        <v>88.397999999999996</v>
      </c>
      <c r="T479" s="14">
        <v>70.718000000000004</v>
      </c>
      <c r="U479" s="19">
        <f t="shared" si="33"/>
        <v>0.79999547501074697</v>
      </c>
      <c r="V479" s="41">
        <f t="shared" si="36"/>
        <v>-20.000452498925302</v>
      </c>
      <c r="W479" s="14"/>
      <c r="X479" s="14" t="s">
        <v>56</v>
      </c>
      <c r="Z479" s="14" t="s">
        <v>58</v>
      </c>
      <c r="AA479" s="14" t="s">
        <v>58</v>
      </c>
      <c r="AB479" s="14" t="s">
        <v>57</v>
      </c>
      <c r="AC479" s="14">
        <v>1997</v>
      </c>
      <c r="AD479" s="14"/>
      <c r="AE479" s="14">
        <v>15</v>
      </c>
      <c r="AF479" s="14"/>
      <c r="AG479" s="14">
        <v>1978</v>
      </c>
      <c r="AH479" s="14">
        <f t="shared" si="34"/>
        <v>19</v>
      </c>
      <c r="AI479" s="17">
        <f t="shared" si="35"/>
        <v>20.25</v>
      </c>
      <c r="AJ479" s="14"/>
      <c r="AK479" s="14" t="s">
        <v>56</v>
      </c>
      <c r="AL479" s="13" t="s">
        <v>123</v>
      </c>
      <c r="AM479" s="12">
        <v>2007</v>
      </c>
      <c r="AN479" s="12" t="s">
        <v>72</v>
      </c>
      <c r="AO479" s="12" t="s">
        <v>56</v>
      </c>
      <c r="AP479" s="12"/>
      <c r="AQ479" s="12" t="s">
        <v>56</v>
      </c>
      <c r="AR479" s="12" t="s">
        <v>58</v>
      </c>
      <c r="AS479" s="12" t="s">
        <v>94</v>
      </c>
      <c r="AT479" s="12"/>
      <c r="AU479" s="45"/>
      <c r="AV479" s="15"/>
      <c r="AW479" s="12" t="str">
        <f>B479&amp;C479&amp;L479&amp;M479&amp;O479&amp;U479&amp;AL479&amp;AM479</f>
        <v>United StatesAnacapa Island State Marine Reserve (old)Paralabrax clathratusKelp bass, all sizesbiomassden0.799995475010747Tetreault2007</v>
      </c>
    </row>
    <row r="480" spans="1:49" ht="14.25" customHeight="1" x14ac:dyDescent="0.35">
      <c r="A480" s="12">
        <v>479</v>
      </c>
      <c r="B480" s="15" t="s">
        <v>75</v>
      </c>
      <c r="C480" s="15" t="s">
        <v>949</v>
      </c>
      <c r="D480" s="15" t="s">
        <v>949</v>
      </c>
      <c r="E480" s="15" t="s">
        <v>121</v>
      </c>
      <c r="F480" s="16" t="s">
        <v>50</v>
      </c>
      <c r="G480" s="16" t="s">
        <v>51</v>
      </c>
      <c r="H480" s="16" t="s">
        <v>78</v>
      </c>
      <c r="I480" s="16" t="s">
        <v>53</v>
      </c>
      <c r="J480" s="17">
        <v>0.13</v>
      </c>
      <c r="K480" s="17"/>
      <c r="L480" s="17" t="s">
        <v>1140</v>
      </c>
      <c r="M480" s="17" t="s">
        <v>950</v>
      </c>
      <c r="N480" s="17" t="s">
        <v>85</v>
      </c>
      <c r="O480" s="17" t="s">
        <v>70</v>
      </c>
      <c r="P480" s="17"/>
      <c r="Q480" s="17"/>
      <c r="R480" s="17"/>
      <c r="S480" s="17">
        <v>99.447999999999993</v>
      </c>
      <c r="T480" s="17">
        <v>52.21</v>
      </c>
      <c r="U480" s="20">
        <f t="shared" si="33"/>
        <v>0.52499798889872096</v>
      </c>
      <c r="V480" s="22">
        <f t="shared" si="36"/>
        <v>-47.500201110127904</v>
      </c>
      <c r="W480" s="17"/>
      <c r="X480" s="17" t="s">
        <v>56</v>
      </c>
      <c r="Y480" s="12"/>
      <c r="Z480" s="17" t="s">
        <v>58</v>
      </c>
      <c r="AA480" s="17" t="s">
        <v>58</v>
      </c>
      <c r="AB480" s="17" t="s">
        <v>57</v>
      </c>
      <c r="AC480" s="17">
        <v>1997</v>
      </c>
      <c r="AD480" s="17"/>
      <c r="AE480" s="17">
        <v>15</v>
      </c>
      <c r="AF480" s="17"/>
      <c r="AG480" s="17">
        <v>1974</v>
      </c>
      <c r="AH480" s="14">
        <f t="shared" si="34"/>
        <v>23</v>
      </c>
      <c r="AI480" s="17">
        <f t="shared" si="35"/>
        <v>24.25</v>
      </c>
      <c r="AJ480" s="17"/>
      <c r="AK480" s="17" t="s">
        <v>56</v>
      </c>
      <c r="AL480" s="16" t="s">
        <v>123</v>
      </c>
      <c r="AM480" s="15">
        <v>2007</v>
      </c>
      <c r="AN480" s="15" t="s">
        <v>72</v>
      </c>
      <c r="AO480" s="15" t="s">
        <v>56</v>
      </c>
      <c r="AP480" s="15"/>
      <c r="AQ480" s="15" t="s">
        <v>56</v>
      </c>
      <c r="AR480" s="15" t="s">
        <v>58</v>
      </c>
      <c r="AS480" s="15" t="s">
        <v>94</v>
      </c>
      <c r="AT480" s="15"/>
      <c r="AU480" s="45" t="s">
        <v>2590</v>
      </c>
      <c r="AV480" s="15"/>
      <c r="AW480" s="12" t="str">
        <f>B480&amp;C480&amp;L480&amp;M480&amp;O480&amp;U480&amp;AL480&amp;AM480</f>
        <v>United StatesHeisler Park State Marine ReserveParalabrax nebuliferBarred sand bass, all sizesbiomassden0.524997988898721Tetreault2007</v>
      </c>
    </row>
    <row r="481" spans="1:49" ht="14.25" customHeight="1" x14ac:dyDescent="0.35">
      <c r="A481" s="12">
        <v>480</v>
      </c>
      <c r="B481" s="12" t="s">
        <v>75</v>
      </c>
      <c r="C481" s="43" t="s">
        <v>583</v>
      </c>
      <c r="D481" s="15" t="s">
        <v>584</v>
      </c>
      <c r="E481" s="12" t="s">
        <v>121</v>
      </c>
      <c r="F481" s="13" t="s">
        <v>50</v>
      </c>
      <c r="G481" s="13" t="s">
        <v>51</v>
      </c>
      <c r="H481" s="13" t="s">
        <v>78</v>
      </c>
      <c r="I481" s="13" t="s">
        <v>53</v>
      </c>
      <c r="J481" s="14">
        <f>(0.13+0.18)/2</f>
        <v>0.155</v>
      </c>
      <c r="K481" s="14"/>
      <c r="L481" s="14" t="s">
        <v>115</v>
      </c>
      <c r="M481" s="14" t="s">
        <v>124</v>
      </c>
      <c r="N481" s="14" t="s">
        <v>85</v>
      </c>
      <c r="O481" s="17" t="s">
        <v>70</v>
      </c>
      <c r="P481" s="14"/>
      <c r="Q481" s="14"/>
      <c r="R481" s="14"/>
      <c r="S481" s="14">
        <v>74.176000000000002</v>
      </c>
      <c r="T481" s="14">
        <v>315.93</v>
      </c>
      <c r="U481" s="19">
        <f t="shared" si="33"/>
        <v>4.2591943485763588</v>
      </c>
      <c r="V481" s="41">
        <f t="shared" si="36"/>
        <v>325.91943485763591</v>
      </c>
      <c r="W481" s="14"/>
      <c r="X481" s="14" t="s">
        <v>56</v>
      </c>
      <c r="Z481" s="14" t="s">
        <v>58</v>
      </c>
      <c r="AA481" s="14" t="s">
        <v>58</v>
      </c>
      <c r="AB481" s="14" t="s">
        <v>57</v>
      </c>
      <c r="AC481" s="14">
        <v>1997</v>
      </c>
      <c r="AD481" s="14"/>
      <c r="AE481" s="14">
        <v>15</v>
      </c>
      <c r="AF481" s="14"/>
      <c r="AG481" s="14">
        <v>1988</v>
      </c>
      <c r="AH481" s="14">
        <f t="shared" si="34"/>
        <v>9</v>
      </c>
      <c r="AI481" s="17">
        <f t="shared" si="35"/>
        <v>10.25</v>
      </c>
      <c r="AJ481" s="14"/>
      <c r="AK481" s="14" t="s">
        <v>56</v>
      </c>
      <c r="AL481" s="13" t="s">
        <v>123</v>
      </c>
      <c r="AM481" s="12">
        <v>2007</v>
      </c>
      <c r="AN481" s="12" t="s">
        <v>72</v>
      </c>
      <c r="AO481" s="12" t="s">
        <v>56</v>
      </c>
      <c r="AP481" s="12"/>
      <c r="AQ481" s="12" t="s">
        <v>56</v>
      </c>
      <c r="AR481" s="12" t="s">
        <v>58</v>
      </c>
      <c r="AS481" s="12" t="s">
        <v>94</v>
      </c>
      <c r="AT481" s="12"/>
      <c r="AU481" s="45" t="s">
        <v>2651</v>
      </c>
      <c r="AV481" s="15"/>
      <c r="AW481" s="12" t="str">
        <f>B481&amp;C481&amp;L481&amp;M481&amp;O481&amp;U481&amp;AL481&amp;AM481</f>
        <v>United StatesCatalina Marine Science Center Marine Life RefugeSemicossyphus pulcherCalifornia sheephead, all sizes, femalebiomassden4.25919434857636Tetreault2007</v>
      </c>
    </row>
    <row r="482" spans="1:49" ht="14.25" customHeight="1" x14ac:dyDescent="0.35">
      <c r="A482" s="12">
        <v>481</v>
      </c>
      <c r="B482" s="15" t="s">
        <v>75</v>
      </c>
      <c r="C482" s="15" t="s">
        <v>949</v>
      </c>
      <c r="D482" s="12" t="s">
        <v>949</v>
      </c>
      <c r="E482" s="15" t="s">
        <v>121</v>
      </c>
      <c r="F482" s="16" t="s">
        <v>50</v>
      </c>
      <c r="G482" s="16" t="s">
        <v>51</v>
      </c>
      <c r="H482" s="16" t="s">
        <v>78</v>
      </c>
      <c r="I482" s="16" t="s">
        <v>53</v>
      </c>
      <c r="J482" s="17">
        <v>0.13</v>
      </c>
      <c r="K482" s="17"/>
      <c r="L482" s="17" t="s">
        <v>115</v>
      </c>
      <c r="M482" s="17" t="s">
        <v>124</v>
      </c>
      <c r="N482" s="17" t="s">
        <v>85</v>
      </c>
      <c r="O482" s="17" t="s">
        <v>70</v>
      </c>
      <c r="P482" s="17"/>
      <c r="Q482" s="17"/>
      <c r="R482" s="17"/>
      <c r="S482" s="17">
        <v>57.692</v>
      </c>
      <c r="T482" s="17">
        <v>30.22</v>
      </c>
      <c r="U482" s="20">
        <f t="shared" si="33"/>
        <v>0.5238161270193441</v>
      </c>
      <c r="V482" s="22">
        <f t="shared" si="36"/>
        <v>-47.618387298065592</v>
      </c>
      <c r="W482" s="17"/>
      <c r="X482" s="17" t="s">
        <v>56</v>
      </c>
      <c r="Y482" s="12"/>
      <c r="Z482" s="17" t="s">
        <v>58</v>
      </c>
      <c r="AA482" s="17" t="s">
        <v>58</v>
      </c>
      <c r="AB482" s="17" t="s">
        <v>57</v>
      </c>
      <c r="AC482" s="17">
        <v>1997</v>
      </c>
      <c r="AD482" s="17"/>
      <c r="AE482" s="17">
        <v>15</v>
      </c>
      <c r="AF482" s="17"/>
      <c r="AG482" s="17">
        <v>1974</v>
      </c>
      <c r="AH482" s="14">
        <f t="shared" si="34"/>
        <v>23</v>
      </c>
      <c r="AI482" s="17">
        <f t="shared" si="35"/>
        <v>24.25</v>
      </c>
      <c r="AJ482" s="17"/>
      <c r="AK482" s="17" t="s">
        <v>56</v>
      </c>
      <c r="AL482" s="16" t="s">
        <v>123</v>
      </c>
      <c r="AM482" s="15">
        <v>2007</v>
      </c>
      <c r="AN482" s="15" t="s">
        <v>72</v>
      </c>
      <c r="AO482" s="15" t="s">
        <v>56</v>
      </c>
      <c r="AP482" s="15"/>
      <c r="AQ482" s="15" t="s">
        <v>56</v>
      </c>
      <c r="AR482" s="15" t="s">
        <v>58</v>
      </c>
      <c r="AS482" s="15" t="s">
        <v>94</v>
      </c>
      <c r="AT482" s="15"/>
      <c r="AU482" s="45" t="s">
        <v>2590</v>
      </c>
      <c r="AV482" s="15"/>
      <c r="AW482" s="12" t="str">
        <f>B482&amp;C482&amp;L482&amp;M482&amp;O482&amp;U482&amp;AL482&amp;AM482</f>
        <v>United StatesHeisler Park State Marine ReserveSemicossyphus pulcherCalifornia sheephead, all sizes, femalebiomassden0.523816127019344Tetreault2007</v>
      </c>
    </row>
    <row r="483" spans="1:49" ht="14.25" customHeight="1" x14ac:dyDescent="0.35">
      <c r="A483" s="12">
        <v>482</v>
      </c>
      <c r="B483" s="15" t="s">
        <v>75</v>
      </c>
      <c r="C483" s="59" t="s">
        <v>106</v>
      </c>
      <c r="D483" s="50" t="s">
        <v>77</v>
      </c>
      <c r="E483" s="15" t="s">
        <v>121</v>
      </c>
      <c r="F483" s="13" t="s">
        <v>50</v>
      </c>
      <c r="G483" s="13" t="s">
        <v>51</v>
      </c>
      <c r="H483" s="16" t="s">
        <v>78</v>
      </c>
      <c r="I483" s="16" t="s">
        <v>53</v>
      </c>
      <c r="J483" s="14">
        <v>0.12</v>
      </c>
      <c r="K483" s="17"/>
      <c r="L483" s="17" t="s">
        <v>115</v>
      </c>
      <c r="M483" s="17" t="s">
        <v>124</v>
      </c>
      <c r="N483" s="17" t="s">
        <v>85</v>
      </c>
      <c r="O483" s="17" t="s">
        <v>70</v>
      </c>
      <c r="P483" s="17"/>
      <c r="Q483" s="17"/>
      <c r="R483" s="17"/>
      <c r="S483" s="17">
        <v>19.231000000000002</v>
      </c>
      <c r="T483" s="17">
        <v>250</v>
      </c>
      <c r="U483" s="20">
        <f t="shared" si="33"/>
        <v>12.999844001871976</v>
      </c>
      <c r="V483" s="22">
        <f t="shared" si="36"/>
        <v>1199.9844001871975</v>
      </c>
      <c r="W483" s="17"/>
      <c r="X483" s="17" t="s">
        <v>56</v>
      </c>
      <c r="Z483" s="17" t="s">
        <v>58</v>
      </c>
      <c r="AA483" s="17" t="s">
        <v>58</v>
      </c>
      <c r="AB483" s="17" t="s">
        <v>57</v>
      </c>
      <c r="AC483" s="17">
        <v>1997</v>
      </c>
      <c r="AD483" s="17"/>
      <c r="AE483" s="17">
        <v>15</v>
      </c>
      <c r="AF483" s="17"/>
      <c r="AG483" s="14">
        <v>1978</v>
      </c>
      <c r="AH483" s="14">
        <f t="shared" si="34"/>
        <v>19</v>
      </c>
      <c r="AI483" s="17">
        <f t="shared" si="35"/>
        <v>20.25</v>
      </c>
      <c r="AJ483" s="17"/>
      <c r="AK483" s="17" t="s">
        <v>56</v>
      </c>
      <c r="AL483" s="16" t="s">
        <v>123</v>
      </c>
      <c r="AM483" s="15">
        <v>2007</v>
      </c>
      <c r="AN483" s="12" t="s">
        <v>72</v>
      </c>
      <c r="AO483" s="15" t="s">
        <v>56</v>
      </c>
      <c r="AP483" s="15"/>
      <c r="AQ483" s="15" t="s">
        <v>56</v>
      </c>
      <c r="AR483" s="15" t="s">
        <v>58</v>
      </c>
      <c r="AS483" s="15" t="s">
        <v>94</v>
      </c>
      <c r="AT483" s="15"/>
      <c r="AU483" s="45"/>
      <c r="AV483" s="15"/>
      <c r="AW483" s="12" t="str">
        <f>B483&amp;C483&amp;L483&amp;M483&amp;O483&amp;U483&amp;AL483&amp;AM483</f>
        <v>United StatesAnacapa Island State Marine Reserve (old)Semicossyphus pulcherCalifornia sheephead, all sizes, femalebiomassden12.999844001872Tetreault2007</v>
      </c>
    </row>
    <row r="484" spans="1:49" ht="14.25" customHeight="1" x14ac:dyDescent="0.35">
      <c r="A484" s="12">
        <v>483</v>
      </c>
      <c r="B484" s="15" t="s">
        <v>75</v>
      </c>
      <c r="C484" s="59" t="s">
        <v>106</v>
      </c>
      <c r="D484" s="59" t="s">
        <v>77</v>
      </c>
      <c r="E484" s="15" t="s">
        <v>121</v>
      </c>
      <c r="F484" s="16" t="s">
        <v>50</v>
      </c>
      <c r="G484" s="16" t="s">
        <v>51</v>
      </c>
      <c r="H484" s="16" t="s">
        <v>78</v>
      </c>
      <c r="I484" s="16" t="s">
        <v>53</v>
      </c>
      <c r="J484" s="17">
        <v>0.12</v>
      </c>
      <c r="K484" s="17"/>
      <c r="L484" s="17" t="s">
        <v>115</v>
      </c>
      <c r="M484" s="17" t="s">
        <v>125</v>
      </c>
      <c r="N484" s="17" t="s">
        <v>85</v>
      </c>
      <c r="O484" s="17" t="s">
        <v>70</v>
      </c>
      <c r="P484" s="17"/>
      <c r="Q484" s="17"/>
      <c r="R484" s="17"/>
      <c r="S484" s="17">
        <v>52.198</v>
      </c>
      <c r="T484" s="17">
        <v>217.03</v>
      </c>
      <c r="U484" s="20">
        <f t="shared" si="33"/>
        <v>4.157822138779264</v>
      </c>
      <c r="V484" s="22">
        <f t="shared" si="36"/>
        <v>315.78221387792638</v>
      </c>
      <c r="W484" s="17"/>
      <c r="X484" s="17" t="s">
        <v>56</v>
      </c>
      <c r="Z484" s="17" t="s">
        <v>58</v>
      </c>
      <c r="AA484" s="17" t="s">
        <v>58</v>
      </c>
      <c r="AB484" s="17" t="s">
        <v>57</v>
      </c>
      <c r="AC484" s="17">
        <v>1997</v>
      </c>
      <c r="AD484" s="17"/>
      <c r="AE484" s="17">
        <v>15</v>
      </c>
      <c r="AF484" s="17"/>
      <c r="AG484" s="17">
        <v>1978</v>
      </c>
      <c r="AH484" s="14">
        <f t="shared" si="34"/>
        <v>19</v>
      </c>
      <c r="AI484" s="17">
        <f t="shared" si="35"/>
        <v>20.25</v>
      </c>
      <c r="AJ484" s="17"/>
      <c r="AK484" s="17" t="s">
        <v>56</v>
      </c>
      <c r="AL484" s="16" t="s">
        <v>123</v>
      </c>
      <c r="AM484" s="15">
        <v>2007</v>
      </c>
      <c r="AN484" s="15" t="s">
        <v>72</v>
      </c>
      <c r="AO484" s="15" t="s">
        <v>56</v>
      </c>
      <c r="AP484" s="15"/>
      <c r="AQ484" s="15" t="s">
        <v>56</v>
      </c>
      <c r="AR484" s="15" t="s">
        <v>58</v>
      </c>
      <c r="AS484" s="15" t="s">
        <v>94</v>
      </c>
      <c r="AT484" s="15"/>
      <c r="AU484" s="45"/>
      <c r="AV484" s="15"/>
      <c r="AW484" s="12" t="str">
        <f>B484&amp;C484&amp;L484&amp;M484&amp;O484&amp;U484&amp;AL484&amp;AM484</f>
        <v>United StatesAnacapa Island State Marine Reserve (old)Semicossyphus pulcherCalifornia sheephead, all sizes, malebiomassden4.15782213877926Tetreault2007</v>
      </c>
    </row>
    <row r="485" spans="1:49" ht="14.25" customHeight="1" x14ac:dyDescent="0.35">
      <c r="A485" s="12">
        <v>484</v>
      </c>
      <c r="B485" s="12" t="s">
        <v>75</v>
      </c>
      <c r="C485" s="43" t="s">
        <v>583</v>
      </c>
      <c r="D485" s="15" t="s">
        <v>584</v>
      </c>
      <c r="E485" s="12" t="s">
        <v>121</v>
      </c>
      <c r="F485" s="13" t="s">
        <v>50</v>
      </c>
      <c r="G485" s="13" t="s">
        <v>51</v>
      </c>
      <c r="H485" s="13" t="s">
        <v>78</v>
      </c>
      <c r="I485" s="13" t="s">
        <v>53</v>
      </c>
      <c r="J485" s="14">
        <f>(0.13+0.18)/2</f>
        <v>0.155</v>
      </c>
      <c r="K485" s="14"/>
      <c r="L485" s="17" t="s">
        <v>84</v>
      </c>
      <c r="M485" s="14" t="s">
        <v>126</v>
      </c>
      <c r="N485" s="14" t="s">
        <v>85</v>
      </c>
      <c r="O485" s="17" t="s">
        <v>70</v>
      </c>
      <c r="P485" s="14"/>
      <c r="Q485" s="14"/>
      <c r="R485" s="14"/>
      <c r="S485" s="14">
        <v>22.099</v>
      </c>
      <c r="T485" s="14">
        <v>881.52</v>
      </c>
      <c r="U485" s="19">
        <f t="shared" si="33"/>
        <v>39.889587764152225</v>
      </c>
      <c r="V485" s="41">
        <f t="shared" si="36"/>
        <v>3888.9587764152225</v>
      </c>
      <c r="W485" s="14"/>
      <c r="X485" s="14" t="s">
        <v>56</v>
      </c>
      <c r="Z485" s="14" t="s">
        <v>58</v>
      </c>
      <c r="AA485" s="14" t="s">
        <v>58</v>
      </c>
      <c r="AB485" s="14" t="s">
        <v>57</v>
      </c>
      <c r="AC485" s="14">
        <v>1997</v>
      </c>
      <c r="AD485" s="14"/>
      <c r="AE485" s="14">
        <v>15</v>
      </c>
      <c r="AF485" s="14"/>
      <c r="AG485" s="14">
        <v>1988</v>
      </c>
      <c r="AH485" s="14">
        <f t="shared" si="34"/>
        <v>9</v>
      </c>
      <c r="AI485" s="17">
        <f t="shared" si="35"/>
        <v>10.25</v>
      </c>
      <c r="AJ485" s="14"/>
      <c r="AK485" s="14" t="s">
        <v>56</v>
      </c>
      <c r="AL485" s="13" t="s">
        <v>123</v>
      </c>
      <c r="AM485" s="12">
        <v>2007</v>
      </c>
      <c r="AN485" s="12" t="s">
        <v>72</v>
      </c>
      <c r="AO485" s="12" t="s">
        <v>56</v>
      </c>
      <c r="AP485" s="12"/>
      <c r="AQ485" s="12" t="s">
        <v>56</v>
      </c>
      <c r="AR485" s="12" t="s">
        <v>58</v>
      </c>
      <c r="AS485" s="12" t="s">
        <v>94</v>
      </c>
      <c r="AT485" s="12"/>
      <c r="AU485" s="45" t="s">
        <v>2652</v>
      </c>
      <c r="AV485" s="15"/>
      <c r="AW485" s="12" t="str">
        <f>B485&amp;C485&amp;L485&amp;M485&amp;O485&amp;U485&amp;AL485&amp;AM485</f>
        <v>United StatesCatalina Marine Science Center Marine Life RefugeParalabrax clathratusKelp bass, legal sizesbiomassden39.8895877641522Tetreault2007</v>
      </c>
    </row>
    <row r="486" spans="1:49" ht="14.25" customHeight="1" x14ac:dyDescent="0.35">
      <c r="A486" s="12">
        <v>485</v>
      </c>
      <c r="B486" s="12" t="s">
        <v>75</v>
      </c>
      <c r="C486" s="15" t="s">
        <v>949</v>
      </c>
      <c r="D486" s="12" t="s">
        <v>949</v>
      </c>
      <c r="E486" s="12" t="s">
        <v>121</v>
      </c>
      <c r="F486" s="13" t="s">
        <v>50</v>
      </c>
      <c r="G486" s="13" t="s">
        <v>51</v>
      </c>
      <c r="H486" s="13" t="s">
        <v>78</v>
      </c>
      <c r="I486" s="13" t="s">
        <v>53</v>
      </c>
      <c r="J486" s="14">
        <v>0.13</v>
      </c>
      <c r="K486" s="14"/>
      <c r="L486" s="17" t="s">
        <v>84</v>
      </c>
      <c r="M486" s="14" t="s">
        <v>126</v>
      </c>
      <c r="N486" s="14" t="s">
        <v>85</v>
      </c>
      <c r="O486" s="17" t="s">
        <v>70</v>
      </c>
      <c r="P486" s="14"/>
      <c r="Q486" s="14"/>
      <c r="R486" s="14"/>
      <c r="S486" s="14">
        <v>22.099</v>
      </c>
      <c r="T486" s="14">
        <v>52.792999999999999</v>
      </c>
      <c r="U486" s="19">
        <f t="shared" si="33"/>
        <v>2.3889316258654238</v>
      </c>
      <c r="V486" s="41">
        <f t="shared" si="36"/>
        <v>138.89316258654239</v>
      </c>
      <c r="W486" s="14"/>
      <c r="X486" s="14" t="s">
        <v>56</v>
      </c>
      <c r="Y486" s="12"/>
      <c r="Z486" s="14" t="s">
        <v>58</v>
      </c>
      <c r="AA486" s="14" t="s">
        <v>58</v>
      </c>
      <c r="AB486" s="14" t="s">
        <v>57</v>
      </c>
      <c r="AC486" s="14">
        <v>1997</v>
      </c>
      <c r="AD486" s="14"/>
      <c r="AE486" s="14">
        <v>15</v>
      </c>
      <c r="AF486" s="14"/>
      <c r="AG486" s="14">
        <v>1974</v>
      </c>
      <c r="AH486" s="14">
        <f t="shared" si="34"/>
        <v>23</v>
      </c>
      <c r="AI486" s="17">
        <f t="shared" si="35"/>
        <v>24.25</v>
      </c>
      <c r="AJ486" s="14"/>
      <c r="AK486" s="14" t="s">
        <v>56</v>
      </c>
      <c r="AL486" s="13" t="s">
        <v>123</v>
      </c>
      <c r="AM486" s="12">
        <v>2007</v>
      </c>
      <c r="AN486" s="12" t="s">
        <v>72</v>
      </c>
      <c r="AO486" s="12" t="s">
        <v>56</v>
      </c>
      <c r="AP486" s="12"/>
      <c r="AQ486" s="12" t="s">
        <v>56</v>
      </c>
      <c r="AR486" s="12" t="s">
        <v>58</v>
      </c>
      <c r="AS486" s="12" t="s">
        <v>94</v>
      </c>
      <c r="AT486" s="12"/>
      <c r="AU486" s="45" t="s">
        <v>2591</v>
      </c>
      <c r="AV486" s="15"/>
      <c r="AW486" s="12" t="str">
        <f>B486&amp;C486&amp;L486&amp;M486&amp;O486&amp;U486&amp;AL486&amp;AM486</f>
        <v>United StatesHeisler Park State Marine ReserveParalabrax clathratusKelp bass, legal sizesbiomassden2.38893162586542Tetreault2007</v>
      </c>
    </row>
    <row r="487" spans="1:49" ht="14.25" customHeight="1" x14ac:dyDescent="0.35">
      <c r="A487" s="12">
        <v>486</v>
      </c>
      <c r="B487" s="15" t="s">
        <v>75</v>
      </c>
      <c r="C487" s="59" t="s">
        <v>106</v>
      </c>
      <c r="D487" s="59" t="s">
        <v>77</v>
      </c>
      <c r="E487" s="15" t="s">
        <v>121</v>
      </c>
      <c r="F487" s="13" t="s">
        <v>50</v>
      </c>
      <c r="G487" s="13" t="s">
        <v>51</v>
      </c>
      <c r="H487" s="16" t="s">
        <v>78</v>
      </c>
      <c r="I487" s="16" t="s">
        <v>53</v>
      </c>
      <c r="J487" s="14">
        <v>0.12</v>
      </c>
      <c r="K487" s="17"/>
      <c r="L487" s="14" t="s">
        <v>84</v>
      </c>
      <c r="M487" s="17" t="s">
        <v>126</v>
      </c>
      <c r="N487" s="17" t="s">
        <v>85</v>
      </c>
      <c r="O487" s="17" t="s">
        <v>70</v>
      </c>
      <c r="P487" s="17"/>
      <c r="Q487" s="17"/>
      <c r="R487" s="17"/>
      <c r="S487" s="17">
        <v>22.099</v>
      </c>
      <c r="T487" s="17">
        <v>635.97</v>
      </c>
      <c r="U487" s="20">
        <f t="shared" si="33"/>
        <v>28.778225259061497</v>
      </c>
      <c r="V487" s="22">
        <f t="shared" si="36"/>
        <v>2777.8225259061496</v>
      </c>
      <c r="W487" s="17"/>
      <c r="X487" s="17" t="s">
        <v>56</v>
      </c>
      <c r="Z487" s="17" t="s">
        <v>58</v>
      </c>
      <c r="AA487" s="17" t="s">
        <v>58</v>
      </c>
      <c r="AB487" s="17" t="s">
        <v>57</v>
      </c>
      <c r="AC487" s="17">
        <v>1997</v>
      </c>
      <c r="AD487" s="17"/>
      <c r="AE487" s="17">
        <v>15</v>
      </c>
      <c r="AF487" s="17"/>
      <c r="AG487" s="14">
        <v>1978</v>
      </c>
      <c r="AH487" s="14">
        <f t="shared" si="34"/>
        <v>19</v>
      </c>
      <c r="AI487" s="17">
        <f t="shared" si="35"/>
        <v>20.25</v>
      </c>
      <c r="AJ487" s="17"/>
      <c r="AK487" s="17" t="s">
        <v>56</v>
      </c>
      <c r="AL487" s="16" t="s">
        <v>123</v>
      </c>
      <c r="AM487" s="15">
        <v>2007</v>
      </c>
      <c r="AN487" s="12" t="s">
        <v>72</v>
      </c>
      <c r="AO487" s="15" t="s">
        <v>56</v>
      </c>
      <c r="AP487" s="15"/>
      <c r="AQ487" s="15" t="s">
        <v>56</v>
      </c>
      <c r="AR487" s="15" t="s">
        <v>58</v>
      </c>
      <c r="AS487" s="15" t="s">
        <v>94</v>
      </c>
      <c r="AT487" s="15"/>
      <c r="AU487" s="45" t="s">
        <v>127</v>
      </c>
      <c r="AV487" s="15"/>
      <c r="AW487" s="12" t="str">
        <f>B487&amp;C487&amp;L487&amp;M487&amp;O487&amp;U487&amp;AL487&amp;AM487</f>
        <v>United StatesAnacapa Island State Marine Reserve (old)Paralabrax clathratusKelp bass, legal sizesbiomassden28.7782252590615Tetreault2007</v>
      </c>
    </row>
    <row r="488" spans="1:49" ht="14.25" customHeight="1" x14ac:dyDescent="0.35">
      <c r="A488" s="12">
        <v>487</v>
      </c>
      <c r="B488" s="12" t="s">
        <v>75</v>
      </c>
      <c r="C488" s="15" t="s">
        <v>949</v>
      </c>
      <c r="D488" s="15" t="s">
        <v>949</v>
      </c>
      <c r="E488" s="12" t="s">
        <v>121</v>
      </c>
      <c r="F488" s="13" t="s">
        <v>50</v>
      </c>
      <c r="G488" s="13" t="s">
        <v>51</v>
      </c>
      <c r="H488" s="13" t="s">
        <v>78</v>
      </c>
      <c r="I488" s="13" t="s">
        <v>53</v>
      </c>
      <c r="J488" s="14">
        <v>0.13</v>
      </c>
      <c r="K488" s="14"/>
      <c r="L488" s="17" t="s">
        <v>1140</v>
      </c>
      <c r="M488" s="14" t="s">
        <v>951</v>
      </c>
      <c r="N488" s="14" t="s">
        <v>85</v>
      </c>
      <c r="O488" s="17" t="s">
        <v>70</v>
      </c>
      <c r="P488" s="14"/>
      <c r="Q488" s="14"/>
      <c r="R488" s="14"/>
      <c r="S488" s="14">
        <v>49.723999999999997</v>
      </c>
      <c r="T488" s="14">
        <v>397.79</v>
      </c>
      <c r="U488" s="19">
        <f t="shared" si="33"/>
        <v>7.9999597779744196</v>
      </c>
      <c r="V488" s="41">
        <f t="shared" si="36"/>
        <v>699.99597779744192</v>
      </c>
      <c r="W488" s="14"/>
      <c r="X488" s="14" t="s">
        <v>56</v>
      </c>
      <c r="Y488" s="12"/>
      <c r="Z488" s="14" t="s">
        <v>58</v>
      </c>
      <c r="AA488" s="14" t="s">
        <v>58</v>
      </c>
      <c r="AB488" s="14" t="s">
        <v>57</v>
      </c>
      <c r="AC488" s="14">
        <v>1997</v>
      </c>
      <c r="AD488" s="14"/>
      <c r="AE488" s="14">
        <v>15</v>
      </c>
      <c r="AF488" s="14"/>
      <c r="AG488" s="14">
        <v>1974</v>
      </c>
      <c r="AH488" s="14">
        <f t="shared" si="34"/>
        <v>23</v>
      </c>
      <c r="AI488" s="17">
        <f t="shared" si="35"/>
        <v>24.25</v>
      </c>
      <c r="AJ488" s="14"/>
      <c r="AK488" s="14" t="s">
        <v>56</v>
      </c>
      <c r="AL488" s="13" t="s">
        <v>123</v>
      </c>
      <c r="AM488" s="12">
        <v>2007</v>
      </c>
      <c r="AN488" s="12" t="s">
        <v>72</v>
      </c>
      <c r="AO488" s="12" t="s">
        <v>56</v>
      </c>
      <c r="AP488" s="12"/>
      <c r="AQ488" s="12" t="s">
        <v>56</v>
      </c>
      <c r="AR488" s="12" t="s">
        <v>58</v>
      </c>
      <c r="AS488" s="12" t="s">
        <v>94</v>
      </c>
      <c r="AT488" s="12"/>
      <c r="AU488" s="45" t="s">
        <v>2591</v>
      </c>
      <c r="AV488" s="15"/>
      <c r="AW488" s="12" t="str">
        <f>B488&amp;C488&amp;L488&amp;M488&amp;O488&amp;U488&amp;AL488&amp;AM488</f>
        <v>United StatesHeisler Park State Marine ReserveParalabrax nebuliferBarred sand bass, legal sizesbiomassden7.99995977797442Tetreault2007</v>
      </c>
    </row>
    <row r="489" spans="1:49" ht="14.25" customHeight="1" x14ac:dyDescent="0.35">
      <c r="A489" s="12">
        <v>488</v>
      </c>
      <c r="B489" s="12" t="s">
        <v>75</v>
      </c>
      <c r="C489" s="15" t="s">
        <v>949</v>
      </c>
      <c r="D489" s="15" t="s">
        <v>949</v>
      </c>
      <c r="E489" s="12" t="s">
        <v>121</v>
      </c>
      <c r="F489" s="13" t="s">
        <v>50</v>
      </c>
      <c r="G489" s="13" t="s">
        <v>51</v>
      </c>
      <c r="H489" s="13" t="s">
        <v>78</v>
      </c>
      <c r="I489" s="13" t="s">
        <v>53</v>
      </c>
      <c r="J489" s="14">
        <v>0.13</v>
      </c>
      <c r="K489" s="14"/>
      <c r="L489" s="17" t="s">
        <v>115</v>
      </c>
      <c r="M489" s="14" t="s">
        <v>952</v>
      </c>
      <c r="N489" s="14" t="s">
        <v>85</v>
      </c>
      <c r="O489" s="17" t="s">
        <v>70</v>
      </c>
      <c r="P489" s="14"/>
      <c r="Q489" s="14"/>
      <c r="R489" s="14"/>
      <c r="S489" s="14">
        <v>30.22</v>
      </c>
      <c r="T489" s="14">
        <v>13.736000000000001</v>
      </c>
      <c r="U489" s="19">
        <f t="shared" si="33"/>
        <v>0.45453342157511584</v>
      </c>
      <c r="V489" s="41">
        <f t="shared" si="36"/>
        <v>-54.546657842488422</v>
      </c>
      <c r="W489" s="14"/>
      <c r="X489" s="14" t="s">
        <v>56</v>
      </c>
      <c r="Y489" s="12"/>
      <c r="Z489" s="14" t="s">
        <v>58</v>
      </c>
      <c r="AA489" s="14" t="s">
        <v>58</v>
      </c>
      <c r="AB489" s="14" t="s">
        <v>57</v>
      </c>
      <c r="AC489" s="14">
        <v>1997</v>
      </c>
      <c r="AD489" s="14"/>
      <c r="AE489" s="14">
        <v>15</v>
      </c>
      <c r="AF489" s="14"/>
      <c r="AG489" s="14">
        <v>1974</v>
      </c>
      <c r="AH489" s="14">
        <f t="shared" si="34"/>
        <v>23</v>
      </c>
      <c r="AI489" s="17">
        <f t="shared" si="35"/>
        <v>24.25</v>
      </c>
      <c r="AJ489" s="14"/>
      <c r="AK489" s="14" t="s">
        <v>56</v>
      </c>
      <c r="AL489" s="13" t="s">
        <v>123</v>
      </c>
      <c r="AM489" s="12">
        <v>2007</v>
      </c>
      <c r="AN489" s="12" t="s">
        <v>72</v>
      </c>
      <c r="AO489" s="12" t="s">
        <v>56</v>
      </c>
      <c r="AP489" s="12"/>
      <c r="AQ489" s="12" t="s">
        <v>56</v>
      </c>
      <c r="AR489" s="12" t="s">
        <v>58</v>
      </c>
      <c r="AS489" s="12" t="s">
        <v>94</v>
      </c>
      <c r="AT489" s="12"/>
      <c r="AU489" s="45" t="s">
        <v>2591</v>
      </c>
      <c r="AV489" s="15"/>
      <c r="AW489" s="12" t="str">
        <f>B489&amp;C489&amp;L489&amp;M489&amp;O489&amp;U489&amp;AL489&amp;AM489</f>
        <v>United StatesHeisler Park State Marine ReserveSemicossyphus pulcherCalifornia sheephead, legal sizes, femalebiomassden0.454533421575116Tetreault2007</v>
      </c>
    </row>
    <row r="490" spans="1:49" ht="14.25" customHeight="1" x14ac:dyDescent="0.35">
      <c r="A490" s="12">
        <v>489</v>
      </c>
      <c r="B490" s="12" t="s">
        <v>75</v>
      </c>
      <c r="C490" s="43" t="s">
        <v>583</v>
      </c>
      <c r="D490" s="15" t="s">
        <v>584</v>
      </c>
      <c r="E490" s="12" t="s">
        <v>121</v>
      </c>
      <c r="F490" s="13" t="s">
        <v>50</v>
      </c>
      <c r="G490" s="13" t="s">
        <v>51</v>
      </c>
      <c r="H490" s="13" t="s">
        <v>78</v>
      </c>
      <c r="I490" s="13" t="s">
        <v>53</v>
      </c>
      <c r="J490" s="14">
        <f>(0.13+0.18)/2</f>
        <v>0.155</v>
      </c>
      <c r="K490" s="14"/>
      <c r="L490" s="17" t="s">
        <v>1137</v>
      </c>
      <c r="M490" s="14" t="s">
        <v>129</v>
      </c>
      <c r="N490" s="14" t="s">
        <v>85</v>
      </c>
      <c r="O490" s="17" t="s">
        <v>70</v>
      </c>
      <c r="P490" s="14"/>
      <c r="Q490" s="14"/>
      <c r="R490" s="14"/>
      <c r="S490" s="14">
        <v>67.256</v>
      </c>
      <c r="T490" s="14">
        <v>67.256</v>
      </c>
      <c r="U490" s="19">
        <f t="shared" si="33"/>
        <v>1</v>
      </c>
      <c r="V490" s="41">
        <f t="shared" si="36"/>
        <v>0</v>
      </c>
      <c r="W490" s="14"/>
      <c r="X490" s="14" t="s">
        <v>56</v>
      </c>
      <c r="Z490" s="14" t="s">
        <v>58</v>
      </c>
      <c r="AA490" s="14" t="s">
        <v>58</v>
      </c>
      <c r="AB490" s="14" t="s">
        <v>57</v>
      </c>
      <c r="AC490" s="14">
        <v>1997</v>
      </c>
      <c r="AD490" s="14"/>
      <c r="AE490" s="14">
        <v>15</v>
      </c>
      <c r="AF490" s="14"/>
      <c r="AG490" s="14">
        <v>1988</v>
      </c>
      <c r="AH490" s="14">
        <f t="shared" si="34"/>
        <v>9</v>
      </c>
      <c r="AI490" s="17">
        <f t="shared" si="35"/>
        <v>10.25</v>
      </c>
      <c r="AJ490" s="14"/>
      <c r="AK490" s="14" t="s">
        <v>56</v>
      </c>
      <c r="AL490" s="13" t="s">
        <v>123</v>
      </c>
      <c r="AM490" s="12">
        <v>2007</v>
      </c>
      <c r="AN490" s="12" t="s">
        <v>72</v>
      </c>
      <c r="AO490" s="12" t="s">
        <v>56</v>
      </c>
      <c r="AP490" s="12"/>
      <c r="AQ490" s="12" t="s">
        <v>56</v>
      </c>
      <c r="AR490" s="12" t="s">
        <v>58</v>
      </c>
      <c r="AS490" s="12" t="s">
        <v>94</v>
      </c>
      <c r="AT490" s="12"/>
      <c r="AU490" s="45" t="s">
        <v>2651</v>
      </c>
      <c r="AV490" s="15"/>
      <c r="AW490" s="12" t="str">
        <f>B490&amp;C490&amp;L490&amp;M490&amp;O490&amp;U490&amp;AL490&amp;AM490</f>
        <v>United StatesCatalina Marine Science Center Marine Life RefugeChromis punctipinnisBlacksmithbiomassden1Tetreault2007</v>
      </c>
    </row>
    <row r="491" spans="1:49" ht="14.25" customHeight="1" x14ac:dyDescent="0.35">
      <c r="A491" s="12">
        <v>490</v>
      </c>
      <c r="B491" s="12" t="s">
        <v>75</v>
      </c>
      <c r="C491" s="15" t="s">
        <v>949</v>
      </c>
      <c r="D491" s="12" t="s">
        <v>949</v>
      </c>
      <c r="E491" s="12" t="s">
        <v>121</v>
      </c>
      <c r="F491" s="13" t="s">
        <v>50</v>
      </c>
      <c r="G491" s="13" t="s">
        <v>51</v>
      </c>
      <c r="H491" s="13" t="s">
        <v>78</v>
      </c>
      <c r="I491" s="13" t="s">
        <v>53</v>
      </c>
      <c r="J491" s="14">
        <v>0.13</v>
      </c>
      <c r="K491" s="17"/>
      <c r="L491" s="17" t="s">
        <v>1137</v>
      </c>
      <c r="M491" s="14" t="s">
        <v>129</v>
      </c>
      <c r="N491" s="14" t="s">
        <v>85</v>
      </c>
      <c r="O491" s="17" t="s">
        <v>70</v>
      </c>
      <c r="P491" s="14"/>
      <c r="Q491" s="14"/>
      <c r="R491" s="14"/>
      <c r="S491" s="14">
        <v>39.841999999999999</v>
      </c>
      <c r="T491" s="14">
        <v>26.135000000000002</v>
      </c>
      <c r="U491" s="19">
        <f t="shared" si="33"/>
        <v>0.65596606596054419</v>
      </c>
      <c r="V491" s="41">
        <f t="shared" si="36"/>
        <v>-34.403393403945579</v>
      </c>
      <c r="W491" s="14"/>
      <c r="X491" s="14" t="s">
        <v>56</v>
      </c>
      <c r="Y491" s="12"/>
      <c r="Z491" s="14" t="s">
        <v>58</v>
      </c>
      <c r="AA491" s="14" t="s">
        <v>58</v>
      </c>
      <c r="AB491" s="14" t="s">
        <v>57</v>
      </c>
      <c r="AC491" s="14">
        <v>1997</v>
      </c>
      <c r="AD491" s="14"/>
      <c r="AE491" s="14">
        <v>15</v>
      </c>
      <c r="AF491" s="14"/>
      <c r="AG491" s="14">
        <v>1974</v>
      </c>
      <c r="AH491" s="14">
        <f t="shared" si="34"/>
        <v>23</v>
      </c>
      <c r="AI491" s="17">
        <f t="shared" si="35"/>
        <v>24.25</v>
      </c>
      <c r="AJ491" s="14"/>
      <c r="AK491" s="14" t="s">
        <v>56</v>
      </c>
      <c r="AL491" s="13" t="s">
        <v>123</v>
      </c>
      <c r="AM491" s="12">
        <v>2007</v>
      </c>
      <c r="AN491" s="12" t="s">
        <v>72</v>
      </c>
      <c r="AO491" s="12" t="s">
        <v>56</v>
      </c>
      <c r="AP491" s="12"/>
      <c r="AQ491" s="12" t="s">
        <v>56</v>
      </c>
      <c r="AR491" s="12" t="s">
        <v>58</v>
      </c>
      <c r="AS491" s="12" t="s">
        <v>94</v>
      </c>
      <c r="AT491" s="12"/>
      <c r="AU491" s="45" t="s">
        <v>2590</v>
      </c>
      <c r="AV491" s="15"/>
      <c r="AW491" s="12" t="str">
        <f>B491&amp;C491&amp;L491&amp;M491&amp;O491&amp;U491&amp;AL491&amp;AM491</f>
        <v>United StatesHeisler Park State Marine ReserveChromis punctipinnisBlacksmithbiomassden0.655966065960544Tetreault2007</v>
      </c>
    </row>
    <row r="492" spans="1:49" ht="14.25" customHeight="1" x14ac:dyDescent="0.35">
      <c r="A492" s="12">
        <v>491</v>
      </c>
      <c r="B492" s="15" t="s">
        <v>75</v>
      </c>
      <c r="C492" s="59" t="s">
        <v>106</v>
      </c>
      <c r="D492" s="59" t="s">
        <v>77</v>
      </c>
      <c r="E492" s="15" t="s">
        <v>121</v>
      </c>
      <c r="F492" s="13" t="s">
        <v>50</v>
      </c>
      <c r="G492" s="13" t="s">
        <v>51</v>
      </c>
      <c r="H492" s="16" t="s">
        <v>78</v>
      </c>
      <c r="I492" s="16" t="s">
        <v>53</v>
      </c>
      <c r="J492" s="17">
        <v>0.12</v>
      </c>
      <c r="K492" s="17"/>
      <c r="L492" s="17" t="s">
        <v>1137</v>
      </c>
      <c r="M492" s="17" t="s">
        <v>129</v>
      </c>
      <c r="N492" s="17" t="s">
        <v>85</v>
      </c>
      <c r="O492" s="17" t="s">
        <v>70</v>
      </c>
      <c r="P492" s="17"/>
      <c r="Q492" s="17"/>
      <c r="R492" s="17"/>
      <c r="S492" s="17">
        <v>26.135000000000002</v>
      </c>
      <c r="T492" s="17">
        <v>39.841999999999999</v>
      </c>
      <c r="U492" s="20">
        <f t="shared" si="33"/>
        <v>1.5244691027357948</v>
      </c>
      <c r="V492" s="22">
        <f t="shared" si="36"/>
        <v>52.446910273579483</v>
      </c>
      <c r="W492" s="17"/>
      <c r="X492" s="17" t="s">
        <v>56</v>
      </c>
      <c r="Z492" s="17" t="s">
        <v>58</v>
      </c>
      <c r="AA492" s="17" t="s">
        <v>58</v>
      </c>
      <c r="AB492" s="17" t="s">
        <v>57</v>
      </c>
      <c r="AC492" s="17">
        <v>1997</v>
      </c>
      <c r="AD492" s="17"/>
      <c r="AE492" s="17">
        <v>15</v>
      </c>
      <c r="AF492" s="17"/>
      <c r="AG492" s="17">
        <v>1978</v>
      </c>
      <c r="AH492" s="14">
        <f t="shared" si="34"/>
        <v>19</v>
      </c>
      <c r="AI492" s="17">
        <f t="shared" si="35"/>
        <v>20.25</v>
      </c>
      <c r="AJ492" s="17"/>
      <c r="AK492" s="17" t="s">
        <v>56</v>
      </c>
      <c r="AL492" s="16" t="s">
        <v>123</v>
      </c>
      <c r="AM492" s="15">
        <v>2007</v>
      </c>
      <c r="AN492" s="15" t="s">
        <v>72</v>
      </c>
      <c r="AO492" s="15" t="s">
        <v>56</v>
      </c>
      <c r="AP492" s="15"/>
      <c r="AQ492" s="15" t="s">
        <v>56</v>
      </c>
      <c r="AR492" s="15" t="s">
        <v>58</v>
      </c>
      <c r="AS492" s="15" t="s">
        <v>94</v>
      </c>
      <c r="AT492" s="15"/>
      <c r="AU492" s="45"/>
      <c r="AV492" s="15"/>
      <c r="AW492" s="12" t="str">
        <f>B492&amp;C492&amp;L492&amp;M492&amp;O492&amp;U492&amp;AL492&amp;AM492</f>
        <v>United StatesAnacapa Island State Marine Reserve (old)Chromis punctipinnisBlacksmithbiomassden1.52446910273579Tetreault2007</v>
      </c>
    </row>
    <row r="493" spans="1:49" ht="14.25" customHeight="1" x14ac:dyDescent="0.35">
      <c r="A493" s="12">
        <v>492</v>
      </c>
      <c r="B493" s="12" t="s">
        <v>75</v>
      </c>
      <c r="C493" s="15" t="s">
        <v>949</v>
      </c>
      <c r="D493" s="12" t="s">
        <v>949</v>
      </c>
      <c r="E493" s="12" t="s">
        <v>121</v>
      </c>
      <c r="F493" s="13" t="s">
        <v>50</v>
      </c>
      <c r="G493" s="13" t="s">
        <v>51</v>
      </c>
      <c r="H493" s="13" t="s">
        <v>78</v>
      </c>
      <c r="I493" s="13" t="s">
        <v>53</v>
      </c>
      <c r="J493" s="14">
        <v>0.13</v>
      </c>
      <c r="K493" s="14"/>
      <c r="L493" s="17" t="s">
        <v>1129</v>
      </c>
      <c r="M493" s="14" t="s">
        <v>130</v>
      </c>
      <c r="N493" s="14" t="s">
        <v>85</v>
      </c>
      <c r="O493" s="17" t="s">
        <v>70</v>
      </c>
      <c r="P493" s="14"/>
      <c r="Q493" s="14"/>
      <c r="R493" s="14"/>
      <c r="S493" s="14">
        <v>37.648000000000003</v>
      </c>
      <c r="T493" s="14">
        <v>4.1425999999999998</v>
      </c>
      <c r="U493" s="19">
        <f t="shared" si="33"/>
        <v>0.1100350616234594</v>
      </c>
      <c r="V493" s="41">
        <f t="shared" si="36"/>
        <v>-88.996493837654057</v>
      </c>
      <c r="W493" s="14"/>
      <c r="X493" s="14" t="s">
        <v>56</v>
      </c>
      <c r="Y493" s="12"/>
      <c r="Z493" s="14" t="s">
        <v>58</v>
      </c>
      <c r="AA493" s="14" t="s">
        <v>58</v>
      </c>
      <c r="AB493" s="14" t="s">
        <v>57</v>
      </c>
      <c r="AC493" s="14">
        <v>1997</v>
      </c>
      <c r="AD493" s="14"/>
      <c r="AE493" s="14">
        <v>15</v>
      </c>
      <c r="AF493" s="14"/>
      <c r="AG493" s="14">
        <v>1974</v>
      </c>
      <c r="AH493" s="14">
        <f t="shared" si="34"/>
        <v>23</v>
      </c>
      <c r="AI493" s="17">
        <f t="shared" si="35"/>
        <v>24.25</v>
      </c>
      <c r="AJ493" s="14"/>
      <c r="AK493" s="14" t="s">
        <v>56</v>
      </c>
      <c r="AL493" s="13" t="s">
        <v>123</v>
      </c>
      <c r="AM493" s="12">
        <v>2007</v>
      </c>
      <c r="AN493" s="12" t="s">
        <v>72</v>
      </c>
      <c r="AO493" s="12" t="s">
        <v>56</v>
      </c>
      <c r="AP493" s="12"/>
      <c r="AQ493" s="12" t="s">
        <v>56</v>
      </c>
      <c r="AR493" s="12" t="s">
        <v>58</v>
      </c>
      <c r="AS493" s="12" t="s">
        <v>94</v>
      </c>
      <c r="AT493" s="12"/>
      <c r="AU493" s="45" t="s">
        <v>2590</v>
      </c>
      <c r="AV493" s="15"/>
      <c r="AW493" s="12" t="str">
        <f>B493&amp;C493&amp;L493&amp;M493&amp;O493&amp;U493&amp;AL493&amp;AM493</f>
        <v>United StatesHeisler Park State Marine ReserveEmbiotoca jacksoniBlack surfperchbiomassden0.110035061623459Tetreault2007</v>
      </c>
    </row>
    <row r="494" spans="1:49" ht="14.25" customHeight="1" x14ac:dyDescent="0.35">
      <c r="A494" s="12">
        <v>493</v>
      </c>
      <c r="B494" s="12" t="s">
        <v>75</v>
      </c>
      <c r="C494" s="59" t="s">
        <v>106</v>
      </c>
      <c r="D494" s="59" t="s">
        <v>77</v>
      </c>
      <c r="E494" s="12" t="s">
        <v>121</v>
      </c>
      <c r="F494" s="13" t="s">
        <v>50</v>
      </c>
      <c r="G494" s="13" t="s">
        <v>51</v>
      </c>
      <c r="H494" s="13" t="s">
        <v>78</v>
      </c>
      <c r="I494" s="13" t="s">
        <v>53</v>
      </c>
      <c r="J494" s="14">
        <v>0.12</v>
      </c>
      <c r="K494" s="14"/>
      <c r="L494" s="17" t="s">
        <v>1129</v>
      </c>
      <c r="M494" s="14" t="s">
        <v>130</v>
      </c>
      <c r="N494" s="14" t="s">
        <v>85</v>
      </c>
      <c r="O494" s="14" t="s">
        <v>70</v>
      </c>
      <c r="P494" s="14"/>
      <c r="Q494" s="14"/>
      <c r="R494" s="14"/>
      <c r="S494" s="14">
        <v>26.988</v>
      </c>
      <c r="T494" s="14">
        <v>28.510999999999999</v>
      </c>
      <c r="U494" s="19">
        <f t="shared" si="33"/>
        <v>1.0564324885134133</v>
      </c>
      <c r="V494" s="41">
        <f t="shared" si="36"/>
        <v>5.6432488513413315</v>
      </c>
      <c r="W494" s="14"/>
      <c r="X494" s="14" t="s">
        <v>56</v>
      </c>
      <c r="Z494" s="14" t="s">
        <v>58</v>
      </c>
      <c r="AA494" s="14" t="s">
        <v>58</v>
      </c>
      <c r="AB494" s="14" t="s">
        <v>57</v>
      </c>
      <c r="AC494" s="14">
        <v>1997</v>
      </c>
      <c r="AD494" s="14"/>
      <c r="AE494" s="14">
        <v>15</v>
      </c>
      <c r="AF494" s="14"/>
      <c r="AG494" s="14">
        <v>1978</v>
      </c>
      <c r="AH494" s="14">
        <f t="shared" si="34"/>
        <v>19</v>
      </c>
      <c r="AI494" s="17">
        <f t="shared" si="35"/>
        <v>20.25</v>
      </c>
      <c r="AJ494" s="14"/>
      <c r="AK494" s="14" t="s">
        <v>56</v>
      </c>
      <c r="AL494" s="13" t="s">
        <v>123</v>
      </c>
      <c r="AM494" s="12">
        <v>2007</v>
      </c>
      <c r="AN494" s="12" t="s">
        <v>72</v>
      </c>
      <c r="AO494" s="12" t="s">
        <v>56</v>
      </c>
      <c r="AP494" s="12"/>
      <c r="AQ494" s="12" t="s">
        <v>56</v>
      </c>
      <c r="AR494" s="12" t="s">
        <v>58</v>
      </c>
      <c r="AS494" s="12" t="s">
        <v>94</v>
      </c>
      <c r="AT494" s="12"/>
      <c r="AU494" s="45"/>
      <c r="AV494" s="15"/>
      <c r="AW494" s="12" t="str">
        <f>B494&amp;C494&amp;L494&amp;M494&amp;O494&amp;U494&amp;AL494&amp;AM494</f>
        <v>United StatesAnacapa Island State Marine Reserve (old)Embiotoca jacksoniBlack surfperchbiomassden1.05643248851341Tetreault2007</v>
      </c>
    </row>
    <row r="495" spans="1:49" ht="14.25" customHeight="1" x14ac:dyDescent="0.35">
      <c r="A495" s="12">
        <v>494</v>
      </c>
      <c r="B495" s="12" t="s">
        <v>75</v>
      </c>
      <c r="C495" s="43" t="s">
        <v>583</v>
      </c>
      <c r="D495" s="15" t="s">
        <v>584</v>
      </c>
      <c r="E495" s="12" t="s">
        <v>121</v>
      </c>
      <c r="F495" s="13" t="s">
        <v>50</v>
      </c>
      <c r="G495" s="13" t="s">
        <v>51</v>
      </c>
      <c r="H495" s="13" t="s">
        <v>78</v>
      </c>
      <c r="I495" s="13" t="s">
        <v>53</v>
      </c>
      <c r="J495" s="14">
        <f>(0.13+0.18)/2</f>
        <v>0.155</v>
      </c>
      <c r="K495" s="14"/>
      <c r="L495" s="17" t="s">
        <v>2792</v>
      </c>
      <c r="M495" s="14" t="s">
        <v>132</v>
      </c>
      <c r="N495" s="14" t="s">
        <v>85</v>
      </c>
      <c r="O495" s="17" t="s">
        <v>70</v>
      </c>
      <c r="P495" s="14"/>
      <c r="Q495" s="14"/>
      <c r="R495" s="14"/>
      <c r="S495" s="14">
        <v>25.585999999999999</v>
      </c>
      <c r="T495" s="14">
        <v>155.04</v>
      </c>
      <c r="U495" s="19">
        <f t="shared" si="33"/>
        <v>6.0595638239662319</v>
      </c>
      <c r="V495" s="41">
        <f t="shared" si="36"/>
        <v>505.95638239662321</v>
      </c>
      <c r="W495" s="14"/>
      <c r="X495" s="14" t="s">
        <v>56</v>
      </c>
      <c r="Z495" s="14" t="s">
        <v>58</v>
      </c>
      <c r="AA495" s="14" t="s">
        <v>58</v>
      </c>
      <c r="AB495" s="14" t="s">
        <v>57</v>
      </c>
      <c r="AC495" s="14">
        <v>1997</v>
      </c>
      <c r="AD495" s="14"/>
      <c r="AE495" s="14">
        <v>15</v>
      </c>
      <c r="AF495" s="14"/>
      <c r="AG495" s="14">
        <v>1988</v>
      </c>
      <c r="AH495" s="14">
        <f t="shared" si="34"/>
        <v>9</v>
      </c>
      <c r="AI495" s="17">
        <f t="shared" si="35"/>
        <v>10.25</v>
      </c>
      <c r="AJ495" s="14"/>
      <c r="AK495" s="14" t="s">
        <v>56</v>
      </c>
      <c r="AL495" s="13" t="s">
        <v>123</v>
      </c>
      <c r="AM495" s="12">
        <v>2007</v>
      </c>
      <c r="AN495" s="12" t="s">
        <v>72</v>
      </c>
      <c r="AO495" s="12" t="s">
        <v>56</v>
      </c>
      <c r="AP495" s="12"/>
      <c r="AQ495" s="12" t="s">
        <v>56</v>
      </c>
      <c r="AR495" s="12" t="s">
        <v>58</v>
      </c>
      <c r="AS495" s="12" t="s">
        <v>94</v>
      </c>
      <c r="AT495" s="12"/>
      <c r="AU495" s="45" t="s">
        <v>2651</v>
      </c>
      <c r="AV495" s="15"/>
      <c r="AW495" s="12" t="str">
        <f>B495&amp;C495&amp;L495&amp;M495&amp;O495&amp;U495&amp;AL495&amp;AM495</f>
        <v>United StatesCatalina Marine Science Center Marine Life RefugeMedialuna californiensisHalfmoonbiomassden6.05956382396623Tetreault2007</v>
      </c>
    </row>
    <row r="496" spans="1:49" ht="14.25" customHeight="1" x14ac:dyDescent="0.35">
      <c r="A496" s="12">
        <v>495</v>
      </c>
      <c r="B496" s="15" t="s">
        <v>75</v>
      </c>
      <c r="C496" s="15" t="s">
        <v>949</v>
      </c>
      <c r="D496" s="12" t="s">
        <v>949</v>
      </c>
      <c r="E496" s="15" t="s">
        <v>121</v>
      </c>
      <c r="F496" s="13" t="s">
        <v>50</v>
      </c>
      <c r="G496" s="13" t="s">
        <v>51</v>
      </c>
      <c r="H496" s="16" t="s">
        <v>78</v>
      </c>
      <c r="I496" s="16" t="s">
        <v>53</v>
      </c>
      <c r="J496" s="17">
        <v>0.13</v>
      </c>
      <c r="K496" s="17"/>
      <c r="L496" s="17" t="s">
        <v>2792</v>
      </c>
      <c r="M496" s="17" t="s">
        <v>132</v>
      </c>
      <c r="N496" s="17" t="s">
        <v>85</v>
      </c>
      <c r="O496" s="17" t="s">
        <v>70</v>
      </c>
      <c r="P496" s="17"/>
      <c r="Q496" s="17"/>
      <c r="R496" s="17"/>
      <c r="S496" s="17">
        <v>21.779</v>
      </c>
      <c r="T496" s="17">
        <v>14.164</v>
      </c>
      <c r="U496" s="20">
        <f t="shared" si="33"/>
        <v>0.65035125579686848</v>
      </c>
      <c r="V496" s="41">
        <f t="shared" si="36"/>
        <v>-34.964874420313151</v>
      </c>
      <c r="W496" s="17"/>
      <c r="X496" s="17" t="s">
        <v>56</v>
      </c>
      <c r="Y496" s="12"/>
      <c r="Z496" s="17" t="s">
        <v>58</v>
      </c>
      <c r="AA496" s="17" t="s">
        <v>58</v>
      </c>
      <c r="AB496" s="17" t="s">
        <v>57</v>
      </c>
      <c r="AC496" s="17">
        <v>1997</v>
      </c>
      <c r="AD496" s="17"/>
      <c r="AE496" s="17">
        <v>15</v>
      </c>
      <c r="AF496" s="17"/>
      <c r="AG496" s="17">
        <v>1974</v>
      </c>
      <c r="AH496" s="14">
        <f t="shared" si="34"/>
        <v>23</v>
      </c>
      <c r="AI496" s="17">
        <f t="shared" si="35"/>
        <v>24.25</v>
      </c>
      <c r="AJ496" s="17"/>
      <c r="AK496" s="17" t="s">
        <v>56</v>
      </c>
      <c r="AL496" s="16" t="s">
        <v>123</v>
      </c>
      <c r="AM496" s="15">
        <v>2007</v>
      </c>
      <c r="AN496" s="15" t="s">
        <v>72</v>
      </c>
      <c r="AO496" s="15" t="s">
        <v>56</v>
      </c>
      <c r="AP496" s="15"/>
      <c r="AQ496" s="15" t="s">
        <v>56</v>
      </c>
      <c r="AR496" s="15" t="s">
        <v>58</v>
      </c>
      <c r="AS496" s="15" t="s">
        <v>94</v>
      </c>
      <c r="AT496" s="15"/>
      <c r="AU496" s="45" t="s">
        <v>2590</v>
      </c>
      <c r="AV496" s="15"/>
      <c r="AW496" s="12" t="str">
        <f>B496&amp;C496&amp;L496&amp;M496&amp;O496&amp;U496&amp;AL496&amp;AM496</f>
        <v>United StatesHeisler Park State Marine ReserveMedialuna californiensisHalfmoonbiomassden0.650351255796868Tetreault2007</v>
      </c>
    </row>
    <row r="497" spans="1:49" ht="14.25" customHeight="1" x14ac:dyDescent="0.35">
      <c r="A497" s="12">
        <v>496</v>
      </c>
      <c r="B497" s="15" t="s">
        <v>75</v>
      </c>
      <c r="C497" s="59" t="s">
        <v>106</v>
      </c>
      <c r="D497" s="59" t="s">
        <v>77</v>
      </c>
      <c r="E497" s="15" t="s">
        <v>121</v>
      </c>
      <c r="F497" s="13" t="s">
        <v>50</v>
      </c>
      <c r="G497" s="13" t="s">
        <v>51</v>
      </c>
      <c r="H497" s="16" t="s">
        <v>78</v>
      </c>
      <c r="I497" s="16" t="s">
        <v>53</v>
      </c>
      <c r="J497" s="17">
        <v>0.12</v>
      </c>
      <c r="K497" s="17"/>
      <c r="L497" s="14" t="s">
        <v>2792</v>
      </c>
      <c r="M497" s="17" t="s">
        <v>132</v>
      </c>
      <c r="N497" s="17" t="s">
        <v>85</v>
      </c>
      <c r="O497" s="17" t="s">
        <v>70</v>
      </c>
      <c r="P497" s="17"/>
      <c r="Q497" s="17"/>
      <c r="R497" s="17"/>
      <c r="S497" s="17">
        <v>14.164</v>
      </c>
      <c r="T497" s="17">
        <v>17.971</v>
      </c>
      <c r="U497" s="20">
        <f t="shared" si="33"/>
        <v>1.268780005648122</v>
      </c>
      <c r="V497" s="41">
        <f t="shared" si="36"/>
        <v>26.878000564812197</v>
      </c>
      <c r="W497" s="17"/>
      <c r="X497" s="17" t="s">
        <v>56</v>
      </c>
      <c r="Z497" s="17" t="s">
        <v>58</v>
      </c>
      <c r="AA497" s="17" t="s">
        <v>58</v>
      </c>
      <c r="AB497" s="17" t="s">
        <v>57</v>
      </c>
      <c r="AC497" s="17">
        <v>1997</v>
      </c>
      <c r="AD497" s="17"/>
      <c r="AE497" s="17">
        <v>15</v>
      </c>
      <c r="AF497" s="17"/>
      <c r="AG497" s="17">
        <v>1978</v>
      </c>
      <c r="AH497" s="14">
        <f t="shared" si="34"/>
        <v>19</v>
      </c>
      <c r="AI497" s="17">
        <f t="shared" si="35"/>
        <v>20.25</v>
      </c>
      <c r="AJ497" s="17"/>
      <c r="AK497" s="17" t="s">
        <v>56</v>
      </c>
      <c r="AL497" s="16" t="s">
        <v>123</v>
      </c>
      <c r="AM497" s="15">
        <v>2007</v>
      </c>
      <c r="AN497" s="15" t="s">
        <v>72</v>
      </c>
      <c r="AO497" s="15" t="s">
        <v>56</v>
      </c>
      <c r="AP497" s="15"/>
      <c r="AQ497" s="15" t="s">
        <v>56</v>
      </c>
      <c r="AR497" s="15" t="s">
        <v>58</v>
      </c>
      <c r="AS497" s="15" t="s">
        <v>94</v>
      </c>
      <c r="AT497" s="15"/>
      <c r="AU497" s="45"/>
      <c r="AV497" s="15"/>
      <c r="AW497" s="12" t="str">
        <f>B497&amp;C497&amp;L497&amp;M497&amp;O497&amp;U497&amp;AL497&amp;AM497</f>
        <v>United StatesAnacapa Island State Marine Reserve (old)Medialuna californiensisHalfmoonbiomassden1.26878000564812Tetreault2007</v>
      </c>
    </row>
    <row r="498" spans="1:49" ht="14.25" customHeight="1" x14ac:dyDescent="0.35">
      <c r="A498" s="12">
        <v>497</v>
      </c>
      <c r="B498" s="15" t="s">
        <v>75</v>
      </c>
      <c r="C498" s="43" t="s">
        <v>583</v>
      </c>
      <c r="D498" s="15" t="s">
        <v>584</v>
      </c>
      <c r="E498" s="15" t="s">
        <v>121</v>
      </c>
      <c r="F498" s="13" t="s">
        <v>50</v>
      </c>
      <c r="G498" s="13" t="s">
        <v>51</v>
      </c>
      <c r="H498" s="16" t="s">
        <v>78</v>
      </c>
      <c r="I498" s="16" t="s">
        <v>53</v>
      </c>
      <c r="J498" s="17">
        <f>(0.13+0.18)/2</f>
        <v>0.155</v>
      </c>
      <c r="K498" s="17"/>
      <c r="L498" s="14" t="s">
        <v>1126</v>
      </c>
      <c r="M498" s="17" t="s">
        <v>133</v>
      </c>
      <c r="N498" s="17" t="s">
        <v>85</v>
      </c>
      <c r="O498" s="17" t="s">
        <v>70</v>
      </c>
      <c r="P498" s="17"/>
      <c r="Q498" s="17"/>
      <c r="R498" s="17"/>
      <c r="S498" s="17">
        <v>136.16</v>
      </c>
      <c r="T498" s="17">
        <v>107</v>
      </c>
      <c r="U498" s="20">
        <f t="shared" si="33"/>
        <v>0.78584018801410105</v>
      </c>
      <c r="V498" s="41">
        <f t="shared" si="36"/>
        <v>-21.415981198589897</v>
      </c>
      <c r="W498" s="17"/>
      <c r="X498" s="17" t="s">
        <v>56</v>
      </c>
      <c r="Z498" s="17" t="s">
        <v>58</v>
      </c>
      <c r="AA498" s="17" t="s">
        <v>58</v>
      </c>
      <c r="AB498" s="17" t="s">
        <v>57</v>
      </c>
      <c r="AC498" s="17">
        <v>1997</v>
      </c>
      <c r="AD498" s="17"/>
      <c r="AE498" s="17">
        <v>15</v>
      </c>
      <c r="AF498" s="17"/>
      <c r="AG498" s="17">
        <v>1988</v>
      </c>
      <c r="AH498" s="14">
        <f t="shared" si="34"/>
        <v>9</v>
      </c>
      <c r="AI498" s="17">
        <f t="shared" si="35"/>
        <v>10.25</v>
      </c>
      <c r="AJ498" s="17"/>
      <c r="AK498" s="17" t="s">
        <v>56</v>
      </c>
      <c r="AL498" s="16" t="s">
        <v>123</v>
      </c>
      <c r="AM498" s="15">
        <v>2007</v>
      </c>
      <c r="AN498" s="15" t="s">
        <v>72</v>
      </c>
      <c r="AO498" s="15" t="s">
        <v>56</v>
      </c>
      <c r="AP498" s="15"/>
      <c r="AQ498" s="15" t="s">
        <v>56</v>
      </c>
      <c r="AR498" s="15" t="s">
        <v>58</v>
      </c>
      <c r="AS498" s="15" t="s">
        <v>94</v>
      </c>
      <c r="AT498" s="15"/>
      <c r="AU498" s="45" t="s">
        <v>2651</v>
      </c>
      <c r="AV498" s="15"/>
      <c r="AW498" s="12" t="str">
        <f>B498&amp;C498&amp;L498&amp;M498&amp;O498&amp;U498&amp;AL498&amp;AM498</f>
        <v>United StatesCatalina Marine Science Center Marine Life RefugeHalichoeres semicinctusRock wrassebiomassden0.785840188014101Tetreault2007</v>
      </c>
    </row>
    <row r="499" spans="1:49" ht="14.25" customHeight="1" x14ac:dyDescent="0.35">
      <c r="A499" s="12">
        <v>498</v>
      </c>
      <c r="B499" s="15" t="s">
        <v>75</v>
      </c>
      <c r="C499" s="15" t="s">
        <v>949</v>
      </c>
      <c r="D499" s="12" t="s">
        <v>949</v>
      </c>
      <c r="E499" s="15" t="s">
        <v>121</v>
      </c>
      <c r="F499" s="13" t="s">
        <v>50</v>
      </c>
      <c r="G499" s="13" t="s">
        <v>51</v>
      </c>
      <c r="H499" s="16" t="s">
        <v>78</v>
      </c>
      <c r="I499" s="16" t="s">
        <v>53</v>
      </c>
      <c r="J499" s="17">
        <v>0.13</v>
      </c>
      <c r="K499" s="17"/>
      <c r="L499" s="14" t="s">
        <v>1126</v>
      </c>
      <c r="M499" s="17" t="s">
        <v>133</v>
      </c>
      <c r="N499" s="17" t="s">
        <v>85</v>
      </c>
      <c r="O499" s="17" t="s">
        <v>70</v>
      </c>
      <c r="P499" s="17"/>
      <c r="Q499" s="17"/>
      <c r="R499" s="17"/>
      <c r="S499" s="17">
        <v>88.581999999999994</v>
      </c>
      <c r="T499" s="17">
        <v>123.88</v>
      </c>
      <c r="U499" s="20">
        <f t="shared" si="33"/>
        <v>1.3984782461448151</v>
      </c>
      <c r="V499" s="41">
        <f t="shared" si="36"/>
        <v>39.84782461448151</v>
      </c>
      <c r="W499" s="17"/>
      <c r="X499" s="17" t="s">
        <v>56</v>
      </c>
      <c r="Y499" s="12"/>
      <c r="Z499" s="17" t="s">
        <v>58</v>
      </c>
      <c r="AA499" s="17" t="s">
        <v>58</v>
      </c>
      <c r="AB499" s="17" t="s">
        <v>57</v>
      </c>
      <c r="AC499" s="17">
        <v>1997</v>
      </c>
      <c r="AD499" s="17"/>
      <c r="AE499" s="17">
        <v>15</v>
      </c>
      <c r="AF499" s="17"/>
      <c r="AG499" s="17">
        <v>1974</v>
      </c>
      <c r="AH499" s="14">
        <f t="shared" si="34"/>
        <v>23</v>
      </c>
      <c r="AI499" s="17">
        <f t="shared" si="35"/>
        <v>24.25</v>
      </c>
      <c r="AJ499" s="17"/>
      <c r="AK499" s="17" t="s">
        <v>56</v>
      </c>
      <c r="AL499" s="16" t="s">
        <v>123</v>
      </c>
      <c r="AM499" s="15">
        <v>2007</v>
      </c>
      <c r="AN499" s="15" t="s">
        <v>72</v>
      </c>
      <c r="AO499" s="15" t="s">
        <v>56</v>
      </c>
      <c r="AP499" s="15"/>
      <c r="AQ499" s="15" t="s">
        <v>56</v>
      </c>
      <c r="AR499" s="15" t="s">
        <v>58</v>
      </c>
      <c r="AS499" s="15" t="s">
        <v>94</v>
      </c>
      <c r="AT499" s="15"/>
      <c r="AU499" s="45" t="s">
        <v>2590</v>
      </c>
      <c r="AV499" s="15"/>
      <c r="AW499" s="12" t="str">
        <f>B499&amp;C499&amp;L499&amp;M499&amp;O499&amp;U499&amp;AL499&amp;AM499</f>
        <v>United StatesHeisler Park State Marine ReserveHalichoeres semicinctusRock wrassebiomassden1.39847824614482Tetreault2007</v>
      </c>
    </row>
    <row r="500" spans="1:49" ht="14.25" customHeight="1" x14ac:dyDescent="0.35">
      <c r="A500" s="12">
        <v>499</v>
      </c>
      <c r="B500" s="15" t="s">
        <v>75</v>
      </c>
      <c r="C500" s="59" t="s">
        <v>106</v>
      </c>
      <c r="D500" s="59" t="s">
        <v>77</v>
      </c>
      <c r="E500" s="15" t="s">
        <v>121</v>
      </c>
      <c r="F500" s="13" t="s">
        <v>50</v>
      </c>
      <c r="G500" s="13" t="s">
        <v>51</v>
      </c>
      <c r="H500" s="16" t="s">
        <v>78</v>
      </c>
      <c r="I500" s="16" t="s">
        <v>53</v>
      </c>
      <c r="J500" s="17">
        <v>0.12</v>
      </c>
      <c r="K500" s="17"/>
      <c r="L500" s="14" t="s">
        <v>1126</v>
      </c>
      <c r="M500" s="17" t="s">
        <v>133</v>
      </c>
      <c r="N500" s="17" t="s">
        <v>85</v>
      </c>
      <c r="O500" s="17" t="s">
        <v>70</v>
      </c>
      <c r="P500" s="17"/>
      <c r="Q500" s="17"/>
      <c r="R500" s="17"/>
      <c r="S500" s="17">
        <v>2.6396999999999999</v>
      </c>
      <c r="T500" s="17">
        <v>14.917</v>
      </c>
      <c r="U500" s="20">
        <f t="shared" si="33"/>
        <v>5.651020949350305</v>
      </c>
      <c r="V500" s="41">
        <f t="shared" si="36"/>
        <v>465.10209493503049</v>
      </c>
      <c r="W500" s="17"/>
      <c r="X500" s="17" t="s">
        <v>56</v>
      </c>
      <c r="Z500" s="17" t="s">
        <v>58</v>
      </c>
      <c r="AA500" s="17" t="s">
        <v>58</v>
      </c>
      <c r="AB500" s="17" t="s">
        <v>57</v>
      </c>
      <c r="AC500" s="17">
        <v>1997</v>
      </c>
      <c r="AD500" s="17"/>
      <c r="AE500" s="17">
        <v>15</v>
      </c>
      <c r="AF500" s="17"/>
      <c r="AG500" s="17">
        <v>1978</v>
      </c>
      <c r="AH500" s="14">
        <f t="shared" si="34"/>
        <v>19</v>
      </c>
      <c r="AI500" s="17">
        <f t="shared" si="35"/>
        <v>20.25</v>
      </c>
      <c r="AJ500" s="17"/>
      <c r="AK500" s="17" t="s">
        <v>56</v>
      </c>
      <c r="AL500" s="16" t="s">
        <v>123</v>
      </c>
      <c r="AM500" s="15">
        <v>2007</v>
      </c>
      <c r="AN500" s="15" t="s">
        <v>72</v>
      </c>
      <c r="AO500" s="15" t="s">
        <v>56</v>
      </c>
      <c r="AP500" s="15"/>
      <c r="AQ500" s="15" t="s">
        <v>56</v>
      </c>
      <c r="AR500" s="15" t="s">
        <v>58</v>
      </c>
      <c r="AS500" s="15" t="s">
        <v>94</v>
      </c>
      <c r="AT500" s="15"/>
      <c r="AU500" s="45"/>
      <c r="AV500" s="15"/>
      <c r="AW500" s="12" t="str">
        <f>B500&amp;C500&amp;L500&amp;M500&amp;O500&amp;U500&amp;AL500&amp;AM500</f>
        <v>United StatesAnacapa Island State Marine Reserve (old)Halichoeres semicinctusRock wrassebiomassden5.6510209493503Tetreault2007</v>
      </c>
    </row>
    <row r="501" spans="1:49" ht="14.25" customHeight="1" x14ac:dyDescent="0.35">
      <c r="A501" s="12">
        <v>500</v>
      </c>
      <c r="B501" s="15" t="s">
        <v>75</v>
      </c>
      <c r="C501" s="43" t="s">
        <v>583</v>
      </c>
      <c r="D501" s="15" t="s">
        <v>584</v>
      </c>
      <c r="E501" s="15" t="s">
        <v>121</v>
      </c>
      <c r="F501" s="13" t="s">
        <v>50</v>
      </c>
      <c r="G501" s="13" t="s">
        <v>51</v>
      </c>
      <c r="H501" s="16" t="s">
        <v>78</v>
      </c>
      <c r="I501" s="16" t="s">
        <v>53</v>
      </c>
      <c r="J501" s="17">
        <f>(0.13+0.18)/2</f>
        <v>0.155</v>
      </c>
      <c r="K501" s="17"/>
      <c r="L501" s="14" t="s">
        <v>1136</v>
      </c>
      <c r="M501" s="17" t="s">
        <v>134</v>
      </c>
      <c r="N501" s="17" t="s">
        <v>85</v>
      </c>
      <c r="O501" s="17" t="s">
        <v>70</v>
      </c>
      <c r="P501" s="17"/>
      <c r="Q501" s="17"/>
      <c r="R501" s="17"/>
      <c r="S501" s="17">
        <v>263.12</v>
      </c>
      <c r="T501" s="17">
        <v>268.88</v>
      </c>
      <c r="U501" s="20">
        <f t="shared" si="33"/>
        <v>1.0218911523259349</v>
      </c>
      <c r="V501" s="41">
        <f t="shared" si="36"/>
        <v>2.1891152325934859</v>
      </c>
      <c r="W501" s="17"/>
      <c r="X501" s="17" t="s">
        <v>56</v>
      </c>
      <c r="Z501" s="17" t="s">
        <v>58</v>
      </c>
      <c r="AA501" s="17" t="s">
        <v>58</v>
      </c>
      <c r="AB501" s="17" t="s">
        <v>57</v>
      </c>
      <c r="AC501" s="17">
        <v>1997</v>
      </c>
      <c r="AD501" s="17"/>
      <c r="AE501" s="17">
        <v>15</v>
      </c>
      <c r="AF501" s="17"/>
      <c r="AG501" s="17">
        <v>1988</v>
      </c>
      <c r="AH501" s="14">
        <f t="shared" si="34"/>
        <v>9</v>
      </c>
      <c r="AI501" s="17">
        <f t="shared" si="35"/>
        <v>10.25</v>
      </c>
      <c r="AJ501" s="17"/>
      <c r="AK501" s="17" t="s">
        <v>56</v>
      </c>
      <c r="AL501" s="16" t="s">
        <v>123</v>
      </c>
      <c r="AM501" s="15">
        <v>2007</v>
      </c>
      <c r="AN501" s="15" t="s">
        <v>72</v>
      </c>
      <c r="AO501" s="15" t="s">
        <v>56</v>
      </c>
      <c r="AP501" s="15"/>
      <c r="AQ501" s="15" t="s">
        <v>56</v>
      </c>
      <c r="AR501" s="15" t="s">
        <v>58</v>
      </c>
      <c r="AS501" s="15" t="s">
        <v>94</v>
      </c>
      <c r="AT501" s="15"/>
      <c r="AU501" s="45" t="s">
        <v>2651</v>
      </c>
      <c r="AV501" s="15"/>
      <c r="AW501" s="12" t="str">
        <f>B501&amp;C501&amp;L501&amp;M501&amp;O501&amp;U501&amp;AL501&amp;AM501</f>
        <v>United StatesCatalina Marine Science Center Marine Life RefugeHypsypops rubicundusGaribaldibiomassden1.02189115232593Tetreault2007</v>
      </c>
    </row>
    <row r="502" spans="1:49" ht="14.25" customHeight="1" x14ac:dyDescent="0.35">
      <c r="A502" s="12">
        <v>501</v>
      </c>
      <c r="B502" s="15" t="s">
        <v>75</v>
      </c>
      <c r="C502" s="15" t="s">
        <v>949</v>
      </c>
      <c r="D502" s="12" t="s">
        <v>949</v>
      </c>
      <c r="E502" s="15" t="s">
        <v>121</v>
      </c>
      <c r="F502" s="13" t="s">
        <v>50</v>
      </c>
      <c r="G502" s="13" t="s">
        <v>51</v>
      </c>
      <c r="H502" s="16" t="s">
        <v>78</v>
      </c>
      <c r="I502" s="16" t="s">
        <v>53</v>
      </c>
      <c r="J502" s="17">
        <v>0.13</v>
      </c>
      <c r="K502" s="17"/>
      <c r="L502" s="14" t="s">
        <v>1136</v>
      </c>
      <c r="M502" s="17" t="s">
        <v>134</v>
      </c>
      <c r="N502" s="17" t="s">
        <v>85</v>
      </c>
      <c r="O502" s="17" t="s">
        <v>70</v>
      </c>
      <c r="P502" s="17"/>
      <c r="Q502" s="17"/>
      <c r="R502" s="17"/>
      <c r="S502" s="17">
        <v>378.22</v>
      </c>
      <c r="T502" s="17">
        <v>481.81</v>
      </c>
      <c r="U502" s="20">
        <f t="shared" si="33"/>
        <v>1.2738882132092433</v>
      </c>
      <c r="V502" s="41">
        <f t="shared" si="36"/>
        <v>27.388821320924329</v>
      </c>
      <c r="W502" s="17"/>
      <c r="X502" s="17" t="s">
        <v>56</v>
      </c>
      <c r="Y502" s="12"/>
      <c r="Z502" s="17" t="s">
        <v>58</v>
      </c>
      <c r="AA502" s="17" t="s">
        <v>58</v>
      </c>
      <c r="AB502" s="17" t="s">
        <v>57</v>
      </c>
      <c r="AC502" s="17">
        <v>1997</v>
      </c>
      <c r="AD502" s="17"/>
      <c r="AE502" s="17">
        <v>15</v>
      </c>
      <c r="AF502" s="17"/>
      <c r="AG502" s="17">
        <v>1974</v>
      </c>
      <c r="AH502" s="14">
        <f t="shared" si="34"/>
        <v>23</v>
      </c>
      <c r="AI502" s="17">
        <f t="shared" si="35"/>
        <v>24.25</v>
      </c>
      <c r="AJ502" s="17"/>
      <c r="AK502" s="17" t="s">
        <v>56</v>
      </c>
      <c r="AL502" s="16" t="s">
        <v>123</v>
      </c>
      <c r="AM502" s="15">
        <v>2007</v>
      </c>
      <c r="AN502" s="15" t="s">
        <v>72</v>
      </c>
      <c r="AO502" s="15" t="s">
        <v>56</v>
      </c>
      <c r="AP502" s="15"/>
      <c r="AQ502" s="15" t="s">
        <v>56</v>
      </c>
      <c r="AR502" s="15" t="s">
        <v>58</v>
      </c>
      <c r="AS502" s="15" t="s">
        <v>94</v>
      </c>
      <c r="AT502" s="15"/>
      <c r="AU502" s="45" t="s">
        <v>2590</v>
      </c>
      <c r="AV502" s="15"/>
      <c r="AW502" s="12" t="str">
        <f>B502&amp;C502&amp;L502&amp;M502&amp;O502&amp;U502&amp;AL502&amp;AM502</f>
        <v>United StatesHeisler Park State Marine ReserveHypsypops rubicundusGaribaldibiomassden1.27388821320924Tetreault2007</v>
      </c>
    </row>
    <row r="503" spans="1:49" ht="14.25" customHeight="1" x14ac:dyDescent="0.35">
      <c r="A503" s="12">
        <v>502</v>
      </c>
      <c r="B503" s="12" t="s">
        <v>75</v>
      </c>
      <c r="C503" s="59" t="s">
        <v>106</v>
      </c>
      <c r="D503" s="59" t="s">
        <v>77</v>
      </c>
      <c r="E503" s="12" t="s">
        <v>121</v>
      </c>
      <c r="F503" s="13" t="s">
        <v>50</v>
      </c>
      <c r="G503" s="13" t="s">
        <v>51</v>
      </c>
      <c r="H503" s="13" t="s">
        <v>78</v>
      </c>
      <c r="I503" s="13" t="s">
        <v>53</v>
      </c>
      <c r="J503" s="14">
        <v>0.12</v>
      </c>
      <c r="K503" s="17"/>
      <c r="L503" s="17" t="s">
        <v>1136</v>
      </c>
      <c r="M503" s="14" t="s">
        <v>134</v>
      </c>
      <c r="N503" s="14" t="s">
        <v>85</v>
      </c>
      <c r="O503" s="17" t="s">
        <v>70</v>
      </c>
      <c r="P503" s="14"/>
      <c r="Q503" s="14"/>
      <c r="R503" s="14"/>
      <c r="S503" s="14">
        <v>101.98</v>
      </c>
      <c r="T503" s="14">
        <v>435.77</v>
      </c>
      <c r="U503" s="19">
        <f t="shared" si="33"/>
        <v>4.2730927632869182</v>
      </c>
      <c r="V503" s="41">
        <f t="shared" si="36"/>
        <v>327.30927632869179</v>
      </c>
      <c r="W503" s="14"/>
      <c r="X503" s="14" t="s">
        <v>56</v>
      </c>
      <c r="Z503" s="14" t="s">
        <v>58</v>
      </c>
      <c r="AA503" s="14" t="s">
        <v>58</v>
      </c>
      <c r="AB503" s="14" t="s">
        <v>57</v>
      </c>
      <c r="AC503" s="14">
        <v>1997</v>
      </c>
      <c r="AD503" s="14"/>
      <c r="AE503" s="14">
        <v>15</v>
      </c>
      <c r="AF503" s="14"/>
      <c r="AG503" s="14">
        <v>1978</v>
      </c>
      <c r="AH503" s="14">
        <f t="shared" si="34"/>
        <v>19</v>
      </c>
      <c r="AI503" s="17">
        <f t="shared" si="35"/>
        <v>20.25</v>
      </c>
      <c r="AJ503" s="14"/>
      <c r="AK503" s="14" t="s">
        <v>56</v>
      </c>
      <c r="AL503" s="13" t="s">
        <v>123</v>
      </c>
      <c r="AM503" s="12">
        <v>2007</v>
      </c>
      <c r="AN503" s="12" t="s">
        <v>72</v>
      </c>
      <c r="AO503" s="12" t="s">
        <v>56</v>
      </c>
      <c r="AP503" s="12"/>
      <c r="AQ503" s="12" t="s">
        <v>56</v>
      </c>
      <c r="AR503" s="12" t="s">
        <v>58</v>
      </c>
      <c r="AS503" s="12" t="s">
        <v>94</v>
      </c>
      <c r="AT503" s="12"/>
      <c r="AU503" s="45"/>
      <c r="AV503" s="15"/>
      <c r="AW503" s="12" t="str">
        <f>B503&amp;C503&amp;L503&amp;M503&amp;O503&amp;U503&amp;AL503&amp;AM503</f>
        <v>United StatesAnacapa Island State Marine Reserve (old)Hypsypops rubicundusGaribaldibiomassden4.27309276328692Tetreault2007</v>
      </c>
    </row>
    <row r="504" spans="1:49" ht="14.25" customHeight="1" x14ac:dyDescent="0.35">
      <c r="A504" s="12">
        <v>503</v>
      </c>
      <c r="B504" s="15" t="s">
        <v>75</v>
      </c>
      <c r="C504" s="43" t="s">
        <v>583</v>
      </c>
      <c r="D504" s="15" t="s">
        <v>584</v>
      </c>
      <c r="E504" s="12" t="s">
        <v>121</v>
      </c>
      <c r="F504" s="13" t="s">
        <v>50</v>
      </c>
      <c r="G504" s="13" t="s">
        <v>51</v>
      </c>
      <c r="H504" s="16" t="s">
        <v>78</v>
      </c>
      <c r="I504" s="16" t="s">
        <v>53</v>
      </c>
      <c r="J504" s="17">
        <f>(0.13+0.18)/2</f>
        <v>0.155</v>
      </c>
      <c r="K504" s="17"/>
      <c r="L504" s="17" t="s">
        <v>1127</v>
      </c>
      <c r="M504" s="17" t="s">
        <v>135</v>
      </c>
      <c r="N504" s="17" t="s">
        <v>85</v>
      </c>
      <c r="O504" s="17" t="s">
        <v>70</v>
      </c>
      <c r="P504" s="17"/>
      <c r="Q504" s="17"/>
      <c r="R504" s="17"/>
      <c r="S504" s="17">
        <v>1.1417999999999999</v>
      </c>
      <c r="T504" s="17">
        <v>1.4487000000000001</v>
      </c>
      <c r="U504" s="19">
        <f t="shared" si="33"/>
        <v>1.2687861271676302</v>
      </c>
      <c r="V504" s="41">
        <f t="shared" si="36"/>
        <v>26.878612716763016</v>
      </c>
      <c r="W504" s="14"/>
      <c r="X504" s="17" t="s">
        <v>56</v>
      </c>
      <c r="Y504" s="17"/>
      <c r="Z504" s="17" t="s">
        <v>58</v>
      </c>
      <c r="AA504" s="17" t="s">
        <v>58</v>
      </c>
      <c r="AB504" s="17" t="s">
        <v>57</v>
      </c>
      <c r="AC504" s="17">
        <v>1997</v>
      </c>
      <c r="AD504" s="17"/>
      <c r="AE504" s="17">
        <v>15</v>
      </c>
      <c r="AF504" s="17"/>
      <c r="AG504" s="17">
        <v>1988</v>
      </c>
      <c r="AH504" s="14">
        <f t="shared" si="34"/>
        <v>9</v>
      </c>
      <c r="AI504" s="17">
        <f t="shared" si="35"/>
        <v>10.25</v>
      </c>
      <c r="AJ504" s="17"/>
      <c r="AK504" s="17" t="s">
        <v>56</v>
      </c>
      <c r="AL504" s="16" t="s">
        <v>123</v>
      </c>
      <c r="AM504" s="15">
        <v>2007</v>
      </c>
      <c r="AN504" s="15" t="s">
        <v>72</v>
      </c>
      <c r="AO504" s="15" t="s">
        <v>56</v>
      </c>
      <c r="AP504" s="15"/>
      <c r="AQ504" s="15" t="s">
        <v>56</v>
      </c>
      <c r="AR504" s="15" t="s">
        <v>58</v>
      </c>
      <c r="AS504" s="15" t="s">
        <v>94</v>
      </c>
      <c r="AT504" s="12"/>
      <c r="AU504" s="45" t="s">
        <v>2651</v>
      </c>
      <c r="AV504" s="15"/>
      <c r="AW504" s="12" t="str">
        <f>B504&amp;C504&amp;L504&amp;M504&amp;O504&amp;U504&amp;AL504&amp;AM504</f>
        <v>United StatesCatalina Marine Science Center Marine Life RefugeOxyjulis californicaSenoritabiomassden1.26878612716763Tetreault2007</v>
      </c>
    </row>
    <row r="505" spans="1:49" ht="14.25" customHeight="1" x14ac:dyDescent="0.35">
      <c r="A505" s="12">
        <v>504</v>
      </c>
      <c r="B505" s="15" t="s">
        <v>75</v>
      </c>
      <c r="C505" s="15" t="s">
        <v>949</v>
      </c>
      <c r="D505" s="12" t="s">
        <v>949</v>
      </c>
      <c r="E505" s="12" t="s">
        <v>121</v>
      </c>
      <c r="F505" s="13" t="s">
        <v>50</v>
      </c>
      <c r="G505" s="13" t="s">
        <v>51</v>
      </c>
      <c r="H505" s="16" t="s">
        <v>78</v>
      </c>
      <c r="I505" s="16" t="s">
        <v>53</v>
      </c>
      <c r="J505" s="17">
        <v>0.13</v>
      </c>
      <c r="K505" s="17"/>
      <c r="L505" s="17" t="s">
        <v>1127</v>
      </c>
      <c r="M505" s="17" t="s">
        <v>135</v>
      </c>
      <c r="N505" s="17" t="s">
        <v>85</v>
      </c>
      <c r="O505" s="17" t="s">
        <v>70</v>
      </c>
      <c r="P505" s="17"/>
      <c r="Q505" s="17"/>
      <c r="R505" s="17"/>
      <c r="S505" s="17">
        <v>4.8250000000000002</v>
      </c>
      <c r="T505" s="17">
        <v>0.52793000000000001</v>
      </c>
      <c r="U505" s="19">
        <f t="shared" si="33"/>
        <v>0.10941554404145078</v>
      </c>
      <c r="V505" s="41">
        <f t="shared" si="36"/>
        <v>-89.05844559585492</v>
      </c>
      <c r="W505" s="14"/>
      <c r="X505" s="17" t="s">
        <v>56</v>
      </c>
      <c r="Y505" s="15"/>
      <c r="Z505" s="17" t="s">
        <v>58</v>
      </c>
      <c r="AA505" s="17" t="s">
        <v>58</v>
      </c>
      <c r="AB505" s="17" t="s">
        <v>57</v>
      </c>
      <c r="AC505" s="17">
        <v>1997</v>
      </c>
      <c r="AD505" s="17"/>
      <c r="AE505" s="17">
        <v>15</v>
      </c>
      <c r="AF505" s="17"/>
      <c r="AG505" s="17">
        <v>1974</v>
      </c>
      <c r="AH505" s="14">
        <f t="shared" si="34"/>
        <v>23</v>
      </c>
      <c r="AI505" s="17">
        <f t="shared" si="35"/>
        <v>24.25</v>
      </c>
      <c r="AJ505" s="17"/>
      <c r="AK505" s="17" t="s">
        <v>56</v>
      </c>
      <c r="AL505" s="16" t="s">
        <v>123</v>
      </c>
      <c r="AM505" s="15">
        <v>2007</v>
      </c>
      <c r="AN505" s="15" t="s">
        <v>72</v>
      </c>
      <c r="AO505" s="15" t="s">
        <v>56</v>
      </c>
      <c r="AP505" s="15"/>
      <c r="AQ505" s="15" t="s">
        <v>56</v>
      </c>
      <c r="AR505" s="15" t="s">
        <v>58</v>
      </c>
      <c r="AS505" s="15" t="s">
        <v>94</v>
      </c>
      <c r="AT505" s="12"/>
      <c r="AU505" s="45" t="s">
        <v>2590</v>
      </c>
      <c r="AV505" s="15"/>
      <c r="AW505" s="12" t="str">
        <f>B505&amp;C505&amp;L505&amp;M505&amp;O505&amp;U505&amp;AL505&amp;AM505</f>
        <v>United StatesHeisler Park State Marine ReserveOxyjulis californicaSenoritabiomassden0.109415544041451Tetreault2007</v>
      </c>
    </row>
    <row r="506" spans="1:49" ht="14.25" customHeight="1" x14ac:dyDescent="0.35">
      <c r="A506" s="12">
        <v>505</v>
      </c>
      <c r="B506" s="12" t="s">
        <v>75</v>
      </c>
      <c r="C506" s="59" t="s">
        <v>106</v>
      </c>
      <c r="D506" s="59" t="s">
        <v>77</v>
      </c>
      <c r="E506" s="12" t="s">
        <v>121</v>
      </c>
      <c r="F506" s="13" t="s">
        <v>50</v>
      </c>
      <c r="G506" s="13" t="s">
        <v>51</v>
      </c>
      <c r="H506" s="13" t="s">
        <v>78</v>
      </c>
      <c r="I506" s="13" t="s">
        <v>53</v>
      </c>
      <c r="J506" s="14">
        <v>0.12</v>
      </c>
      <c r="K506" s="14"/>
      <c r="L506" s="14" t="s">
        <v>1127</v>
      </c>
      <c r="M506" s="14" t="s">
        <v>135</v>
      </c>
      <c r="N506" s="14" t="s">
        <v>85</v>
      </c>
      <c r="O506" s="17" t="s">
        <v>70</v>
      </c>
      <c r="P506" s="14"/>
      <c r="Q506" s="14"/>
      <c r="R506" s="14"/>
      <c r="S506" s="14">
        <v>6.6666999999999996</v>
      </c>
      <c r="T506" s="14">
        <v>2.0626000000000002</v>
      </c>
      <c r="U506" s="19">
        <f t="shared" ref="U506:U569" si="37">IFERROR(IF(AND(Q506="",R506="",S506="",T506=""),"",IF(AND(Q506&lt;&gt;"",R506&lt;&gt;"",S506&lt;&gt;"",T506&lt;&gt;""),(T506/R506)/(S506/Q506),IF(AND(Q506&lt;&gt;"",R506&lt;&gt;""),R506/Q506,IF(AND(S506&lt;&gt;"",T506&lt;&gt;""),T506/S506,IF(AND(Q506&lt;&gt;"",S506&lt;&gt;""),Q506/S506,IF(AND(R506&lt;&gt;"",T506&lt;&gt;""),T506/R506)))))), "N/A")</f>
        <v>0.30938845305773477</v>
      </c>
      <c r="V506" s="41">
        <f t="shared" si="36"/>
        <v>-69.061154694226516</v>
      </c>
      <c r="W506" s="14"/>
      <c r="X506" s="14" t="s">
        <v>56</v>
      </c>
      <c r="Z506" s="14" t="s">
        <v>58</v>
      </c>
      <c r="AA506" s="14" t="s">
        <v>58</v>
      </c>
      <c r="AB506" s="14" t="s">
        <v>57</v>
      </c>
      <c r="AC506" s="14">
        <v>1997</v>
      </c>
      <c r="AD506" s="14"/>
      <c r="AE506" s="14">
        <v>15</v>
      </c>
      <c r="AF506" s="14"/>
      <c r="AG506" s="14">
        <v>1978</v>
      </c>
      <c r="AH506" s="14">
        <f t="shared" si="34"/>
        <v>19</v>
      </c>
      <c r="AI506" s="17">
        <f t="shared" si="35"/>
        <v>20.25</v>
      </c>
      <c r="AJ506" s="14"/>
      <c r="AK506" s="14" t="s">
        <v>56</v>
      </c>
      <c r="AL506" s="13" t="s">
        <v>123</v>
      </c>
      <c r="AM506" s="12">
        <v>2007</v>
      </c>
      <c r="AN506" s="12" t="s">
        <v>72</v>
      </c>
      <c r="AO506" s="12" t="s">
        <v>56</v>
      </c>
      <c r="AP506" s="12"/>
      <c r="AQ506" s="12" t="s">
        <v>56</v>
      </c>
      <c r="AR506" s="12" t="s">
        <v>58</v>
      </c>
      <c r="AS506" s="12" t="s">
        <v>94</v>
      </c>
      <c r="AT506" s="12"/>
      <c r="AU506" s="45"/>
      <c r="AV506" s="15"/>
      <c r="AW506" s="12" t="str">
        <f>B506&amp;C506&amp;L506&amp;M506&amp;O506&amp;U506&amp;AL506&amp;AM506</f>
        <v>United StatesAnacapa Island State Marine Reserve (old)Oxyjulis californicaSenoritabiomassden0.309388453057735Tetreault2007</v>
      </c>
    </row>
    <row r="507" spans="1:49" ht="14.25" customHeight="1" x14ac:dyDescent="0.35">
      <c r="A507" s="12">
        <v>506</v>
      </c>
      <c r="B507" s="12" t="s">
        <v>551</v>
      </c>
      <c r="C507" s="15" t="s">
        <v>1952</v>
      </c>
      <c r="D507" s="15" t="s">
        <v>1952</v>
      </c>
      <c r="E507" s="12" t="s">
        <v>136</v>
      </c>
      <c r="F507" s="13" t="s">
        <v>50</v>
      </c>
      <c r="G507" s="13" t="s">
        <v>51</v>
      </c>
      <c r="H507" s="13" t="s">
        <v>52</v>
      </c>
      <c r="I507" s="13" t="s">
        <v>53</v>
      </c>
      <c r="J507" s="14">
        <v>8.5500000000000007</v>
      </c>
      <c r="K507" s="17"/>
      <c r="L507" s="14" t="s">
        <v>566</v>
      </c>
      <c r="M507" s="14" t="s">
        <v>1048</v>
      </c>
      <c r="N507" s="14" t="s">
        <v>80</v>
      </c>
      <c r="O507" s="17" t="s">
        <v>70</v>
      </c>
      <c r="P507" s="14"/>
      <c r="Q507" s="14"/>
      <c r="R507" s="14"/>
      <c r="S507" s="14">
        <v>669.6</v>
      </c>
      <c r="T507" s="14">
        <v>860.1</v>
      </c>
      <c r="U507" s="19">
        <f t="shared" si="37"/>
        <v>1.2844982078853047</v>
      </c>
      <c r="V507" s="41">
        <f t="shared" si="36"/>
        <v>28.449820788530467</v>
      </c>
      <c r="W507" s="14"/>
      <c r="X507" s="14" t="s">
        <v>56</v>
      </c>
      <c r="Z507" s="14" t="s">
        <v>58</v>
      </c>
      <c r="AA507" s="14" t="s">
        <v>58</v>
      </c>
      <c r="AB507" s="14" t="s">
        <v>57</v>
      </c>
      <c r="AC507" s="14">
        <v>2010</v>
      </c>
      <c r="AD507" s="14">
        <v>2</v>
      </c>
      <c r="AE507" s="14"/>
      <c r="AF507" s="14"/>
      <c r="AG507" s="14">
        <v>2008</v>
      </c>
      <c r="AH507" s="14">
        <f t="shared" si="34"/>
        <v>2</v>
      </c>
      <c r="AI507" s="17">
        <f t="shared" si="35"/>
        <v>4</v>
      </c>
      <c r="AJ507" s="14"/>
      <c r="AK507" s="14" t="s">
        <v>58</v>
      </c>
      <c r="AL507" s="13" t="s">
        <v>1049</v>
      </c>
      <c r="AM507" s="12">
        <v>2019</v>
      </c>
      <c r="AN507" s="12" t="s">
        <v>764</v>
      </c>
      <c r="AO507" s="12" t="s">
        <v>56</v>
      </c>
      <c r="AP507" s="12"/>
      <c r="AQ507" s="12" t="s">
        <v>56</v>
      </c>
      <c r="AR507" s="12" t="s">
        <v>58</v>
      </c>
      <c r="AS507" s="12" t="s">
        <v>83</v>
      </c>
      <c r="AT507" s="12"/>
      <c r="AU507" s="45"/>
      <c r="AV507" s="15"/>
      <c r="AW507" s="12" t="str">
        <f>B507&amp;C507&amp;L507&amp;M507&amp;O507&amp;U507&amp;AL507&amp;AM507</f>
        <v>New ZealandTaputeranga marine reserveJasus edwardsiiRock Lobstersbiomassden1.2844982078853Rojas-Nazar2019</v>
      </c>
    </row>
    <row r="508" spans="1:49" ht="14.25" customHeight="1" x14ac:dyDescent="0.35">
      <c r="A508" s="12">
        <v>507</v>
      </c>
      <c r="B508" s="12" t="s">
        <v>551</v>
      </c>
      <c r="C508" s="15" t="s">
        <v>1053</v>
      </c>
      <c r="D508" s="15" t="s">
        <v>1047</v>
      </c>
      <c r="E508" s="12" t="s">
        <v>136</v>
      </c>
      <c r="F508" s="13" t="s">
        <v>50</v>
      </c>
      <c r="G508" s="13" t="s">
        <v>51</v>
      </c>
      <c r="H508" s="13" t="s">
        <v>52</v>
      </c>
      <c r="I508" s="13" t="s">
        <v>53</v>
      </c>
      <c r="J508" s="14">
        <v>3.42</v>
      </c>
      <c r="K508" s="14"/>
      <c r="L508" s="14" t="s">
        <v>566</v>
      </c>
      <c r="M508" s="14" t="s">
        <v>1048</v>
      </c>
      <c r="N508" s="17" t="s">
        <v>80</v>
      </c>
      <c r="O508" s="17" t="s">
        <v>70</v>
      </c>
      <c r="P508" s="14"/>
      <c r="Q508" s="14"/>
      <c r="R508" s="14"/>
      <c r="S508" s="14">
        <v>982.7</v>
      </c>
      <c r="T508" s="14">
        <v>1360.6</v>
      </c>
      <c r="U508" s="19">
        <f t="shared" si="37"/>
        <v>1.3845527627963772</v>
      </c>
      <c r="V508" s="41">
        <f t="shared" si="36"/>
        <v>38.455276279637715</v>
      </c>
      <c r="W508" s="14"/>
      <c r="X508" s="14" t="s">
        <v>56</v>
      </c>
      <c r="Z508" s="14" t="s">
        <v>58</v>
      </c>
      <c r="AA508" s="14" t="s">
        <v>58</v>
      </c>
      <c r="AB508" s="14" t="s">
        <v>57</v>
      </c>
      <c r="AC508" s="14">
        <v>2010</v>
      </c>
      <c r="AD508" s="14">
        <v>2</v>
      </c>
      <c r="AE508" s="14"/>
      <c r="AF508" s="14"/>
      <c r="AG508" s="14">
        <v>1992</v>
      </c>
      <c r="AH508" s="14">
        <f t="shared" si="34"/>
        <v>18</v>
      </c>
      <c r="AI508" s="17">
        <f t="shared" si="35"/>
        <v>20</v>
      </c>
      <c r="AJ508" s="14"/>
      <c r="AK508" s="14" t="s">
        <v>58</v>
      </c>
      <c r="AL508" s="13" t="s">
        <v>1049</v>
      </c>
      <c r="AM508" s="12">
        <v>2019</v>
      </c>
      <c r="AN508" s="12" t="s">
        <v>764</v>
      </c>
      <c r="AO508" s="12" t="s">
        <v>56</v>
      </c>
      <c r="AP508" s="12"/>
      <c r="AQ508" s="12" t="s">
        <v>56</v>
      </c>
      <c r="AR508" s="12" t="s">
        <v>58</v>
      </c>
      <c r="AS508" s="12" t="s">
        <v>83</v>
      </c>
      <c r="AT508" s="12"/>
      <c r="AU508" s="45" t="s">
        <v>1050</v>
      </c>
      <c r="AV508" s="15"/>
      <c r="AW508" s="12" t="str">
        <f>B508&amp;C508&amp;L508&amp;M508&amp;O508&amp;U508&amp;AL508&amp;AM508</f>
        <v>New ZealandKapiti Marine Reserve WestJasus edwardsiiRock Lobstersbiomassden1.38455276279638Rojas-Nazar2019</v>
      </c>
    </row>
    <row r="509" spans="1:49" ht="14.25" customHeight="1" x14ac:dyDescent="0.35">
      <c r="A509" s="12">
        <v>508</v>
      </c>
      <c r="B509" s="15" t="s">
        <v>1095</v>
      </c>
      <c r="C509" s="43" t="s">
        <v>2019</v>
      </c>
      <c r="D509" s="43" t="s">
        <v>2019</v>
      </c>
      <c r="E509" s="15" t="s">
        <v>171</v>
      </c>
      <c r="F509" s="16" t="s">
        <v>50</v>
      </c>
      <c r="G509" s="16" t="s">
        <v>51</v>
      </c>
      <c r="H509" s="16" t="s">
        <v>52</v>
      </c>
      <c r="I509" s="16" t="s">
        <v>156</v>
      </c>
      <c r="J509" s="17">
        <v>0.8</v>
      </c>
      <c r="K509" s="17"/>
      <c r="L509" s="17"/>
      <c r="M509" s="17" t="s">
        <v>1073</v>
      </c>
      <c r="N509" s="53" t="s">
        <v>98</v>
      </c>
      <c r="O509" s="17" t="s">
        <v>86</v>
      </c>
      <c r="P509" s="17"/>
      <c r="Q509" s="17"/>
      <c r="R509" s="17"/>
      <c r="S509" s="17">
        <v>9.6773999999999999E-2</v>
      </c>
      <c r="T509" s="17">
        <v>4.7419000000000002</v>
      </c>
      <c r="U509" s="20">
        <f t="shared" si="37"/>
        <v>48.999731332796003</v>
      </c>
      <c r="V509" s="70">
        <f t="shared" si="36"/>
        <v>4799.9731332796</v>
      </c>
      <c r="W509" s="69"/>
      <c r="X509" s="17" t="s">
        <v>56</v>
      </c>
      <c r="Z509" s="17" t="s">
        <v>58</v>
      </c>
      <c r="AA509" s="17" t="s">
        <v>58</v>
      </c>
      <c r="AB509" s="17" t="s">
        <v>57</v>
      </c>
      <c r="AC509" s="17">
        <v>2010</v>
      </c>
      <c r="AD509" s="17"/>
      <c r="AE509" s="17">
        <v>27</v>
      </c>
      <c r="AF509" s="17"/>
      <c r="AG509" s="17">
        <v>2003</v>
      </c>
      <c r="AH509" s="14">
        <f t="shared" si="34"/>
        <v>7</v>
      </c>
      <c r="AI509" s="17">
        <f t="shared" si="35"/>
        <v>9.25</v>
      </c>
      <c r="AJ509" s="17"/>
      <c r="AK509" s="17" t="s">
        <v>56</v>
      </c>
      <c r="AL509" s="16" t="s">
        <v>1468</v>
      </c>
      <c r="AM509" s="15">
        <v>2017</v>
      </c>
      <c r="AN509" s="15" t="s">
        <v>150</v>
      </c>
      <c r="AO509" s="15" t="s">
        <v>56</v>
      </c>
      <c r="AP509" s="15"/>
      <c r="AQ509" s="15" t="s">
        <v>56</v>
      </c>
      <c r="AR509" s="15" t="s">
        <v>58</v>
      </c>
      <c r="AS509" s="15" t="s">
        <v>94</v>
      </c>
      <c r="AT509" s="15"/>
      <c r="AU509" s="45"/>
      <c r="AV509" s="15"/>
      <c r="AW509" s="12" t="str">
        <f>B509&amp;C509&amp;L509&amp;M509&amp;O509&amp;U509&amp;AL509&amp;AM509</f>
        <v>FijiVotua marine protected areaGrazersdensity48.999731332796Bonaldo2017</v>
      </c>
    </row>
    <row r="510" spans="1:49" ht="14.25" customHeight="1" x14ac:dyDescent="0.35">
      <c r="A510" s="12">
        <v>509</v>
      </c>
      <c r="B510" s="12" t="s">
        <v>1095</v>
      </c>
      <c r="C510" s="43" t="s">
        <v>2019</v>
      </c>
      <c r="D510" s="43" t="s">
        <v>2019</v>
      </c>
      <c r="E510" s="12" t="s">
        <v>171</v>
      </c>
      <c r="F510" s="13" t="s">
        <v>50</v>
      </c>
      <c r="G510" s="13" t="s">
        <v>51</v>
      </c>
      <c r="H510" s="13" t="s">
        <v>52</v>
      </c>
      <c r="I510" s="13" t="s">
        <v>156</v>
      </c>
      <c r="J510" s="14">
        <v>0.8</v>
      </c>
      <c r="K510" s="17"/>
      <c r="L510" s="17" t="s">
        <v>267</v>
      </c>
      <c r="M510" s="14" t="s">
        <v>1469</v>
      </c>
      <c r="N510" s="53" t="s">
        <v>98</v>
      </c>
      <c r="O510" s="17" t="s">
        <v>86</v>
      </c>
      <c r="P510" s="14"/>
      <c r="Q510" s="14"/>
      <c r="R510" s="14"/>
      <c r="S510" s="14">
        <v>2.8065000000000002</v>
      </c>
      <c r="T510" s="14">
        <v>12.871</v>
      </c>
      <c r="U510" s="19">
        <f t="shared" si="37"/>
        <v>4.586139319437021</v>
      </c>
      <c r="V510" s="70">
        <f t="shared" si="36"/>
        <v>358.61393194370208</v>
      </c>
      <c r="W510" s="68"/>
      <c r="X510" s="14" t="s">
        <v>56</v>
      </c>
      <c r="Z510" s="14" t="s">
        <v>58</v>
      </c>
      <c r="AA510" s="14" t="s">
        <v>58</v>
      </c>
      <c r="AB510" s="14" t="s">
        <v>57</v>
      </c>
      <c r="AC510" s="14">
        <v>2010</v>
      </c>
      <c r="AD510" s="14"/>
      <c r="AE510" s="14">
        <v>27</v>
      </c>
      <c r="AF510" s="14"/>
      <c r="AG510" s="14">
        <v>2003</v>
      </c>
      <c r="AH510" s="14">
        <f t="shared" si="34"/>
        <v>7</v>
      </c>
      <c r="AI510" s="17">
        <f t="shared" si="35"/>
        <v>9.25</v>
      </c>
      <c r="AJ510" s="14"/>
      <c r="AK510" s="14" t="s">
        <v>56</v>
      </c>
      <c r="AL510" s="13" t="s">
        <v>1468</v>
      </c>
      <c r="AM510" s="12">
        <v>2017</v>
      </c>
      <c r="AN510" s="12" t="s">
        <v>150</v>
      </c>
      <c r="AO510" s="12" t="s">
        <v>56</v>
      </c>
      <c r="AP510" s="12"/>
      <c r="AQ510" s="12" t="s">
        <v>56</v>
      </c>
      <c r="AR510" s="12" t="s">
        <v>58</v>
      </c>
      <c r="AS510" s="12" t="s">
        <v>94</v>
      </c>
      <c r="AT510" s="12"/>
      <c r="AU510" s="45"/>
      <c r="AV510" s="15"/>
      <c r="AW510" s="12" t="str">
        <f>B510&amp;C510&amp;L510&amp;M510&amp;O510&amp;U510&amp;AL510&amp;AM510</f>
        <v>FijiVotua marine protected areaScaridaeScraping parrotfishdensity4.58613931943702Bonaldo2017</v>
      </c>
    </row>
    <row r="511" spans="1:49" ht="14.25" customHeight="1" x14ac:dyDescent="0.35">
      <c r="A511" s="12">
        <v>510</v>
      </c>
      <c r="B511" s="15" t="s">
        <v>1095</v>
      </c>
      <c r="C511" s="43" t="s">
        <v>2019</v>
      </c>
      <c r="D511" s="43" t="s">
        <v>2019</v>
      </c>
      <c r="E511" s="15" t="s">
        <v>171</v>
      </c>
      <c r="F511" s="13" t="s">
        <v>50</v>
      </c>
      <c r="G511" s="13" t="s">
        <v>51</v>
      </c>
      <c r="H511" s="16" t="s">
        <v>52</v>
      </c>
      <c r="I511" s="16" t="s">
        <v>156</v>
      </c>
      <c r="J511" s="17">
        <v>0.8</v>
      </c>
      <c r="K511" s="17"/>
      <c r="L511" s="17" t="s">
        <v>267</v>
      </c>
      <c r="M511" s="17" t="s">
        <v>1470</v>
      </c>
      <c r="N511" s="53" t="s">
        <v>98</v>
      </c>
      <c r="O511" s="17" t="s">
        <v>86</v>
      </c>
      <c r="P511" s="17"/>
      <c r="Q511" s="17"/>
      <c r="R511" s="17"/>
      <c r="S511" s="17">
        <v>9.6773999999999999E-2</v>
      </c>
      <c r="T511" s="17">
        <v>4.7419000000000002</v>
      </c>
      <c r="U511" s="20">
        <f t="shared" si="37"/>
        <v>48.999731332796003</v>
      </c>
      <c r="V511" s="70">
        <f t="shared" si="36"/>
        <v>4799.9731332796</v>
      </c>
      <c r="W511" s="69"/>
      <c r="X511" s="17" t="s">
        <v>56</v>
      </c>
      <c r="Z511" s="17" t="s">
        <v>58</v>
      </c>
      <c r="AA511" s="17" t="s">
        <v>58</v>
      </c>
      <c r="AB511" s="17" t="s">
        <v>57</v>
      </c>
      <c r="AC511" s="17">
        <v>2010</v>
      </c>
      <c r="AD511" s="17"/>
      <c r="AE511" s="17">
        <v>27</v>
      </c>
      <c r="AF511" s="17"/>
      <c r="AG511" s="17">
        <v>2003</v>
      </c>
      <c r="AH511" s="14">
        <f t="shared" si="34"/>
        <v>7</v>
      </c>
      <c r="AI511" s="17">
        <f t="shared" si="35"/>
        <v>9.25</v>
      </c>
      <c r="AJ511" s="17"/>
      <c r="AK511" s="17" t="s">
        <v>56</v>
      </c>
      <c r="AL511" s="16" t="s">
        <v>1468</v>
      </c>
      <c r="AM511" s="15">
        <v>2017</v>
      </c>
      <c r="AN511" s="12" t="s">
        <v>150</v>
      </c>
      <c r="AO511" s="15" t="s">
        <v>56</v>
      </c>
      <c r="AP511" s="15"/>
      <c r="AQ511" s="15" t="s">
        <v>56</v>
      </c>
      <c r="AR511" s="15" t="s">
        <v>58</v>
      </c>
      <c r="AS511" s="15" t="s">
        <v>94</v>
      </c>
      <c r="AT511" s="15"/>
      <c r="AU511" s="45"/>
      <c r="AV511" s="15"/>
      <c r="AW511" s="12" t="str">
        <f>B511&amp;C511&amp;L511&amp;M511&amp;O511&amp;U511&amp;AL511&amp;AM511</f>
        <v>FijiVotua marine protected areaScaridaeExcavating parrotfishdensity48.999731332796Bonaldo2017</v>
      </c>
    </row>
    <row r="512" spans="1:49" ht="14.25" customHeight="1" x14ac:dyDescent="0.35">
      <c r="A512" s="12">
        <v>511</v>
      </c>
      <c r="B512" s="15" t="s">
        <v>1095</v>
      </c>
      <c r="C512" s="43" t="s">
        <v>2019</v>
      </c>
      <c r="D512" s="43" t="s">
        <v>2019</v>
      </c>
      <c r="E512" s="15" t="s">
        <v>171</v>
      </c>
      <c r="F512" s="13" t="s">
        <v>50</v>
      </c>
      <c r="G512" s="13" t="s">
        <v>51</v>
      </c>
      <c r="H512" s="16" t="s">
        <v>52</v>
      </c>
      <c r="I512" s="16" t="s">
        <v>156</v>
      </c>
      <c r="J512" s="17">
        <v>0.8</v>
      </c>
      <c r="K512" s="17"/>
      <c r="L512" s="17"/>
      <c r="M512" s="17" t="s">
        <v>1073</v>
      </c>
      <c r="N512" s="53" t="s">
        <v>98</v>
      </c>
      <c r="O512" s="17" t="s">
        <v>70</v>
      </c>
      <c r="P512" s="17"/>
      <c r="Q512" s="17"/>
      <c r="R512" s="17"/>
      <c r="S512" s="17">
        <v>5.3155999999999999</v>
      </c>
      <c r="T512" s="17">
        <v>265.77999999999997</v>
      </c>
      <c r="U512" s="20">
        <f t="shared" si="37"/>
        <v>49.999999999999993</v>
      </c>
      <c r="V512" s="70">
        <f t="shared" si="36"/>
        <v>4899.9999999999991</v>
      </c>
      <c r="W512" s="69"/>
      <c r="X512" s="17" t="s">
        <v>56</v>
      </c>
      <c r="Z512" s="17" t="s">
        <v>58</v>
      </c>
      <c r="AA512" s="17" t="s">
        <v>58</v>
      </c>
      <c r="AB512" s="17" t="s">
        <v>57</v>
      </c>
      <c r="AC512" s="17">
        <v>2010</v>
      </c>
      <c r="AD512" s="17"/>
      <c r="AE512" s="17">
        <v>27</v>
      </c>
      <c r="AF512" s="17"/>
      <c r="AG512" s="17">
        <v>2003</v>
      </c>
      <c r="AH512" s="14">
        <f t="shared" si="34"/>
        <v>7</v>
      </c>
      <c r="AI512" s="17">
        <f t="shared" si="35"/>
        <v>9.25</v>
      </c>
      <c r="AJ512" s="17"/>
      <c r="AK512" s="17" t="s">
        <v>56</v>
      </c>
      <c r="AL512" s="16" t="s">
        <v>1468</v>
      </c>
      <c r="AM512" s="15">
        <v>2017</v>
      </c>
      <c r="AN512" s="12" t="s">
        <v>150</v>
      </c>
      <c r="AO512" s="15" t="s">
        <v>56</v>
      </c>
      <c r="AP512" s="15"/>
      <c r="AQ512" s="15" t="s">
        <v>56</v>
      </c>
      <c r="AR512" s="15" t="s">
        <v>58</v>
      </c>
      <c r="AS512" s="15" t="s">
        <v>94</v>
      </c>
      <c r="AT512" s="15"/>
      <c r="AU512" s="45"/>
      <c r="AV512" s="15"/>
      <c r="AW512" s="12" t="str">
        <f>B512&amp;C512&amp;L512&amp;M512&amp;O512&amp;U512&amp;AL512&amp;AM512</f>
        <v>FijiVotua marine protected areaGrazersbiomassden50Bonaldo2017</v>
      </c>
    </row>
    <row r="513" spans="1:49" ht="14.25" customHeight="1" x14ac:dyDescent="0.35">
      <c r="A513" s="12">
        <v>512</v>
      </c>
      <c r="B513" s="15" t="s">
        <v>1095</v>
      </c>
      <c r="C513" s="43" t="s">
        <v>2019</v>
      </c>
      <c r="D513" s="43" t="s">
        <v>2019</v>
      </c>
      <c r="E513" s="15" t="s">
        <v>171</v>
      </c>
      <c r="F513" s="13" t="s">
        <v>50</v>
      </c>
      <c r="G513" s="13" t="s">
        <v>51</v>
      </c>
      <c r="H513" s="16" t="s">
        <v>52</v>
      </c>
      <c r="I513" s="16" t="s">
        <v>156</v>
      </c>
      <c r="J513" s="17">
        <v>0.8</v>
      </c>
      <c r="K513" s="17"/>
      <c r="L513" s="17" t="s">
        <v>267</v>
      </c>
      <c r="M513" s="17" t="s">
        <v>1469</v>
      </c>
      <c r="N513" s="53" t="s">
        <v>98</v>
      </c>
      <c r="O513" s="17" t="s">
        <v>70</v>
      </c>
      <c r="P513" s="17"/>
      <c r="Q513" s="17"/>
      <c r="R513" s="17"/>
      <c r="S513" s="17">
        <v>37.209000000000003</v>
      </c>
      <c r="T513" s="17">
        <v>526.25</v>
      </c>
      <c r="U513" s="20">
        <f t="shared" si="37"/>
        <v>14.143083662554757</v>
      </c>
      <c r="V513" s="70">
        <f t="shared" si="36"/>
        <v>1314.3083662554757</v>
      </c>
      <c r="W513" s="69"/>
      <c r="X513" s="17" t="s">
        <v>56</v>
      </c>
      <c r="Z513" s="17" t="s">
        <v>58</v>
      </c>
      <c r="AA513" s="17" t="s">
        <v>58</v>
      </c>
      <c r="AB513" s="17" t="s">
        <v>57</v>
      </c>
      <c r="AC513" s="17">
        <v>2010</v>
      </c>
      <c r="AD513" s="17"/>
      <c r="AE513" s="17">
        <v>27</v>
      </c>
      <c r="AF513" s="17"/>
      <c r="AG513" s="17">
        <v>2003</v>
      </c>
      <c r="AH513" s="14">
        <f t="shared" si="34"/>
        <v>7</v>
      </c>
      <c r="AI513" s="17">
        <f t="shared" si="35"/>
        <v>9.25</v>
      </c>
      <c r="AJ513" s="17"/>
      <c r="AK513" s="17" t="s">
        <v>56</v>
      </c>
      <c r="AL513" s="16" t="s">
        <v>1468</v>
      </c>
      <c r="AM513" s="15">
        <v>2017</v>
      </c>
      <c r="AN513" s="12" t="s">
        <v>150</v>
      </c>
      <c r="AO513" s="15" t="s">
        <v>56</v>
      </c>
      <c r="AP513" s="15"/>
      <c r="AQ513" s="15" t="s">
        <v>56</v>
      </c>
      <c r="AR513" s="15" t="s">
        <v>58</v>
      </c>
      <c r="AS513" s="15" t="s">
        <v>94</v>
      </c>
      <c r="AT513" s="15"/>
      <c r="AU513" s="45"/>
      <c r="AV513" s="15"/>
      <c r="AW513" s="12" t="str">
        <f>B513&amp;C513&amp;L513&amp;M513&amp;O513&amp;U513&amp;AL513&amp;AM513</f>
        <v>FijiVotua marine protected areaScaridaeScraping parrotfishbiomassden14.1430836625548Bonaldo2017</v>
      </c>
    </row>
    <row r="514" spans="1:49" ht="14.25" customHeight="1" x14ac:dyDescent="0.35">
      <c r="A514" s="12">
        <v>513</v>
      </c>
      <c r="B514" s="15" t="s">
        <v>1095</v>
      </c>
      <c r="C514" s="43" t="s">
        <v>2012</v>
      </c>
      <c r="D514" s="43" t="s">
        <v>2012</v>
      </c>
      <c r="E514" s="15" t="s">
        <v>171</v>
      </c>
      <c r="F514" s="13" t="s">
        <v>50</v>
      </c>
      <c r="G514" s="13" t="s">
        <v>51</v>
      </c>
      <c r="H514" s="16" t="s">
        <v>52</v>
      </c>
      <c r="I514" s="16" t="s">
        <v>156</v>
      </c>
      <c r="J514" s="17">
        <v>0.5</v>
      </c>
      <c r="K514" s="17"/>
      <c r="L514" s="17"/>
      <c r="M514" s="17" t="s">
        <v>1073</v>
      </c>
      <c r="N514" s="53" t="s">
        <v>98</v>
      </c>
      <c r="O514" s="17" t="s">
        <v>86</v>
      </c>
      <c r="P514" s="17"/>
      <c r="Q514" s="17"/>
      <c r="R514" s="17"/>
      <c r="S514" s="17">
        <v>3.839</v>
      </c>
      <c r="T514" s="17">
        <v>10.031000000000001</v>
      </c>
      <c r="U514" s="20">
        <f t="shared" si="37"/>
        <v>2.6129200312581404</v>
      </c>
      <c r="V514" s="41">
        <f t="shared" si="36"/>
        <v>161.29200312581403</v>
      </c>
      <c r="W514" s="17"/>
      <c r="X514" s="17" t="s">
        <v>56</v>
      </c>
      <c r="Z514" s="17" t="s">
        <v>58</v>
      </c>
      <c r="AA514" s="17" t="s">
        <v>58</v>
      </c>
      <c r="AB514" s="17" t="s">
        <v>57</v>
      </c>
      <c r="AC514" s="17">
        <v>2010</v>
      </c>
      <c r="AD514" s="17"/>
      <c r="AE514" s="17">
        <v>27</v>
      </c>
      <c r="AF514" s="17"/>
      <c r="AG514" s="17">
        <v>2002</v>
      </c>
      <c r="AH514" s="14">
        <f t="shared" ref="AH514:AH577" si="38">IF(OR(AG514="NA",AC514="NA"),"NA",IF(OR(AC514="",AG514=""), "", AC514-AG514))</f>
        <v>8</v>
      </c>
      <c r="AI514" s="17">
        <f t="shared" ref="AI514:AI577" si="39">IF(AH514="NA", "NA",IF(OR(AH514="",AND(AD514="",AE514="")), "",AH514+AD514+AE514/12))</f>
        <v>10.25</v>
      </c>
      <c r="AJ514" s="17"/>
      <c r="AK514" s="17" t="s">
        <v>56</v>
      </c>
      <c r="AL514" s="16" t="s">
        <v>1468</v>
      </c>
      <c r="AM514" s="15">
        <v>2017</v>
      </c>
      <c r="AN514" s="15" t="s">
        <v>150</v>
      </c>
      <c r="AO514" s="15" t="s">
        <v>56</v>
      </c>
      <c r="AP514" s="15"/>
      <c r="AQ514" s="15" t="s">
        <v>56</v>
      </c>
      <c r="AR514" s="15" t="s">
        <v>58</v>
      </c>
      <c r="AS514" s="15" t="s">
        <v>94</v>
      </c>
      <c r="AT514" s="15"/>
      <c r="AU514" s="45"/>
      <c r="AV514" s="15"/>
      <c r="AW514" s="12" t="str">
        <f>B514&amp;C514&amp;L514&amp;M514&amp;O514&amp;U514&amp;AL514&amp;AM514</f>
        <v>FijiVatu-o-lalai marine protected areaGrazersdensity2.61292003125814Bonaldo2017</v>
      </c>
    </row>
    <row r="515" spans="1:49" ht="14.25" customHeight="1" x14ac:dyDescent="0.35">
      <c r="A515" s="12">
        <v>514</v>
      </c>
      <c r="B515" s="15" t="s">
        <v>1095</v>
      </c>
      <c r="C515" s="43" t="s">
        <v>2012</v>
      </c>
      <c r="D515" s="43" t="s">
        <v>2012</v>
      </c>
      <c r="E515" s="15" t="s">
        <v>171</v>
      </c>
      <c r="F515" s="13" t="s">
        <v>50</v>
      </c>
      <c r="G515" s="13" t="s">
        <v>51</v>
      </c>
      <c r="H515" s="16" t="s">
        <v>52</v>
      </c>
      <c r="I515" s="16" t="s">
        <v>156</v>
      </c>
      <c r="J515" s="17">
        <v>0.5</v>
      </c>
      <c r="K515" s="17"/>
      <c r="L515" s="17" t="s">
        <v>267</v>
      </c>
      <c r="M515" s="17" t="s">
        <v>1469</v>
      </c>
      <c r="N515" s="53" t="s">
        <v>98</v>
      </c>
      <c r="O515" s="17" t="s">
        <v>86</v>
      </c>
      <c r="P515" s="17"/>
      <c r="Q515" s="17"/>
      <c r="R515" s="17"/>
      <c r="S515" s="17">
        <v>11.022</v>
      </c>
      <c r="T515" s="17">
        <v>14.984999999999999</v>
      </c>
      <c r="U515" s="20">
        <f t="shared" si="37"/>
        <v>1.3595536200326619</v>
      </c>
      <c r="V515" s="41">
        <f t="shared" si="36"/>
        <v>35.955362003266188</v>
      </c>
      <c r="W515" s="17"/>
      <c r="X515" s="17" t="s">
        <v>56</v>
      </c>
      <c r="Z515" s="17" t="s">
        <v>58</v>
      </c>
      <c r="AA515" s="17" t="s">
        <v>58</v>
      </c>
      <c r="AB515" s="17" t="s">
        <v>57</v>
      </c>
      <c r="AC515" s="17">
        <v>2010</v>
      </c>
      <c r="AD515" s="17"/>
      <c r="AE515" s="17">
        <v>27</v>
      </c>
      <c r="AF515" s="17"/>
      <c r="AG515" s="17">
        <v>2002</v>
      </c>
      <c r="AH515" s="14">
        <f t="shared" si="38"/>
        <v>8</v>
      </c>
      <c r="AI515" s="17">
        <f t="shared" si="39"/>
        <v>10.25</v>
      </c>
      <c r="AJ515" s="17"/>
      <c r="AK515" s="17" t="s">
        <v>56</v>
      </c>
      <c r="AL515" s="16" t="s">
        <v>1468</v>
      </c>
      <c r="AM515" s="15">
        <v>2017</v>
      </c>
      <c r="AN515" s="15" t="s">
        <v>150</v>
      </c>
      <c r="AO515" s="15" t="s">
        <v>56</v>
      </c>
      <c r="AP515" s="15"/>
      <c r="AQ515" s="15" t="s">
        <v>56</v>
      </c>
      <c r="AR515" s="15" t="s">
        <v>58</v>
      </c>
      <c r="AS515" s="15" t="s">
        <v>94</v>
      </c>
      <c r="AT515" s="15"/>
      <c r="AU515" s="45"/>
      <c r="AV515" s="15"/>
      <c r="AW515" s="12" t="str">
        <f>B515&amp;C515&amp;L515&amp;M515&amp;O515&amp;U515&amp;AL515&amp;AM515</f>
        <v>FijiVatu-o-lalai marine protected areaScaridaeScraping parrotfishdensity1.35955362003266Bonaldo2017</v>
      </c>
    </row>
    <row r="516" spans="1:49" ht="14.25" customHeight="1" x14ac:dyDescent="0.35">
      <c r="A516" s="12">
        <v>515</v>
      </c>
      <c r="B516" s="12" t="s">
        <v>1095</v>
      </c>
      <c r="C516" s="43" t="s">
        <v>2012</v>
      </c>
      <c r="D516" s="43" t="s">
        <v>2012</v>
      </c>
      <c r="E516" s="12" t="s">
        <v>171</v>
      </c>
      <c r="F516" s="13" t="s">
        <v>50</v>
      </c>
      <c r="G516" s="13" t="s">
        <v>51</v>
      </c>
      <c r="H516" s="13" t="s">
        <v>52</v>
      </c>
      <c r="I516" s="13" t="s">
        <v>156</v>
      </c>
      <c r="J516" s="17">
        <v>0.5</v>
      </c>
      <c r="K516" s="17"/>
      <c r="L516" s="14" t="s">
        <v>267</v>
      </c>
      <c r="M516" s="14" t="s">
        <v>1470</v>
      </c>
      <c r="N516" s="53" t="s">
        <v>98</v>
      </c>
      <c r="O516" s="17" t="s">
        <v>86</v>
      </c>
      <c r="P516" s="14"/>
      <c r="Q516" s="14"/>
      <c r="R516" s="14"/>
      <c r="S516" s="14">
        <v>3.839</v>
      </c>
      <c r="T516" s="14">
        <v>7.0587999999999997</v>
      </c>
      <c r="U516" s="19">
        <f t="shared" si="37"/>
        <v>1.838707996874186</v>
      </c>
      <c r="V516" s="41">
        <f t="shared" ref="V516:V579" si="40">IFERROR(IF(U516 = "", "",(U516-1)*100),"N/A")</f>
        <v>83.870799687418597</v>
      </c>
      <c r="W516" s="14"/>
      <c r="X516" s="14" t="s">
        <v>56</v>
      </c>
      <c r="Z516" s="14" t="s">
        <v>58</v>
      </c>
      <c r="AA516" s="17" t="s">
        <v>58</v>
      </c>
      <c r="AB516" s="14" t="s">
        <v>57</v>
      </c>
      <c r="AC516" s="14">
        <v>2010</v>
      </c>
      <c r="AD516" s="14"/>
      <c r="AE516" s="14">
        <v>27</v>
      </c>
      <c r="AF516" s="14"/>
      <c r="AG516" s="14">
        <v>2002</v>
      </c>
      <c r="AH516" s="14">
        <f t="shared" si="38"/>
        <v>8</v>
      </c>
      <c r="AI516" s="17">
        <f t="shared" si="39"/>
        <v>10.25</v>
      </c>
      <c r="AJ516" s="14"/>
      <c r="AK516" s="14" t="s">
        <v>56</v>
      </c>
      <c r="AL516" s="13" t="s">
        <v>1468</v>
      </c>
      <c r="AM516" s="12">
        <v>2017</v>
      </c>
      <c r="AN516" s="12" t="s">
        <v>150</v>
      </c>
      <c r="AO516" s="12" t="s">
        <v>56</v>
      </c>
      <c r="AP516" s="12"/>
      <c r="AQ516" s="12" t="s">
        <v>56</v>
      </c>
      <c r="AR516" s="12" t="s">
        <v>58</v>
      </c>
      <c r="AS516" s="12" t="s">
        <v>94</v>
      </c>
      <c r="AT516" s="12"/>
      <c r="AU516" s="45"/>
      <c r="AV516" s="15"/>
      <c r="AW516" s="12" t="str">
        <f>B516&amp;C516&amp;L516&amp;M516&amp;O516&amp;U516&amp;AL516&amp;AM516</f>
        <v>FijiVatu-o-lalai marine protected areaScaridaeExcavating parrotfishdensity1.83870799687419Bonaldo2017</v>
      </c>
    </row>
    <row r="517" spans="1:49" ht="14.25" customHeight="1" x14ac:dyDescent="0.35">
      <c r="A517" s="12">
        <v>516</v>
      </c>
      <c r="B517" s="15" t="s">
        <v>1095</v>
      </c>
      <c r="C517" s="43" t="s">
        <v>2012</v>
      </c>
      <c r="D517" s="43" t="s">
        <v>2012</v>
      </c>
      <c r="E517" s="15" t="s">
        <v>171</v>
      </c>
      <c r="F517" s="16" t="s">
        <v>50</v>
      </c>
      <c r="G517" s="16" t="s">
        <v>51</v>
      </c>
      <c r="H517" s="16" t="s">
        <v>52</v>
      </c>
      <c r="I517" s="16" t="s">
        <v>156</v>
      </c>
      <c r="J517" s="17">
        <v>0.5</v>
      </c>
      <c r="K517" s="17"/>
      <c r="L517" s="17"/>
      <c r="M517" s="17" t="s">
        <v>1073</v>
      </c>
      <c r="N517" s="53" t="s">
        <v>98</v>
      </c>
      <c r="O517" s="17" t="s">
        <v>70</v>
      </c>
      <c r="P517" s="17"/>
      <c r="Q517" s="17"/>
      <c r="R517" s="17"/>
      <c r="S517" s="17">
        <v>170.94</v>
      </c>
      <c r="T517" s="17">
        <v>490.03</v>
      </c>
      <c r="U517" s="20">
        <f t="shared" si="37"/>
        <v>2.8666783666783666</v>
      </c>
      <c r="V517" s="41">
        <f t="shared" si="40"/>
        <v>186.66783666783667</v>
      </c>
      <c r="W517" s="17"/>
      <c r="X517" s="17" t="s">
        <v>56</v>
      </c>
      <c r="Z517" s="17" t="s">
        <v>58</v>
      </c>
      <c r="AA517" s="17" t="s">
        <v>58</v>
      </c>
      <c r="AB517" s="17" t="s">
        <v>57</v>
      </c>
      <c r="AC517" s="17">
        <v>2010</v>
      </c>
      <c r="AD517" s="17"/>
      <c r="AE517" s="17">
        <v>27</v>
      </c>
      <c r="AF517" s="17"/>
      <c r="AG517" s="17">
        <v>2002</v>
      </c>
      <c r="AH517" s="14">
        <f t="shared" si="38"/>
        <v>8</v>
      </c>
      <c r="AI517" s="17">
        <f t="shared" si="39"/>
        <v>10.25</v>
      </c>
      <c r="AJ517" s="17"/>
      <c r="AK517" s="17" t="s">
        <v>56</v>
      </c>
      <c r="AL517" s="16" t="s">
        <v>1468</v>
      </c>
      <c r="AM517" s="15">
        <v>2017</v>
      </c>
      <c r="AN517" s="15" t="s">
        <v>150</v>
      </c>
      <c r="AO517" s="15" t="s">
        <v>56</v>
      </c>
      <c r="AP517" s="15"/>
      <c r="AQ517" s="15" t="s">
        <v>56</v>
      </c>
      <c r="AR517" s="15" t="s">
        <v>58</v>
      </c>
      <c r="AS517" s="15" t="s">
        <v>94</v>
      </c>
      <c r="AT517" s="15"/>
      <c r="AU517" s="45"/>
      <c r="AV517" s="15"/>
      <c r="AW517" s="12" t="str">
        <f>B517&amp;C517&amp;L517&amp;M517&amp;O517&amp;U517&amp;AL517&amp;AM517</f>
        <v>FijiVatu-o-lalai marine protected areaGrazersbiomassden2.86667836667837Bonaldo2017</v>
      </c>
    </row>
    <row r="518" spans="1:49" ht="14.25" customHeight="1" x14ac:dyDescent="0.35">
      <c r="A518" s="12">
        <v>517</v>
      </c>
      <c r="B518" s="12" t="s">
        <v>1095</v>
      </c>
      <c r="C518" s="43" t="s">
        <v>2012</v>
      </c>
      <c r="D518" s="43" t="s">
        <v>2012</v>
      </c>
      <c r="E518" s="12" t="s">
        <v>171</v>
      </c>
      <c r="F518" s="13" t="s">
        <v>50</v>
      </c>
      <c r="G518" s="13" t="s">
        <v>51</v>
      </c>
      <c r="H518" s="13" t="s">
        <v>52</v>
      </c>
      <c r="I518" s="13" t="s">
        <v>156</v>
      </c>
      <c r="J518" s="17">
        <v>0.5</v>
      </c>
      <c r="K518" s="17"/>
      <c r="L518" s="17" t="s">
        <v>267</v>
      </c>
      <c r="M518" s="14" t="s">
        <v>1469</v>
      </c>
      <c r="N518" s="53" t="s">
        <v>98</v>
      </c>
      <c r="O518" s="17" t="s">
        <v>70</v>
      </c>
      <c r="P518" s="14"/>
      <c r="Q518" s="14"/>
      <c r="R518" s="14"/>
      <c r="S518" s="14">
        <v>490.03</v>
      </c>
      <c r="T518" s="14">
        <v>1014.2</v>
      </c>
      <c r="U518" s="19">
        <f t="shared" si="37"/>
        <v>2.0696692039262903</v>
      </c>
      <c r="V518" s="41">
        <f t="shared" si="40"/>
        <v>106.96692039262902</v>
      </c>
      <c r="W518" s="14"/>
      <c r="X518" s="14" t="s">
        <v>56</v>
      </c>
      <c r="Z518" s="14" t="s">
        <v>58</v>
      </c>
      <c r="AA518" s="17" t="s">
        <v>58</v>
      </c>
      <c r="AB518" s="14" t="s">
        <v>57</v>
      </c>
      <c r="AC518" s="14">
        <v>2010</v>
      </c>
      <c r="AD518" s="14"/>
      <c r="AE518" s="14">
        <v>27</v>
      </c>
      <c r="AF518" s="14"/>
      <c r="AG518" s="14">
        <v>2002</v>
      </c>
      <c r="AH518" s="14">
        <f t="shared" si="38"/>
        <v>8</v>
      </c>
      <c r="AI518" s="17">
        <f t="shared" si="39"/>
        <v>10.25</v>
      </c>
      <c r="AJ518" s="14"/>
      <c r="AK518" s="14" t="s">
        <v>56</v>
      </c>
      <c r="AL518" s="13" t="s">
        <v>1468</v>
      </c>
      <c r="AM518" s="12">
        <v>2017</v>
      </c>
      <c r="AN518" s="12" t="s">
        <v>150</v>
      </c>
      <c r="AO518" s="12" t="s">
        <v>56</v>
      </c>
      <c r="AP518" s="12"/>
      <c r="AQ518" s="12" t="s">
        <v>56</v>
      </c>
      <c r="AR518" s="12" t="s">
        <v>58</v>
      </c>
      <c r="AS518" s="12" t="s">
        <v>94</v>
      </c>
      <c r="AT518" s="12"/>
      <c r="AU518" s="45"/>
      <c r="AV518" s="15"/>
      <c r="AW518" s="12" t="str">
        <f>B518&amp;C518&amp;L518&amp;M518&amp;O518&amp;U518&amp;AL518&amp;AM518</f>
        <v>FijiVatu-o-lalai marine protected areaScaridaeScraping parrotfishbiomassden2.06966920392629Bonaldo2017</v>
      </c>
    </row>
    <row r="519" spans="1:49" ht="14.25" customHeight="1" x14ac:dyDescent="0.35">
      <c r="A519" s="12">
        <v>518</v>
      </c>
      <c r="B519" s="12" t="s">
        <v>1095</v>
      </c>
      <c r="C519" s="43" t="s">
        <v>2012</v>
      </c>
      <c r="D519" s="43" t="s">
        <v>2012</v>
      </c>
      <c r="E519" s="12" t="s">
        <v>171</v>
      </c>
      <c r="F519" s="13" t="s">
        <v>50</v>
      </c>
      <c r="G519" s="13" t="s">
        <v>51</v>
      </c>
      <c r="H519" s="13" t="s">
        <v>52</v>
      </c>
      <c r="I519" s="13" t="s">
        <v>156</v>
      </c>
      <c r="J519" s="17">
        <v>0.5</v>
      </c>
      <c r="K519" s="17"/>
      <c r="L519" s="14" t="s">
        <v>267</v>
      </c>
      <c r="M519" s="14" t="s">
        <v>1470</v>
      </c>
      <c r="N519" s="53" t="s">
        <v>98</v>
      </c>
      <c r="O519" s="17" t="s">
        <v>70</v>
      </c>
      <c r="P519" s="14"/>
      <c r="Q519" s="14"/>
      <c r="R519" s="14"/>
      <c r="S519" s="14">
        <v>102.56</v>
      </c>
      <c r="T519" s="14">
        <v>284.89999999999998</v>
      </c>
      <c r="U519" s="19">
        <f t="shared" si="37"/>
        <v>2.7778861154446175</v>
      </c>
      <c r="V519" s="41">
        <f t="shared" si="40"/>
        <v>177.78861154446176</v>
      </c>
      <c r="W519" s="14"/>
      <c r="X519" s="14" t="s">
        <v>56</v>
      </c>
      <c r="Z519" s="14" t="s">
        <v>58</v>
      </c>
      <c r="AA519" s="17" t="s">
        <v>58</v>
      </c>
      <c r="AB519" s="14" t="s">
        <v>57</v>
      </c>
      <c r="AC519" s="14">
        <v>2010</v>
      </c>
      <c r="AD519" s="14"/>
      <c r="AE519" s="14">
        <v>27</v>
      </c>
      <c r="AF519" s="14"/>
      <c r="AG519" s="14">
        <v>2002</v>
      </c>
      <c r="AH519" s="14">
        <f t="shared" si="38"/>
        <v>8</v>
      </c>
      <c r="AI519" s="17">
        <f t="shared" si="39"/>
        <v>10.25</v>
      </c>
      <c r="AJ519" s="14"/>
      <c r="AK519" s="14" t="s">
        <v>56</v>
      </c>
      <c r="AL519" s="13" t="s">
        <v>1468</v>
      </c>
      <c r="AM519" s="12">
        <v>2017</v>
      </c>
      <c r="AN519" s="12" t="s">
        <v>150</v>
      </c>
      <c r="AO519" s="12" t="s">
        <v>56</v>
      </c>
      <c r="AP519" s="12"/>
      <c r="AQ519" s="12" t="s">
        <v>56</v>
      </c>
      <c r="AR519" s="12" t="s">
        <v>58</v>
      </c>
      <c r="AS519" s="12" t="s">
        <v>94</v>
      </c>
      <c r="AT519" s="12"/>
      <c r="AU519" s="45"/>
      <c r="AV519" s="15"/>
      <c r="AW519" s="12" t="str">
        <f>B519&amp;C519&amp;L519&amp;M519&amp;O519&amp;U519&amp;AL519&amp;AM519</f>
        <v>FijiVatu-o-lalai marine protected areaScaridaeExcavating parrotfishbiomassden2.77788611544462Bonaldo2017</v>
      </c>
    </row>
    <row r="520" spans="1:49" ht="14.25" customHeight="1" x14ac:dyDescent="0.35">
      <c r="A520" s="12">
        <v>519</v>
      </c>
      <c r="B520" s="12" t="s">
        <v>1095</v>
      </c>
      <c r="C520" s="43" t="s">
        <v>1464</v>
      </c>
      <c r="D520" s="43" t="s">
        <v>1464</v>
      </c>
      <c r="E520" s="15" t="s">
        <v>171</v>
      </c>
      <c r="F520" s="16" t="s">
        <v>50</v>
      </c>
      <c r="G520" s="16" t="s">
        <v>51</v>
      </c>
      <c r="H520" s="16" t="s">
        <v>52</v>
      </c>
      <c r="I520" s="16" t="s">
        <v>156</v>
      </c>
      <c r="J520" s="17">
        <v>0.5</v>
      </c>
      <c r="K520" s="17"/>
      <c r="L520" s="17"/>
      <c r="M520" s="17" t="s">
        <v>1073</v>
      </c>
      <c r="N520" s="53" t="s">
        <v>98</v>
      </c>
      <c r="O520" s="17" t="s">
        <v>86</v>
      </c>
      <c r="P520" s="17"/>
      <c r="Q520" s="17"/>
      <c r="R520" s="17"/>
      <c r="S520" s="17">
        <v>6.4553000000000003</v>
      </c>
      <c r="T520" s="17">
        <v>20.058</v>
      </c>
      <c r="U520" s="20">
        <f t="shared" si="37"/>
        <v>3.1072142270692296</v>
      </c>
      <c r="V520" s="41">
        <f t="shared" si="40"/>
        <v>210.72142270692297</v>
      </c>
      <c r="W520" s="17"/>
      <c r="X520" s="17" t="s">
        <v>56</v>
      </c>
      <c r="Z520" s="17" t="s">
        <v>58</v>
      </c>
      <c r="AA520" s="17" t="s">
        <v>58</v>
      </c>
      <c r="AB520" s="17" t="s">
        <v>57</v>
      </c>
      <c r="AC520" s="17">
        <v>2010</v>
      </c>
      <c r="AD520" s="17"/>
      <c r="AE520" s="17">
        <v>27</v>
      </c>
      <c r="AF520" s="17"/>
      <c r="AG520" s="17">
        <v>2002</v>
      </c>
      <c r="AH520" s="14">
        <f t="shared" si="38"/>
        <v>8</v>
      </c>
      <c r="AI520" s="17">
        <f t="shared" si="39"/>
        <v>10.25</v>
      </c>
      <c r="AJ520" s="17"/>
      <c r="AK520" s="17" t="s">
        <v>56</v>
      </c>
      <c r="AL520" s="16" t="s">
        <v>1468</v>
      </c>
      <c r="AM520" s="15">
        <v>2017</v>
      </c>
      <c r="AN520" s="15" t="s">
        <v>150</v>
      </c>
      <c r="AO520" s="15" t="s">
        <v>56</v>
      </c>
      <c r="AP520" s="15"/>
      <c r="AQ520" s="15" t="s">
        <v>56</v>
      </c>
      <c r="AR520" s="15" t="s">
        <v>58</v>
      </c>
      <c r="AS520" s="15" t="s">
        <v>94</v>
      </c>
      <c r="AT520" s="15"/>
      <c r="AU520" s="45"/>
      <c r="AV520" s="15"/>
      <c r="AW520" s="12" t="str">
        <f>B520&amp;C520&amp;L520&amp;M520&amp;O520&amp;U520&amp;AL520&amp;AM520</f>
        <v>FijiNamada marine protected areaGrazersdensity3.10721422706923Bonaldo2017</v>
      </c>
    </row>
    <row r="521" spans="1:49" ht="14.25" customHeight="1" x14ac:dyDescent="0.35">
      <c r="A521" s="12">
        <v>520</v>
      </c>
      <c r="B521" s="12" t="s">
        <v>1095</v>
      </c>
      <c r="C521" s="43" t="s">
        <v>1464</v>
      </c>
      <c r="D521" s="43" t="s">
        <v>1464</v>
      </c>
      <c r="E521" s="12" t="s">
        <v>171</v>
      </c>
      <c r="F521" s="13" t="s">
        <v>50</v>
      </c>
      <c r="G521" s="13" t="s">
        <v>51</v>
      </c>
      <c r="H521" s="13" t="s">
        <v>52</v>
      </c>
      <c r="I521" s="13" t="s">
        <v>156</v>
      </c>
      <c r="J521" s="17">
        <v>0.5</v>
      </c>
      <c r="K521" s="14"/>
      <c r="L521" s="17" t="s">
        <v>267</v>
      </c>
      <c r="M521" s="14" t="s">
        <v>1469</v>
      </c>
      <c r="N521" s="53" t="s">
        <v>98</v>
      </c>
      <c r="O521" s="17" t="s">
        <v>86</v>
      </c>
      <c r="P521" s="14"/>
      <c r="Q521" s="14"/>
      <c r="R521" s="14"/>
      <c r="S521" s="14">
        <v>13.372</v>
      </c>
      <c r="T521" s="14">
        <v>15.907999999999999</v>
      </c>
      <c r="U521" s="19">
        <f t="shared" si="37"/>
        <v>1.1896500149566258</v>
      </c>
      <c r="V521" s="41">
        <f t="shared" si="40"/>
        <v>18.96500149566258</v>
      </c>
      <c r="W521" s="14"/>
      <c r="X521" s="17" t="s">
        <v>56</v>
      </c>
      <c r="Z521" s="14" t="s">
        <v>58</v>
      </c>
      <c r="AA521" s="17" t="s">
        <v>58</v>
      </c>
      <c r="AB521" s="14" t="s">
        <v>57</v>
      </c>
      <c r="AC521" s="14">
        <v>2010</v>
      </c>
      <c r="AD521" s="14"/>
      <c r="AE521" s="14">
        <v>27</v>
      </c>
      <c r="AF521" s="14"/>
      <c r="AG521" s="17">
        <v>2002</v>
      </c>
      <c r="AH521" s="14">
        <f t="shared" si="38"/>
        <v>8</v>
      </c>
      <c r="AI521" s="17">
        <f t="shared" si="39"/>
        <v>10.25</v>
      </c>
      <c r="AJ521" s="14"/>
      <c r="AK521" s="14" t="s">
        <v>56</v>
      </c>
      <c r="AL521" s="13" t="s">
        <v>1468</v>
      </c>
      <c r="AM521" s="12">
        <v>2017</v>
      </c>
      <c r="AN521" s="12" t="s">
        <v>150</v>
      </c>
      <c r="AO521" s="12" t="s">
        <v>56</v>
      </c>
      <c r="AP521" s="12"/>
      <c r="AQ521" s="12" t="s">
        <v>56</v>
      </c>
      <c r="AR521" s="12" t="s">
        <v>58</v>
      </c>
      <c r="AS521" s="12" t="s">
        <v>94</v>
      </c>
      <c r="AT521" s="12"/>
      <c r="AU521" s="45"/>
      <c r="AV521" s="15"/>
      <c r="AW521" s="12" t="str">
        <f>B521&amp;C521&amp;L521&amp;M521&amp;O521&amp;U521&amp;AL521&amp;AM521</f>
        <v>FijiNamada marine protected areaScaridaeScraping parrotfishdensity1.18965001495663Bonaldo2017</v>
      </c>
    </row>
    <row r="522" spans="1:49" ht="14.25" customHeight="1" x14ac:dyDescent="0.35">
      <c r="A522" s="12">
        <v>521</v>
      </c>
      <c r="B522" s="15" t="s">
        <v>1095</v>
      </c>
      <c r="C522" s="43" t="s">
        <v>1464</v>
      </c>
      <c r="D522" s="43" t="s">
        <v>1464</v>
      </c>
      <c r="E522" s="15" t="s">
        <v>171</v>
      </c>
      <c r="F522" s="13" t="s">
        <v>50</v>
      </c>
      <c r="G522" s="13" t="s">
        <v>51</v>
      </c>
      <c r="H522" s="16" t="s">
        <v>52</v>
      </c>
      <c r="I522" s="16" t="s">
        <v>156</v>
      </c>
      <c r="J522" s="17">
        <v>0.5</v>
      </c>
      <c r="K522" s="17"/>
      <c r="L522" s="17" t="s">
        <v>267</v>
      </c>
      <c r="M522" s="17" t="s">
        <v>1470</v>
      </c>
      <c r="N522" s="53" t="s">
        <v>98</v>
      </c>
      <c r="O522" s="17" t="s">
        <v>86</v>
      </c>
      <c r="P522" s="17"/>
      <c r="Q522" s="17"/>
      <c r="R522" s="17"/>
      <c r="S522" s="17">
        <v>1.8444</v>
      </c>
      <c r="T522" s="17">
        <v>2.0749</v>
      </c>
      <c r="U522" s="20">
        <f t="shared" si="37"/>
        <v>1.1249728909130341</v>
      </c>
      <c r="V522" s="41">
        <f t="shared" si="40"/>
        <v>12.49728909130341</v>
      </c>
      <c r="W522" s="17"/>
      <c r="X522" s="17" t="s">
        <v>56</v>
      </c>
      <c r="Z522" s="17" t="s">
        <v>58</v>
      </c>
      <c r="AA522" s="17" t="s">
        <v>58</v>
      </c>
      <c r="AB522" s="17" t="s">
        <v>57</v>
      </c>
      <c r="AC522" s="17">
        <v>2010</v>
      </c>
      <c r="AD522" s="17"/>
      <c r="AE522" s="17">
        <v>27</v>
      </c>
      <c r="AF522" s="17"/>
      <c r="AG522" s="17">
        <v>2002</v>
      </c>
      <c r="AH522" s="14">
        <f t="shared" si="38"/>
        <v>8</v>
      </c>
      <c r="AI522" s="17">
        <f t="shared" si="39"/>
        <v>10.25</v>
      </c>
      <c r="AJ522" s="17"/>
      <c r="AK522" s="17" t="s">
        <v>56</v>
      </c>
      <c r="AL522" s="16" t="s">
        <v>1468</v>
      </c>
      <c r="AM522" s="15">
        <v>2017</v>
      </c>
      <c r="AN522" s="12" t="s">
        <v>150</v>
      </c>
      <c r="AO522" s="15" t="s">
        <v>56</v>
      </c>
      <c r="AP522" s="15"/>
      <c r="AQ522" s="15" t="s">
        <v>56</v>
      </c>
      <c r="AR522" s="15" t="s">
        <v>58</v>
      </c>
      <c r="AS522" s="15" t="s">
        <v>94</v>
      </c>
      <c r="AT522" s="15"/>
      <c r="AU522" s="45"/>
      <c r="AV522" s="15"/>
      <c r="AW522" s="12" t="str">
        <f>B522&amp;C522&amp;L522&amp;M522&amp;O522&amp;U522&amp;AL522&amp;AM522</f>
        <v>FijiNamada marine protected areaScaridaeExcavating parrotfishdensity1.12497289091303Bonaldo2017</v>
      </c>
    </row>
    <row r="523" spans="1:49" ht="14.25" customHeight="1" x14ac:dyDescent="0.35">
      <c r="A523" s="12">
        <v>522</v>
      </c>
      <c r="B523" s="12" t="s">
        <v>1095</v>
      </c>
      <c r="C523" s="43" t="s">
        <v>1464</v>
      </c>
      <c r="D523" s="43" t="s">
        <v>1464</v>
      </c>
      <c r="E523" s="15" t="s">
        <v>171</v>
      </c>
      <c r="F523" s="13" t="s">
        <v>50</v>
      </c>
      <c r="G523" s="13" t="s">
        <v>51</v>
      </c>
      <c r="H523" s="16" t="s">
        <v>52</v>
      </c>
      <c r="I523" s="16" t="s">
        <v>156</v>
      </c>
      <c r="J523" s="17">
        <v>0.5</v>
      </c>
      <c r="K523" s="17"/>
      <c r="L523" s="17"/>
      <c r="M523" s="17" t="s">
        <v>1073</v>
      </c>
      <c r="N523" s="53" t="s">
        <v>98</v>
      </c>
      <c r="O523" s="17" t="s">
        <v>70</v>
      </c>
      <c r="P523" s="17"/>
      <c r="Q523" s="17"/>
      <c r="R523" s="17"/>
      <c r="S523" s="17">
        <v>369.08</v>
      </c>
      <c r="T523" s="17">
        <v>1385.8</v>
      </c>
      <c r="U523" s="20">
        <f t="shared" si="37"/>
        <v>3.754741519453777</v>
      </c>
      <c r="V523" s="41">
        <f t="shared" si="40"/>
        <v>275.47415194537768</v>
      </c>
      <c r="W523" s="17"/>
      <c r="X523" s="17" t="s">
        <v>56</v>
      </c>
      <c r="Z523" s="17" t="s">
        <v>58</v>
      </c>
      <c r="AA523" s="17" t="s">
        <v>58</v>
      </c>
      <c r="AB523" s="17" t="s">
        <v>57</v>
      </c>
      <c r="AC523" s="17">
        <v>2010</v>
      </c>
      <c r="AD523" s="17"/>
      <c r="AE523" s="17">
        <v>27</v>
      </c>
      <c r="AF523" s="17"/>
      <c r="AG523" s="17">
        <v>2002</v>
      </c>
      <c r="AH523" s="14">
        <f t="shared" si="38"/>
        <v>8</v>
      </c>
      <c r="AI523" s="17">
        <f t="shared" si="39"/>
        <v>10.25</v>
      </c>
      <c r="AJ523" s="17"/>
      <c r="AK523" s="17" t="s">
        <v>56</v>
      </c>
      <c r="AL523" s="16" t="s">
        <v>1468</v>
      </c>
      <c r="AM523" s="15">
        <v>2017</v>
      </c>
      <c r="AN523" s="12" t="s">
        <v>150</v>
      </c>
      <c r="AO523" s="15" t="s">
        <v>56</v>
      </c>
      <c r="AP523" s="15"/>
      <c r="AQ523" s="15" t="s">
        <v>56</v>
      </c>
      <c r="AR523" s="15" t="s">
        <v>58</v>
      </c>
      <c r="AS523" s="15" t="s">
        <v>94</v>
      </c>
      <c r="AT523" s="15"/>
      <c r="AU523" s="45"/>
      <c r="AV523" s="15"/>
      <c r="AW523" s="12" t="str">
        <f>B523&amp;C523&amp;L523&amp;M523&amp;O523&amp;U523&amp;AL523&amp;AM523</f>
        <v>FijiNamada marine protected areaGrazersbiomassden3.75474151945378Bonaldo2017</v>
      </c>
    </row>
    <row r="524" spans="1:49" ht="14.25" customHeight="1" x14ac:dyDescent="0.35">
      <c r="A524" s="12">
        <v>523</v>
      </c>
      <c r="B524" s="12" t="s">
        <v>1095</v>
      </c>
      <c r="C524" s="43" t="s">
        <v>1464</v>
      </c>
      <c r="D524" s="43" t="s">
        <v>1464</v>
      </c>
      <c r="E524" s="15" t="s">
        <v>171</v>
      </c>
      <c r="F524" s="13" t="s">
        <v>50</v>
      </c>
      <c r="G524" s="13" t="s">
        <v>51</v>
      </c>
      <c r="H524" s="16" t="s">
        <v>52</v>
      </c>
      <c r="I524" s="16" t="s">
        <v>156</v>
      </c>
      <c r="J524" s="17">
        <v>0.5</v>
      </c>
      <c r="K524" s="17"/>
      <c r="L524" s="17" t="s">
        <v>267</v>
      </c>
      <c r="M524" s="17" t="s">
        <v>1469</v>
      </c>
      <c r="N524" s="53" t="s">
        <v>98</v>
      </c>
      <c r="O524" s="17" t="s">
        <v>70</v>
      </c>
      <c r="P524" s="17"/>
      <c r="Q524" s="17"/>
      <c r="R524" s="17"/>
      <c r="S524" s="17">
        <v>522.28</v>
      </c>
      <c r="T524" s="17">
        <v>675.49</v>
      </c>
      <c r="U524" s="20">
        <f t="shared" si="37"/>
        <v>1.2933483954966685</v>
      </c>
      <c r="V524" s="41">
        <f t="shared" si="40"/>
        <v>29.334839549666846</v>
      </c>
      <c r="W524" s="17"/>
      <c r="X524" s="17" t="s">
        <v>56</v>
      </c>
      <c r="Z524" s="17" t="s">
        <v>58</v>
      </c>
      <c r="AA524" s="17" t="s">
        <v>58</v>
      </c>
      <c r="AB524" s="17" t="s">
        <v>57</v>
      </c>
      <c r="AC524" s="17">
        <v>2010</v>
      </c>
      <c r="AD524" s="17"/>
      <c r="AE524" s="17">
        <v>27</v>
      </c>
      <c r="AF524" s="17"/>
      <c r="AG524" s="17">
        <v>2002</v>
      </c>
      <c r="AH524" s="14">
        <f t="shared" si="38"/>
        <v>8</v>
      </c>
      <c r="AI524" s="17">
        <f t="shared" si="39"/>
        <v>10.25</v>
      </c>
      <c r="AJ524" s="17"/>
      <c r="AK524" s="17" t="s">
        <v>56</v>
      </c>
      <c r="AL524" s="16" t="s">
        <v>1468</v>
      </c>
      <c r="AM524" s="15">
        <v>2017</v>
      </c>
      <c r="AN524" s="12" t="s">
        <v>150</v>
      </c>
      <c r="AO524" s="15" t="s">
        <v>56</v>
      </c>
      <c r="AP524" s="15"/>
      <c r="AQ524" s="15" t="s">
        <v>56</v>
      </c>
      <c r="AR524" s="15" t="s">
        <v>58</v>
      </c>
      <c r="AS524" s="15" t="s">
        <v>94</v>
      </c>
      <c r="AT524" s="15"/>
      <c r="AU524" s="45"/>
      <c r="AV524" s="15"/>
      <c r="AW524" s="12" t="str">
        <f>B524&amp;C524&amp;L524&amp;M524&amp;O524&amp;U524&amp;AL524&amp;AM524</f>
        <v>FijiNamada marine protected areaScaridaeScraping parrotfishbiomassden1.29334839549667Bonaldo2017</v>
      </c>
    </row>
    <row r="525" spans="1:49" ht="14.25" customHeight="1" x14ac:dyDescent="0.35">
      <c r="A525" s="12">
        <v>524</v>
      </c>
      <c r="B525" s="12" t="s">
        <v>1095</v>
      </c>
      <c r="C525" s="43" t="s">
        <v>1464</v>
      </c>
      <c r="D525" s="43" t="s">
        <v>1464</v>
      </c>
      <c r="E525" s="15" t="s">
        <v>171</v>
      </c>
      <c r="F525" s="13" t="s">
        <v>50</v>
      </c>
      <c r="G525" s="13" t="s">
        <v>51</v>
      </c>
      <c r="H525" s="16" t="s">
        <v>52</v>
      </c>
      <c r="I525" s="16" t="s">
        <v>156</v>
      </c>
      <c r="J525" s="17">
        <v>0.5</v>
      </c>
      <c r="K525" s="17"/>
      <c r="L525" s="17" t="s">
        <v>267</v>
      </c>
      <c r="M525" s="17" t="s">
        <v>1470</v>
      </c>
      <c r="N525" s="53" t="s">
        <v>98</v>
      </c>
      <c r="O525" s="17" t="s">
        <v>70</v>
      </c>
      <c r="P525" s="17"/>
      <c r="Q525" s="17"/>
      <c r="R525" s="17"/>
      <c r="S525" s="17">
        <v>20.890999999999998</v>
      </c>
      <c r="T525" s="17">
        <v>118.38</v>
      </c>
      <c r="U525" s="20">
        <f t="shared" si="37"/>
        <v>5.6665549758269114</v>
      </c>
      <c r="V525" s="41">
        <f t="shared" si="40"/>
        <v>466.65549758269111</v>
      </c>
      <c r="W525" s="17"/>
      <c r="X525" s="17" t="s">
        <v>56</v>
      </c>
      <c r="Z525" s="17" t="s">
        <v>58</v>
      </c>
      <c r="AA525" s="17" t="s">
        <v>58</v>
      </c>
      <c r="AB525" s="17" t="s">
        <v>57</v>
      </c>
      <c r="AC525" s="17">
        <v>2010</v>
      </c>
      <c r="AD525" s="17"/>
      <c r="AE525" s="17">
        <v>27</v>
      </c>
      <c r="AF525" s="17"/>
      <c r="AG525" s="17">
        <v>2002</v>
      </c>
      <c r="AH525" s="14">
        <f t="shared" si="38"/>
        <v>8</v>
      </c>
      <c r="AI525" s="17">
        <f t="shared" si="39"/>
        <v>10.25</v>
      </c>
      <c r="AJ525" s="17"/>
      <c r="AK525" s="17" t="s">
        <v>56</v>
      </c>
      <c r="AL525" s="16" t="s">
        <v>1468</v>
      </c>
      <c r="AM525" s="15">
        <v>2017</v>
      </c>
      <c r="AN525" s="12" t="s">
        <v>150</v>
      </c>
      <c r="AO525" s="15" t="s">
        <v>56</v>
      </c>
      <c r="AP525" s="15"/>
      <c r="AQ525" s="15" t="s">
        <v>56</v>
      </c>
      <c r="AR525" s="15" t="s">
        <v>58</v>
      </c>
      <c r="AS525" s="15" t="s">
        <v>94</v>
      </c>
      <c r="AT525" s="15"/>
      <c r="AU525" s="45"/>
      <c r="AV525" s="15"/>
      <c r="AW525" s="12" t="str">
        <f>B525&amp;C525&amp;L525&amp;M525&amp;O525&amp;U525&amp;AL525&amp;AM525</f>
        <v>FijiNamada marine protected areaScaridaeExcavating parrotfishbiomassden5.66655497582691Bonaldo2017</v>
      </c>
    </row>
    <row r="526" spans="1:49" ht="14.25" customHeight="1" x14ac:dyDescent="0.35">
      <c r="A526" s="12">
        <v>525</v>
      </c>
      <c r="B526" s="12" t="s">
        <v>1095</v>
      </c>
      <c r="C526" s="43" t="s">
        <v>2019</v>
      </c>
      <c r="D526" s="43" t="s">
        <v>2019</v>
      </c>
      <c r="E526" s="15" t="s">
        <v>171</v>
      </c>
      <c r="F526" s="13" t="s">
        <v>50</v>
      </c>
      <c r="G526" s="13" t="s">
        <v>51</v>
      </c>
      <c r="H526" s="16" t="s">
        <v>52</v>
      </c>
      <c r="I526" s="16" t="s">
        <v>156</v>
      </c>
      <c r="J526" s="17">
        <v>0.8</v>
      </c>
      <c r="K526" s="17"/>
      <c r="L526" s="17"/>
      <c r="M526" s="17" t="s">
        <v>1471</v>
      </c>
      <c r="N526" s="53" t="s">
        <v>98</v>
      </c>
      <c r="O526" s="17" t="s">
        <v>86</v>
      </c>
      <c r="P526" s="17"/>
      <c r="Q526" s="17"/>
      <c r="R526" s="17"/>
      <c r="S526" s="17">
        <v>13</v>
      </c>
      <c r="T526" s="17">
        <v>10.92</v>
      </c>
      <c r="U526" s="20">
        <f t="shared" si="37"/>
        <v>0.84</v>
      </c>
      <c r="V526" s="41">
        <f t="shared" si="40"/>
        <v>-16.000000000000004</v>
      </c>
      <c r="W526" s="17"/>
      <c r="X526" s="17" t="s">
        <v>56</v>
      </c>
      <c r="Z526" s="17" t="s">
        <v>58</v>
      </c>
      <c r="AA526" s="17" t="s">
        <v>58</v>
      </c>
      <c r="AB526" s="17" t="s">
        <v>57</v>
      </c>
      <c r="AC526" s="17">
        <v>2010</v>
      </c>
      <c r="AD526" s="17"/>
      <c r="AE526" s="17">
        <v>27</v>
      </c>
      <c r="AF526" s="17"/>
      <c r="AG526" s="17">
        <v>2003</v>
      </c>
      <c r="AH526" s="14">
        <f t="shared" si="38"/>
        <v>7</v>
      </c>
      <c r="AI526" s="17">
        <f t="shared" si="39"/>
        <v>9.25</v>
      </c>
      <c r="AJ526" s="17"/>
      <c r="AK526" s="17" t="s">
        <v>56</v>
      </c>
      <c r="AL526" s="16" t="s">
        <v>1468</v>
      </c>
      <c r="AM526" s="15">
        <v>2017</v>
      </c>
      <c r="AN526" s="15" t="s">
        <v>150</v>
      </c>
      <c r="AO526" s="15" t="s">
        <v>56</v>
      </c>
      <c r="AP526" s="15"/>
      <c r="AQ526" s="15" t="s">
        <v>56</v>
      </c>
      <c r="AR526" s="15" t="s">
        <v>58</v>
      </c>
      <c r="AS526" s="15" t="s">
        <v>94</v>
      </c>
      <c r="AT526" s="15"/>
      <c r="AU526" s="45"/>
      <c r="AV526" s="15"/>
      <c r="AW526" s="12" t="str">
        <f>B526&amp;C526&amp;L526&amp;M526&amp;O526&amp;U526&amp;AL526&amp;AM526</f>
        <v>FijiVotua marine protected areaMobile Invert Feedersdensity0.84Bonaldo2017</v>
      </c>
    </row>
    <row r="527" spans="1:49" ht="14.25" customHeight="1" x14ac:dyDescent="0.35">
      <c r="A527" s="12">
        <v>526</v>
      </c>
      <c r="B527" s="12" t="s">
        <v>1095</v>
      </c>
      <c r="C527" s="43" t="s">
        <v>2019</v>
      </c>
      <c r="D527" s="43" t="s">
        <v>2019</v>
      </c>
      <c r="E527" s="15" t="s">
        <v>171</v>
      </c>
      <c r="F527" s="13" t="s">
        <v>50</v>
      </c>
      <c r="G527" s="13" t="s">
        <v>51</v>
      </c>
      <c r="H527" s="16" t="s">
        <v>52</v>
      </c>
      <c r="I527" s="16" t="s">
        <v>156</v>
      </c>
      <c r="J527" s="17">
        <v>0.8</v>
      </c>
      <c r="K527" s="17"/>
      <c r="L527" s="17"/>
      <c r="M527" s="17" t="s">
        <v>1472</v>
      </c>
      <c r="N527" s="53" t="s">
        <v>98</v>
      </c>
      <c r="O527" s="17" t="s">
        <v>86</v>
      </c>
      <c r="P527" s="17"/>
      <c r="Q527" s="17"/>
      <c r="R527" s="17"/>
      <c r="S527" s="17">
        <v>1.9856</v>
      </c>
      <c r="T527" s="17">
        <v>3.9437000000000002</v>
      </c>
      <c r="U527" s="20">
        <f t="shared" si="37"/>
        <v>1.9861502820306205</v>
      </c>
      <c r="V527" s="41">
        <f t="shared" si="40"/>
        <v>98.615028203062053</v>
      </c>
      <c r="W527" s="17"/>
      <c r="X527" s="17" t="s">
        <v>56</v>
      </c>
      <c r="Z527" s="17" t="s">
        <v>58</v>
      </c>
      <c r="AA527" s="17" t="s">
        <v>58</v>
      </c>
      <c r="AB527" s="17" t="s">
        <v>57</v>
      </c>
      <c r="AC527" s="17">
        <v>2010</v>
      </c>
      <c r="AD527" s="17"/>
      <c r="AE527" s="17">
        <v>27</v>
      </c>
      <c r="AF527" s="17"/>
      <c r="AG527" s="17">
        <v>2003</v>
      </c>
      <c r="AH527" s="14">
        <f t="shared" si="38"/>
        <v>7</v>
      </c>
      <c r="AI527" s="17">
        <f t="shared" si="39"/>
        <v>9.25</v>
      </c>
      <c r="AJ527" s="17"/>
      <c r="AK527" s="17" t="s">
        <v>56</v>
      </c>
      <c r="AL527" s="16" t="s">
        <v>1468</v>
      </c>
      <c r="AM527" s="15">
        <v>2017</v>
      </c>
      <c r="AN527" s="15" t="s">
        <v>150</v>
      </c>
      <c r="AO527" s="15" t="s">
        <v>56</v>
      </c>
      <c r="AP527" s="15"/>
      <c r="AQ527" s="15" t="s">
        <v>56</v>
      </c>
      <c r="AR527" s="15" t="s">
        <v>58</v>
      </c>
      <c r="AS527" s="15" t="s">
        <v>94</v>
      </c>
      <c r="AT527" s="15"/>
      <c r="AU527" s="45"/>
      <c r="AV527" s="15"/>
      <c r="AW527" s="12" t="str">
        <f>B527&amp;C527&amp;L527&amp;M527&amp;O527&amp;U527&amp;AL527&amp;AM527</f>
        <v>FijiVotua marine protected areaSessile Invert Feedersdensity1.98615028203062Bonaldo2017</v>
      </c>
    </row>
    <row r="528" spans="1:49" ht="14.25" customHeight="1" x14ac:dyDescent="0.35">
      <c r="A528" s="12">
        <v>527</v>
      </c>
      <c r="B528" s="12" t="s">
        <v>1095</v>
      </c>
      <c r="C528" s="43" t="s">
        <v>2019</v>
      </c>
      <c r="D528" s="43" t="s">
        <v>2019</v>
      </c>
      <c r="E528" s="15" t="s">
        <v>171</v>
      </c>
      <c r="F528" s="16" t="s">
        <v>50</v>
      </c>
      <c r="G528" s="16" t="s">
        <v>51</v>
      </c>
      <c r="H528" s="16" t="s">
        <v>52</v>
      </c>
      <c r="I528" s="16" t="s">
        <v>156</v>
      </c>
      <c r="J528" s="17">
        <v>0.8</v>
      </c>
      <c r="K528" s="17"/>
      <c r="L528" s="17"/>
      <c r="M528" s="17" t="s">
        <v>1473</v>
      </c>
      <c r="N528" s="53" t="s">
        <v>98</v>
      </c>
      <c r="O528" s="17" t="s">
        <v>86</v>
      </c>
      <c r="P528" s="17"/>
      <c r="Q528" s="17"/>
      <c r="R528" s="17"/>
      <c r="S528" s="17">
        <v>0.88410999999999995</v>
      </c>
      <c r="T528" s="17">
        <v>0.88410999999999995</v>
      </c>
      <c r="U528" s="20">
        <f t="shared" si="37"/>
        <v>1</v>
      </c>
      <c r="V528" s="41">
        <f t="shared" si="40"/>
        <v>0</v>
      </c>
      <c r="W528" s="17"/>
      <c r="X528" s="17" t="s">
        <v>56</v>
      </c>
      <c r="Z528" s="17" t="s">
        <v>58</v>
      </c>
      <c r="AA528" s="17" t="s">
        <v>58</v>
      </c>
      <c r="AB528" s="17" t="s">
        <v>57</v>
      </c>
      <c r="AC528" s="17">
        <v>2010</v>
      </c>
      <c r="AD528" s="17"/>
      <c r="AE528" s="17">
        <v>27</v>
      </c>
      <c r="AF528" s="17"/>
      <c r="AG528" s="17">
        <v>2003</v>
      </c>
      <c r="AH528" s="14">
        <f t="shared" si="38"/>
        <v>7</v>
      </c>
      <c r="AI528" s="17">
        <f t="shared" si="39"/>
        <v>9.25</v>
      </c>
      <c r="AJ528" s="17"/>
      <c r="AK528" s="17" t="s">
        <v>56</v>
      </c>
      <c r="AL528" s="16" t="s">
        <v>1468</v>
      </c>
      <c r="AM528" s="15">
        <v>2017</v>
      </c>
      <c r="AN528" s="15" t="s">
        <v>150</v>
      </c>
      <c r="AO528" s="15" t="s">
        <v>56</v>
      </c>
      <c r="AP528" s="15"/>
      <c r="AQ528" s="15" t="s">
        <v>56</v>
      </c>
      <c r="AR528" s="15" t="s">
        <v>58</v>
      </c>
      <c r="AS528" s="15" t="s">
        <v>94</v>
      </c>
      <c r="AT528" s="15"/>
      <c r="AU528" s="45"/>
      <c r="AV528" s="15"/>
      <c r="AW528" s="12" t="str">
        <f>B528&amp;C528&amp;L528&amp;M528&amp;O528&amp;U528&amp;AL528&amp;AM528</f>
        <v>FijiVotua marine protected areaOmnivoresdensity1Bonaldo2017</v>
      </c>
    </row>
    <row r="529" spans="1:49" ht="14.25" customHeight="1" x14ac:dyDescent="0.35">
      <c r="A529" s="12">
        <v>528</v>
      </c>
      <c r="B529" s="12" t="s">
        <v>1095</v>
      </c>
      <c r="C529" s="43" t="s">
        <v>2019</v>
      </c>
      <c r="D529" s="43" t="s">
        <v>2019</v>
      </c>
      <c r="E529" s="15" t="s">
        <v>171</v>
      </c>
      <c r="F529" s="13" t="s">
        <v>50</v>
      </c>
      <c r="G529" s="13" t="s">
        <v>51</v>
      </c>
      <c r="H529" s="16" t="s">
        <v>52</v>
      </c>
      <c r="I529" s="16" t="s">
        <v>156</v>
      </c>
      <c r="J529" s="17">
        <v>0.8</v>
      </c>
      <c r="K529" s="17"/>
      <c r="L529" s="17"/>
      <c r="M529" s="17" t="s">
        <v>1402</v>
      </c>
      <c r="N529" s="53" t="s">
        <v>98</v>
      </c>
      <c r="O529" s="17" t="s">
        <v>86</v>
      </c>
      <c r="P529" s="17"/>
      <c r="Q529" s="17"/>
      <c r="R529" s="17"/>
      <c r="S529" s="17">
        <v>2.7414000000000001E-2</v>
      </c>
      <c r="T529" s="17">
        <v>0.88410999999999995</v>
      </c>
      <c r="U529" s="20">
        <f t="shared" si="37"/>
        <v>32.250310060552998</v>
      </c>
      <c r="V529" s="41">
        <f t="shared" si="40"/>
        <v>3125.0310060552997</v>
      </c>
      <c r="W529" s="17"/>
      <c r="X529" s="17" t="s">
        <v>56</v>
      </c>
      <c r="Z529" s="17" t="s">
        <v>58</v>
      </c>
      <c r="AA529" s="17" t="s">
        <v>58</v>
      </c>
      <c r="AB529" s="17" t="s">
        <v>57</v>
      </c>
      <c r="AC529" s="17">
        <v>2010</v>
      </c>
      <c r="AD529" s="17"/>
      <c r="AE529" s="17">
        <v>27</v>
      </c>
      <c r="AF529" s="17"/>
      <c r="AG529" s="17">
        <v>2003</v>
      </c>
      <c r="AH529" s="14">
        <f t="shared" si="38"/>
        <v>7</v>
      </c>
      <c r="AI529" s="17">
        <f t="shared" si="39"/>
        <v>9.25</v>
      </c>
      <c r="AJ529" s="17"/>
      <c r="AK529" s="17" t="s">
        <v>56</v>
      </c>
      <c r="AL529" s="16" t="s">
        <v>1468</v>
      </c>
      <c r="AM529" s="15">
        <v>2017</v>
      </c>
      <c r="AN529" s="15" t="s">
        <v>150</v>
      </c>
      <c r="AO529" s="15" t="s">
        <v>56</v>
      </c>
      <c r="AP529" s="15"/>
      <c r="AQ529" s="15" t="s">
        <v>56</v>
      </c>
      <c r="AR529" s="15" t="s">
        <v>58</v>
      </c>
      <c r="AS529" s="15" t="s">
        <v>94</v>
      </c>
      <c r="AT529" s="15"/>
      <c r="AU529" s="45"/>
      <c r="AV529" s="15"/>
      <c r="AW529" s="12" t="str">
        <f>B529&amp;C529&amp;L529&amp;M529&amp;O529&amp;U529&amp;AL529&amp;AM529</f>
        <v>FijiVotua marine protected areaPiscivoresdensity32.250310060553Bonaldo2017</v>
      </c>
    </row>
    <row r="530" spans="1:49" ht="14.25" customHeight="1" x14ac:dyDescent="0.35">
      <c r="A530" s="12">
        <v>529</v>
      </c>
      <c r="B530" s="12" t="s">
        <v>1095</v>
      </c>
      <c r="C530" s="43" t="s">
        <v>2019</v>
      </c>
      <c r="D530" s="43" t="s">
        <v>2019</v>
      </c>
      <c r="E530" s="15" t="s">
        <v>171</v>
      </c>
      <c r="F530" s="13" t="s">
        <v>50</v>
      </c>
      <c r="G530" s="13" t="s">
        <v>51</v>
      </c>
      <c r="H530" s="16" t="s">
        <v>52</v>
      </c>
      <c r="I530" s="16" t="s">
        <v>156</v>
      </c>
      <c r="J530" s="17">
        <v>0.8</v>
      </c>
      <c r="K530" s="17"/>
      <c r="L530" s="17"/>
      <c r="M530" s="17" t="s">
        <v>1471</v>
      </c>
      <c r="N530" s="53" t="s">
        <v>98</v>
      </c>
      <c r="O530" s="17" t="s">
        <v>70</v>
      </c>
      <c r="P530" s="17"/>
      <c r="Q530" s="17"/>
      <c r="R530" s="17"/>
      <c r="S530" s="17">
        <v>276.70999999999998</v>
      </c>
      <c r="T530" s="17">
        <v>284.79000000000002</v>
      </c>
      <c r="U530" s="20">
        <f t="shared" si="37"/>
        <v>1.0292002457446425</v>
      </c>
      <c r="V530" s="41">
        <f t="shared" si="40"/>
        <v>2.9200245744642528</v>
      </c>
      <c r="W530" s="17"/>
      <c r="X530" s="17" t="s">
        <v>56</v>
      </c>
      <c r="Z530" s="17" t="s">
        <v>58</v>
      </c>
      <c r="AA530" s="17" t="s">
        <v>58</v>
      </c>
      <c r="AB530" s="17" t="s">
        <v>57</v>
      </c>
      <c r="AC530" s="17">
        <v>2010</v>
      </c>
      <c r="AD530" s="17"/>
      <c r="AE530" s="17">
        <v>27</v>
      </c>
      <c r="AF530" s="17"/>
      <c r="AG530" s="17">
        <v>2003</v>
      </c>
      <c r="AH530" s="14">
        <f t="shared" si="38"/>
        <v>7</v>
      </c>
      <c r="AI530" s="17">
        <f t="shared" si="39"/>
        <v>9.25</v>
      </c>
      <c r="AJ530" s="17"/>
      <c r="AK530" s="17" t="s">
        <v>56</v>
      </c>
      <c r="AL530" s="16" t="s">
        <v>1468</v>
      </c>
      <c r="AM530" s="15">
        <v>2017</v>
      </c>
      <c r="AN530" s="15" t="s">
        <v>150</v>
      </c>
      <c r="AO530" s="15" t="s">
        <v>56</v>
      </c>
      <c r="AP530" s="15"/>
      <c r="AQ530" s="15" t="s">
        <v>56</v>
      </c>
      <c r="AR530" s="15" t="s">
        <v>58</v>
      </c>
      <c r="AS530" s="15" t="s">
        <v>94</v>
      </c>
      <c r="AT530" s="15"/>
      <c r="AU530" s="45"/>
      <c r="AV530" s="15"/>
      <c r="AW530" s="12" t="str">
        <f>B530&amp;C530&amp;L530&amp;M530&amp;O530&amp;U530&amp;AL530&amp;AM530</f>
        <v>FijiVotua marine protected areaMobile Invert Feedersbiomassden1.02920024574464Bonaldo2017</v>
      </c>
    </row>
    <row r="531" spans="1:49" ht="14.25" customHeight="1" x14ac:dyDescent="0.35">
      <c r="A531" s="12">
        <v>530</v>
      </c>
      <c r="B531" s="12" t="s">
        <v>1095</v>
      </c>
      <c r="C531" s="44" t="s">
        <v>2019</v>
      </c>
      <c r="D531" s="43" t="s">
        <v>2019</v>
      </c>
      <c r="E531" s="12" t="s">
        <v>171</v>
      </c>
      <c r="F531" s="13" t="s">
        <v>50</v>
      </c>
      <c r="G531" s="13" t="s">
        <v>51</v>
      </c>
      <c r="H531" s="13" t="s">
        <v>52</v>
      </c>
      <c r="I531" s="13" t="s">
        <v>156</v>
      </c>
      <c r="J531" s="17">
        <v>0.8</v>
      </c>
      <c r="K531" s="14"/>
      <c r="L531" s="14"/>
      <c r="M531" s="14" t="s">
        <v>1472</v>
      </c>
      <c r="N531" s="53" t="s">
        <v>98</v>
      </c>
      <c r="O531" s="17" t="s">
        <v>70</v>
      </c>
      <c r="P531" s="14"/>
      <c r="Q531" s="14"/>
      <c r="R531" s="14"/>
      <c r="S531" s="14">
        <v>12.725</v>
      </c>
      <c r="T531" s="14">
        <v>45.05</v>
      </c>
      <c r="U531" s="19">
        <f t="shared" si="37"/>
        <v>3.5402750491159134</v>
      </c>
      <c r="V531" s="41">
        <f t="shared" si="40"/>
        <v>254.02750491159134</v>
      </c>
      <c r="W531" s="14"/>
      <c r="X531" s="17" t="s">
        <v>56</v>
      </c>
      <c r="Z531" s="14" t="s">
        <v>58</v>
      </c>
      <c r="AA531" s="17" t="s">
        <v>58</v>
      </c>
      <c r="AB531" s="14" t="s">
        <v>57</v>
      </c>
      <c r="AC531" s="14">
        <v>2010</v>
      </c>
      <c r="AD531" s="14"/>
      <c r="AE531" s="14">
        <v>27</v>
      </c>
      <c r="AF531" s="14"/>
      <c r="AG531" s="14">
        <v>2003</v>
      </c>
      <c r="AH531" s="14">
        <f t="shared" si="38"/>
        <v>7</v>
      </c>
      <c r="AI531" s="17">
        <f t="shared" si="39"/>
        <v>9.25</v>
      </c>
      <c r="AJ531" s="14"/>
      <c r="AK531" s="14" t="s">
        <v>56</v>
      </c>
      <c r="AL531" s="13" t="s">
        <v>1468</v>
      </c>
      <c r="AM531" s="12">
        <v>2017</v>
      </c>
      <c r="AN531" s="12" t="s">
        <v>150</v>
      </c>
      <c r="AO531" s="12" t="s">
        <v>56</v>
      </c>
      <c r="AP531" s="12"/>
      <c r="AQ531" s="12" t="s">
        <v>56</v>
      </c>
      <c r="AR531" s="12" t="s">
        <v>58</v>
      </c>
      <c r="AS531" s="12" t="s">
        <v>94</v>
      </c>
      <c r="AT531" s="12"/>
      <c r="AU531" s="45"/>
      <c r="AV531" s="15"/>
      <c r="AW531" s="12" t="str">
        <f>B531&amp;C531&amp;L531&amp;M531&amp;O531&amp;U531&amp;AL531&amp;AM531</f>
        <v>FijiVotua marine protected areaSessile Invert Feedersbiomassden3.54027504911591Bonaldo2017</v>
      </c>
    </row>
    <row r="532" spans="1:49" ht="14.25" customHeight="1" x14ac:dyDescent="0.35">
      <c r="A532" s="12">
        <v>531</v>
      </c>
      <c r="B532" s="12" t="s">
        <v>1095</v>
      </c>
      <c r="C532" s="44" t="s">
        <v>2019</v>
      </c>
      <c r="D532" s="43" t="s">
        <v>2019</v>
      </c>
      <c r="E532" s="12" t="s">
        <v>171</v>
      </c>
      <c r="F532" s="13" t="s">
        <v>50</v>
      </c>
      <c r="G532" s="13" t="s">
        <v>51</v>
      </c>
      <c r="H532" s="13" t="s">
        <v>52</v>
      </c>
      <c r="I532" s="13" t="s">
        <v>156</v>
      </c>
      <c r="J532" s="17">
        <v>0.8</v>
      </c>
      <c r="K532" s="14"/>
      <c r="L532" s="14"/>
      <c r="M532" s="14" t="s">
        <v>1473</v>
      </c>
      <c r="N532" s="53" t="s">
        <v>98</v>
      </c>
      <c r="O532" s="17" t="s">
        <v>70</v>
      </c>
      <c r="P532" s="14"/>
      <c r="Q532" s="14"/>
      <c r="R532" s="14"/>
      <c r="S532" s="14">
        <v>58.518999999999998</v>
      </c>
      <c r="T532" s="14">
        <v>58.518999999999998</v>
      </c>
      <c r="U532" s="19">
        <f t="shared" si="37"/>
        <v>1</v>
      </c>
      <c r="V532" s="41">
        <f t="shared" si="40"/>
        <v>0</v>
      </c>
      <c r="W532" s="14"/>
      <c r="X532" s="17" t="s">
        <v>56</v>
      </c>
      <c r="Z532" s="14" t="s">
        <v>58</v>
      </c>
      <c r="AA532" s="17" t="s">
        <v>58</v>
      </c>
      <c r="AB532" s="14" t="s">
        <v>57</v>
      </c>
      <c r="AC532" s="14">
        <v>2010</v>
      </c>
      <c r="AD532" s="14"/>
      <c r="AE532" s="14">
        <v>27</v>
      </c>
      <c r="AF532" s="14"/>
      <c r="AG532" s="14">
        <v>2003</v>
      </c>
      <c r="AH532" s="14">
        <f t="shared" si="38"/>
        <v>7</v>
      </c>
      <c r="AI532" s="17">
        <f t="shared" si="39"/>
        <v>9.25</v>
      </c>
      <c r="AJ532" s="14"/>
      <c r="AK532" s="14" t="s">
        <v>56</v>
      </c>
      <c r="AL532" s="13" t="s">
        <v>1468</v>
      </c>
      <c r="AM532" s="12">
        <v>2017</v>
      </c>
      <c r="AN532" s="12" t="s">
        <v>150</v>
      </c>
      <c r="AO532" s="12" t="s">
        <v>56</v>
      </c>
      <c r="AP532" s="12"/>
      <c r="AQ532" s="12" t="s">
        <v>56</v>
      </c>
      <c r="AR532" s="12" t="s">
        <v>58</v>
      </c>
      <c r="AS532" s="12" t="s">
        <v>94</v>
      </c>
      <c r="AT532" s="12"/>
      <c r="AU532" s="45"/>
      <c r="AV532" s="15"/>
      <c r="AW532" s="12" t="str">
        <f>B532&amp;C532&amp;L532&amp;M532&amp;O532&amp;U532&amp;AL532&amp;AM532</f>
        <v>FijiVotua marine protected areaOmnivoresbiomassden1Bonaldo2017</v>
      </c>
    </row>
    <row r="533" spans="1:49" ht="14.25" customHeight="1" x14ac:dyDescent="0.35">
      <c r="A533" s="12">
        <v>532</v>
      </c>
      <c r="B533" s="12" t="s">
        <v>1095</v>
      </c>
      <c r="C533" s="44" t="s">
        <v>2012</v>
      </c>
      <c r="D533" s="43" t="s">
        <v>2012</v>
      </c>
      <c r="E533" s="12" t="s">
        <v>171</v>
      </c>
      <c r="F533" s="13" t="s">
        <v>50</v>
      </c>
      <c r="G533" s="13" t="s">
        <v>51</v>
      </c>
      <c r="H533" s="13" t="s">
        <v>52</v>
      </c>
      <c r="I533" s="13" t="s">
        <v>156</v>
      </c>
      <c r="J533" s="17">
        <v>0.5</v>
      </c>
      <c r="K533" s="14"/>
      <c r="L533" s="14"/>
      <c r="M533" s="14" t="s">
        <v>1471</v>
      </c>
      <c r="N533" s="53" t="s">
        <v>98</v>
      </c>
      <c r="O533" s="17" t="s">
        <v>86</v>
      </c>
      <c r="P533" s="14"/>
      <c r="Q533" s="14"/>
      <c r="R533" s="14"/>
      <c r="S533" s="14">
        <v>13.675000000000001</v>
      </c>
      <c r="T533" s="14">
        <v>23.625</v>
      </c>
      <c r="U533" s="19">
        <f t="shared" si="37"/>
        <v>1.7276051188299817</v>
      </c>
      <c r="V533" s="41">
        <f t="shared" si="40"/>
        <v>72.760511882998173</v>
      </c>
      <c r="W533" s="14"/>
      <c r="X533" s="17" t="s">
        <v>56</v>
      </c>
      <c r="Z533" s="14" t="s">
        <v>58</v>
      </c>
      <c r="AA533" s="17" t="s">
        <v>58</v>
      </c>
      <c r="AB533" s="14" t="s">
        <v>57</v>
      </c>
      <c r="AC533" s="14">
        <v>2010</v>
      </c>
      <c r="AD533" s="14"/>
      <c r="AE533" s="14">
        <v>27</v>
      </c>
      <c r="AF533" s="14"/>
      <c r="AG533" s="14">
        <v>2002</v>
      </c>
      <c r="AH533" s="14">
        <f t="shared" si="38"/>
        <v>8</v>
      </c>
      <c r="AI533" s="17">
        <f t="shared" si="39"/>
        <v>10.25</v>
      </c>
      <c r="AJ533" s="14"/>
      <c r="AK533" s="14" t="s">
        <v>56</v>
      </c>
      <c r="AL533" s="13" t="s">
        <v>1468</v>
      </c>
      <c r="AM533" s="12">
        <v>2017</v>
      </c>
      <c r="AN533" s="12" t="s">
        <v>150</v>
      </c>
      <c r="AO533" s="12" t="s">
        <v>56</v>
      </c>
      <c r="AP533" s="12"/>
      <c r="AQ533" s="12" t="s">
        <v>56</v>
      </c>
      <c r="AR533" s="12" t="s">
        <v>58</v>
      </c>
      <c r="AS533" s="12" t="s">
        <v>94</v>
      </c>
      <c r="AT533" s="12"/>
      <c r="AU533" s="45"/>
      <c r="AV533" s="15"/>
      <c r="AW533" s="12" t="str">
        <f>B533&amp;C533&amp;L533&amp;M533&amp;O533&amp;U533&amp;AL533&amp;AM533</f>
        <v>FijiVatu-o-lalai marine protected areaMobile Invert Feedersdensity1.72760511882998Bonaldo2017</v>
      </c>
    </row>
    <row r="534" spans="1:49" ht="14.25" customHeight="1" x14ac:dyDescent="0.35">
      <c r="A534" s="12">
        <v>533</v>
      </c>
      <c r="B534" s="12" t="s">
        <v>1095</v>
      </c>
      <c r="C534" s="44" t="s">
        <v>2012</v>
      </c>
      <c r="D534" s="43" t="s">
        <v>2012</v>
      </c>
      <c r="E534" s="12" t="s">
        <v>171</v>
      </c>
      <c r="F534" s="13" t="s">
        <v>50</v>
      </c>
      <c r="G534" s="13" t="s">
        <v>51</v>
      </c>
      <c r="H534" s="13" t="s">
        <v>52</v>
      </c>
      <c r="I534" s="13" t="s">
        <v>156</v>
      </c>
      <c r="J534" s="17">
        <v>0.5</v>
      </c>
      <c r="K534" s="14"/>
      <c r="L534" s="14"/>
      <c r="M534" s="14" t="s">
        <v>1472</v>
      </c>
      <c r="N534" s="53" t="s">
        <v>98</v>
      </c>
      <c r="O534" s="17" t="s">
        <v>86</v>
      </c>
      <c r="P534" s="14"/>
      <c r="Q534" s="14"/>
      <c r="R534" s="14"/>
      <c r="S534" s="14">
        <v>3.0143</v>
      </c>
      <c r="T534" s="14">
        <v>1.8298000000000001</v>
      </c>
      <c r="U534" s="19">
        <f t="shared" si="37"/>
        <v>0.60703977706266798</v>
      </c>
      <c r="V534" s="41">
        <f t="shared" si="40"/>
        <v>-39.296022293733202</v>
      </c>
      <c r="W534" s="14"/>
      <c r="X534" s="17" t="s">
        <v>56</v>
      </c>
      <c r="Z534" s="14" t="s">
        <v>58</v>
      </c>
      <c r="AA534" s="17" t="s">
        <v>58</v>
      </c>
      <c r="AB534" s="14" t="s">
        <v>57</v>
      </c>
      <c r="AC534" s="14">
        <v>2010</v>
      </c>
      <c r="AD534" s="14"/>
      <c r="AE534" s="14">
        <v>27</v>
      </c>
      <c r="AF534" s="14"/>
      <c r="AG534" s="14">
        <v>2002</v>
      </c>
      <c r="AH534" s="14">
        <f t="shared" si="38"/>
        <v>8</v>
      </c>
      <c r="AI534" s="17">
        <f t="shared" si="39"/>
        <v>10.25</v>
      </c>
      <c r="AJ534" s="14"/>
      <c r="AK534" s="14" t="s">
        <v>56</v>
      </c>
      <c r="AL534" s="13" t="s">
        <v>1468</v>
      </c>
      <c r="AM534" s="12">
        <v>2017</v>
      </c>
      <c r="AN534" s="12" t="s">
        <v>150</v>
      </c>
      <c r="AO534" s="12" t="s">
        <v>56</v>
      </c>
      <c r="AP534" s="12"/>
      <c r="AQ534" s="12" t="s">
        <v>56</v>
      </c>
      <c r="AR534" s="12" t="s">
        <v>58</v>
      </c>
      <c r="AS534" s="12" t="s">
        <v>94</v>
      </c>
      <c r="AT534" s="12"/>
      <c r="AU534" s="45"/>
      <c r="AV534" s="15"/>
      <c r="AW534" s="12" t="str">
        <f>B534&amp;C534&amp;L534&amp;M534&amp;O534&amp;U534&amp;AL534&amp;AM534</f>
        <v>FijiVatu-o-lalai marine protected areaSessile Invert Feedersdensity0.607039777062668Bonaldo2017</v>
      </c>
    </row>
    <row r="535" spans="1:49" ht="14.25" customHeight="1" x14ac:dyDescent="0.35">
      <c r="A535" s="12">
        <v>534</v>
      </c>
      <c r="B535" s="12" t="s">
        <v>1095</v>
      </c>
      <c r="C535" s="43" t="s">
        <v>2012</v>
      </c>
      <c r="D535" s="43" t="s">
        <v>2012</v>
      </c>
      <c r="E535" s="12" t="s">
        <v>171</v>
      </c>
      <c r="F535" s="13" t="s">
        <v>50</v>
      </c>
      <c r="G535" s="13" t="s">
        <v>51</v>
      </c>
      <c r="H535" s="16" t="s">
        <v>52</v>
      </c>
      <c r="I535" s="16" t="s">
        <v>156</v>
      </c>
      <c r="J535" s="17">
        <v>0.5</v>
      </c>
      <c r="K535" s="17"/>
      <c r="L535" s="17"/>
      <c r="M535" s="17" t="s">
        <v>1473</v>
      </c>
      <c r="N535" s="53" t="s">
        <v>98</v>
      </c>
      <c r="O535" s="17" t="s">
        <v>86</v>
      </c>
      <c r="P535" s="17"/>
      <c r="Q535" s="17"/>
      <c r="R535" s="17"/>
      <c r="S535" s="17">
        <v>2.3035999999999999</v>
      </c>
      <c r="T535" s="17">
        <v>3.4881000000000002</v>
      </c>
      <c r="U535" s="19">
        <f t="shared" si="37"/>
        <v>1.5141951727730512</v>
      </c>
      <c r="V535" s="41">
        <f t="shared" si="40"/>
        <v>51.419517277305118</v>
      </c>
      <c r="W535" s="14"/>
      <c r="X535" s="17" t="s">
        <v>56</v>
      </c>
      <c r="Z535" s="17" t="s">
        <v>58</v>
      </c>
      <c r="AA535" s="17" t="s">
        <v>58</v>
      </c>
      <c r="AB535" s="17" t="s">
        <v>57</v>
      </c>
      <c r="AC535" s="17">
        <v>2010</v>
      </c>
      <c r="AD535" s="17"/>
      <c r="AE535" s="17">
        <v>27</v>
      </c>
      <c r="AF535" s="17"/>
      <c r="AG535" s="17">
        <v>2002</v>
      </c>
      <c r="AH535" s="14">
        <f t="shared" si="38"/>
        <v>8</v>
      </c>
      <c r="AI535" s="17">
        <f t="shared" si="39"/>
        <v>10.25</v>
      </c>
      <c r="AJ535" s="17"/>
      <c r="AK535" s="17" t="s">
        <v>56</v>
      </c>
      <c r="AL535" s="16" t="s">
        <v>1468</v>
      </c>
      <c r="AM535" s="15">
        <v>2017</v>
      </c>
      <c r="AN535" s="12" t="s">
        <v>150</v>
      </c>
      <c r="AO535" s="15" t="s">
        <v>56</v>
      </c>
      <c r="AP535" s="15"/>
      <c r="AQ535" s="15" t="s">
        <v>56</v>
      </c>
      <c r="AR535" s="15" t="s">
        <v>58</v>
      </c>
      <c r="AS535" s="15" t="s">
        <v>94</v>
      </c>
      <c r="AT535" s="12"/>
      <c r="AU535" s="45"/>
      <c r="AV535" s="15"/>
      <c r="AW535" s="12" t="str">
        <f>B535&amp;C535&amp;L535&amp;M535&amp;O535&amp;U535&amp;AL535&amp;AM535</f>
        <v>FijiVatu-o-lalai marine protected areaOmnivoresdensity1.51419517277305Bonaldo2017</v>
      </c>
    </row>
    <row r="536" spans="1:49" ht="14.25" customHeight="1" x14ac:dyDescent="0.35">
      <c r="A536" s="12">
        <v>535</v>
      </c>
      <c r="B536" s="12" t="s">
        <v>1095</v>
      </c>
      <c r="C536" s="43" t="s">
        <v>2012</v>
      </c>
      <c r="D536" s="43" t="s">
        <v>2012</v>
      </c>
      <c r="E536" s="12" t="s">
        <v>171</v>
      </c>
      <c r="F536" s="13" t="s">
        <v>50</v>
      </c>
      <c r="G536" s="13" t="s">
        <v>51</v>
      </c>
      <c r="H536" s="16" t="s">
        <v>52</v>
      </c>
      <c r="I536" s="16" t="s">
        <v>156</v>
      </c>
      <c r="J536" s="17">
        <v>0.5</v>
      </c>
      <c r="K536" s="17"/>
      <c r="L536" s="17"/>
      <c r="M536" s="17" t="s">
        <v>1402</v>
      </c>
      <c r="N536" s="53" t="s">
        <v>98</v>
      </c>
      <c r="O536" s="17" t="s">
        <v>86</v>
      </c>
      <c r="P536" s="17"/>
      <c r="Q536" s="17"/>
      <c r="R536" s="17"/>
      <c r="S536" s="17">
        <v>0.40841</v>
      </c>
      <c r="T536" s="17">
        <v>4.9095000000000004</v>
      </c>
      <c r="U536" s="19">
        <f t="shared" si="37"/>
        <v>12.021008300482359</v>
      </c>
      <c r="V536" s="41">
        <f t="shared" si="40"/>
        <v>1102.1008300482358</v>
      </c>
      <c r="W536" s="14"/>
      <c r="X536" s="17" t="s">
        <v>56</v>
      </c>
      <c r="Z536" s="17" t="s">
        <v>58</v>
      </c>
      <c r="AA536" s="17" t="s">
        <v>58</v>
      </c>
      <c r="AB536" s="17" t="s">
        <v>57</v>
      </c>
      <c r="AC536" s="17">
        <v>2010</v>
      </c>
      <c r="AD536" s="17"/>
      <c r="AE536" s="17">
        <v>27</v>
      </c>
      <c r="AF536" s="17"/>
      <c r="AG536" s="17">
        <v>2002</v>
      </c>
      <c r="AH536" s="14">
        <f t="shared" si="38"/>
        <v>8</v>
      </c>
      <c r="AI536" s="17">
        <f t="shared" si="39"/>
        <v>10.25</v>
      </c>
      <c r="AJ536" s="17"/>
      <c r="AK536" s="17" t="s">
        <v>56</v>
      </c>
      <c r="AL536" s="16" t="s">
        <v>1468</v>
      </c>
      <c r="AM536" s="15">
        <v>2017</v>
      </c>
      <c r="AN536" s="12" t="s">
        <v>150</v>
      </c>
      <c r="AO536" s="15" t="s">
        <v>56</v>
      </c>
      <c r="AP536" s="15"/>
      <c r="AQ536" s="15" t="s">
        <v>56</v>
      </c>
      <c r="AR536" s="15" t="s">
        <v>58</v>
      </c>
      <c r="AS536" s="15" t="s">
        <v>94</v>
      </c>
      <c r="AT536" s="12"/>
      <c r="AU536" s="45"/>
      <c r="AV536" s="15"/>
      <c r="AW536" s="12" t="str">
        <f>B536&amp;C536&amp;L536&amp;M536&amp;O536&amp;U536&amp;AL536&amp;AM536</f>
        <v>FijiVatu-o-lalai marine protected areaPiscivoresdensity12.0210083004824Bonaldo2017</v>
      </c>
    </row>
    <row r="537" spans="1:49" ht="14.25" customHeight="1" x14ac:dyDescent="0.35">
      <c r="A537" s="12">
        <v>536</v>
      </c>
      <c r="B537" s="12" t="s">
        <v>1095</v>
      </c>
      <c r="C537" s="43" t="s">
        <v>2012</v>
      </c>
      <c r="D537" s="43" t="s">
        <v>2012</v>
      </c>
      <c r="E537" s="15" t="s">
        <v>171</v>
      </c>
      <c r="F537" s="13" t="s">
        <v>50</v>
      </c>
      <c r="G537" s="16" t="s">
        <v>51</v>
      </c>
      <c r="H537" s="16" t="s">
        <v>52</v>
      </c>
      <c r="I537" s="16" t="s">
        <v>156</v>
      </c>
      <c r="J537" s="17">
        <v>0.5</v>
      </c>
      <c r="K537" s="17"/>
      <c r="L537" s="17"/>
      <c r="M537" s="17" t="s">
        <v>1471</v>
      </c>
      <c r="N537" s="53" t="s">
        <v>98</v>
      </c>
      <c r="O537" s="17" t="s">
        <v>70</v>
      </c>
      <c r="P537" s="17"/>
      <c r="Q537" s="17"/>
      <c r="R537" s="17"/>
      <c r="S537" s="17">
        <v>282.31</v>
      </c>
      <c r="T537" s="17">
        <v>628.27</v>
      </c>
      <c r="U537" s="20">
        <f t="shared" si="37"/>
        <v>2.2254613722503631</v>
      </c>
      <c r="V537" s="41">
        <f t="shared" si="40"/>
        <v>122.54613722503632</v>
      </c>
      <c r="W537" s="17"/>
      <c r="X537" s="17" t="s">
        <v>56</v>
      </c>
      <c r="Z537" s="17" t="s">
        <v>58</v>
      </c>
      <c r="AA537" s="17" t="s">
        <v>58</v>
      </c>
      <c r="AB537" s="17" t="s">
        <v>57</v>
      </c>
      <c r="AC537" s="17">
        <v>2010</v>
      </c>
      <c r="AD537" s="17"/>
      <c r="AE537" s="17">
        <v>27</v>
      </c>
      <c r="AF537" s="17"/>
      <c r="AG537" s="17">
        <v>2002</v>
      </c>
      <c r="AH537" s="14">
        <f t="shared" si="38"/>
        <v>8</v>
      </c>
      <c r="AI537" s="17">
        <f t="shared" si="39"/>
        <v>10.25</v>
      </c>
      <c r="AJ537" s="17"/>
      <c r="AK537" s="17" t="s">
        <v>56</v>
      </c>
      <c r="AL537" s="16" t="s">
        <v>1468</v>
      </c>
      <c r="AM537" s="15">
        <v>2017</v>
      </c>
      <c r="AN537" s="15" t="s">
        <v>150</v>
      </c>
      <c r="AO537" s="15" t="s">
        <v>56</v>
      </c>
      <c r="AP537" s="15"/>
      <c r="AQ537" s="15" t="s">
        <v>56</v>
      </c>
      <c r="AR537" s="15" t="s">
        <v>58</v>
      </c>
      <c r="AS537" s="15" t="s">
        <v>94</v>
      </c>
      <c r="AT537" s="15"/>
      <c r="AU537" s="45"/>
      <c r="AV537" s="15"/>
      <c r="AW537" s="12" t="str">
        <f>B537&amp;C537&amp;L537&amp;M537&amp;O537&amp;U537&amp;AL537&amp;AM537</f>
        <v>FijiVatu-o-lalai marine protected areaMobile Invert Feedersbiomassden2.22546137225036Bonaldo2017</v>
      </c>
    </row>
    <row r="538" spans="1:49" ht="14.25" customHeight="1" x14ac:dyDescent="0.35">
      <c r="A538" s="12">
        <v>537</v>
      </c>
      <c r="B538" s="12" t="s">
        <v>1095</v>
      </c>
      <c r="C538" s="43" t="s">
        <v>2012</v>
      </c>
      <c r="D538" s="43" t="s">
        <v>2012</v>
      </c>
      <c r="E538" s="15" t="s">
        <v>171</v>
      </c>
      <c r="F538" s="16" t="s">
        <v>50</v>
      </c>
      <c r="G538" s="16" t="s">
        <v>51</v>
      </c>
      <c r="H538" s="16" t="s">
        <v>52</v>
      </c>
      <c r="I538" s="16" t="s">
        <v>156</v>
      </c>
      <c r="J538" s="17">
        <v>0.5</v>
      </c>
      <c r="K538" s="17"/>
      <c r="L538" s="17"/>
      <c r="M538" s="17" t="s">
        <v>1472</v>
      </c>
      <c r="N538" s="53" t="s">
        <v>98</v>
      </c>
      <c r="O538" s="17" t="s">
        <v>70</v>
      </c>
      <c r="P538" s="17"/>
      <c r="Q538" s="17"/>
      <c r="R538" s="17"/>
      <c r="S538" s="17">
        <v>17.428000000000001</v>
      </c>
      <c r="T538" s="17">
        <v>12.022</v>
      </c>
      <c r="U538" s="20">
        <f t="shared" si="37"/>
        <v>0.68980950195088364</v>
      </c>
      <c r="V538" s="41">
        <f t="shared" si="40"/>
        <v>-31.019049804911635</v>
      </c>
      <c r="W538" s="17"/>
      <c r="X538" s="17" t="s">
        <v>56</v>
      </c>
      <c r="Z538" s="17" t="s">
        <v>58</v>
      </c>
      <c r="AA538" s="17" t="s">
        <v>58</v>
      </c>
      <c r="AB538" s="17" t="s">
        <v>57</v>
      </c>
      <c r="AC538" s="17">
        <v>2010</v>
      </c>
      <c r="AD538" s="17"/>
      <c r="AE538" s="17">
        <v>27</v>
      </c>
      <c r="AF538" s="17"/>
      <c r="AG538" s="17">
        <v>2002</v>
      </c>
      <c r="AH538" s="14">
        <f t="shared" si="38"/>
        <v>8</v>
      </c>
      <c r="AI538" s="17">
        <f t="shared" si="39"/>
        <v>10.25</v>
      </c>
      <c r="AJ538" s="17"/>
      <c r="AK538" s="17" t="s">
        <v>56</v>
      </c>
      <c r="AL538" s="16" t="s">
        <v>1468</v>
      </c>
      <c r="AM538" s="15">
        <v>2017</v>
      </c>
      <c r="AN538" s="15" t="s">
        <v>150</v>
      </c>
      <c r="AO538" s="15" t="s">
        <v>56</v>
      </c>
      <c r="AP538" s="15"/>
      <c r="AQ538" s="15" t="s">
        <v>56</v>
      </c>
      <c r="AR538" s="15" t="s">
        <v>58</v>
      </c>
      <c r="AS538" s="15" t="s">
        <v>94</v>
      </c>
      <c r="AT538" s="15"/>
      <c r="AU538" s="45"/>
      <c r="AV538" s="15"/>
      <c r="AW538" s="12" t="str">
        <f>B538&amp;C538&amp;L538&amp;M538&amp;O538&amp;U538&amp;AL538&amp;AM538</f>
        <v>FijiVatu-o-lalai marine protected areaSessile Invert Feedersbiomassden0.689809501950884Bonaldo2017</v>
      </c>
    </row>
    <row r="539" spans="1:49" ht="14.25" customHeight="1" x14ac:dyDescent="0.35">
      <c r="A539" s="12">
        <v>538</v>
      </c>
      <c r="B539" s="12" t="s">
        <v>1095</v>
      </c>
      <c r="C539" s="43" t="s">
        <v>2012</v>
      </c>
      <c r="D539" s="43" t="s">
        <v>2012</v>
      </c>
      <c r="E539" s="15" t="s">
        <v>171</v>
      </c>
      <c r="F539" s="16" t="s">
        <v>50</v>
      </c>
      <c r="G539" s="16" t="s">
        <v>51</v>
      </c>
      <c r="H539" s="16" t="s">
        <v>52</v>
      </c>
      <c r="I539" s="16" t="s">
        <v>156</v>
      </c>
      <c r="J539" s="17">
        <v>0.5</v>
      </c>
      <c r="K539" s="17"/>
      <c r="L539" s="17"/>
      <c r="M539" s="17" t="s">
        <v>1473</v>
      </c>
      <c r="N539" s="53" t="s">
        <v>98</v>
      </c>
      <c r="O539" s="17" t="s">
        <v>70</v>
      </c>
      <c r="P539" s="17"/>
      <c r="Q539" s="17"/>
      <c r="R539" s="17"/>
      <c r="S539" s="17">
        <v>98.513999999999996</v>
      </c>
      <c r="T539" s="17">
        <v>212.03</v>
      </c>
      <c r="U539" s="20">
        <f t="shared" si="37"/>
        <v>2.1522829242544206</v>
      </c>
      <c r="V539" s="41">
        <f t="shared" si="40"/>
        <v>115.22829242544206</v>
      </c>
      <c r="W539" s="17"/>
      <c r="X539" s="17" t="s">
        <v>56</v>
      </c>
      <c r="Z539" s="17" t="s">
        <v>58</v>
      </c>
      <c r="AA539" s="17" t="s">
        <v>58</v>
      </c>
      <c r="AB539" s="17" t="s">
        <v>57</v>
      </c>
      <c r="AC539" s="17">
        <v>2010</v>
      </c>
      <c r="AD539" s="17"/>
      <c r="AE539" s="17">
        <v>27</v>
      </c>
      <c r="AF539" s="17"/>
      <c r="AG539" s="17">
        <v>2002</v>
      </c>
      <c r="AH539" s="14">
        <f t="shared" si="38"/>
        <v>8</v>
      </c>
      <c r="AI539" s="17">
        <f t="shared" si="39"/>
        <v>10.25</v>
      </c>
      <c r="AJ539" s="17"/>
      <c r="AK539" s="17" t="s">
        <v>56</v>
      </c>
      <c r="AL539" s="16" t="s">
        <v>1468</v>
      </c>
      <c r="AM539" s="15">
        <v>2017</v>
      </c>
      <c r="AN539" s="15" t="s">
        <v>150</v>
      </c>
      <c r="AO539" s="15" t="s">
        <v>56</v>
      </c>
      <c r="AP539" s="15"/>
      <c r="AQ539" s="15" t="s">
        <v>56</v>
      </c>
      <c r="AR539" s="15" t="s">
        <v>58</v>
      </c>
      <c r="AS539" s="15" t="s">
        <v>94</v>
      </c>
      <c r="AT539" s="15"/>
      <c r="AU539" s="45"/>
      <c r="AV539" s="15"/>
      <c r="AW539" s="12" t="str">
        <f>B539&amp;C539&amp;L539&amp;M539&amp;O539&amp;U539&amp;AL539&amp;AM539</f>
        <v>FijiVatu-o-lalai marine protected areaOmnivoresbiomassden2.15228292425442Bonaldo2017</v>
      </c>
    </row>
    <row r="540" spans="1:49" ht="14.25" customHeight="1" x14ac:dyDescent="0.35">
      <c r="A540" s="12">
        <v>539</v>
      </c>
      <c r="B540" s="12" t="s">
        <v>1095</v>
      </c>
      <c r="C540" s="43" t="s">
        <v>2012</v>
      </c>
      <c r="D540" s="43" t="s">
        <v>2012</v>
      </c>
      <c r="E540" s="15" t="s">
        <v>171</v>
      </c>
      <c r="F540" s="13" t="s">
        <v>50</v>
      </c>
      <c r="G540" s="13" t="s">
        <v>51</v>
      </c>
      <c r="H540" s="16" t="s">
        <v>52</v>
      </c>
      <c r="I540" s="16" t="s">
        <v>156</v>
      </c>
      <c r="J540" s="17">
        <v>0.5</v>
      </c>
      <c r="K540" s="17"/>
      <c r="L540" s="17"/>
      <c r="M540" s="17" t="s">
        <v>1402</v>
      </c>
      <c r="N540" s="53" t="s">
        <v>98</v>
      </c>
      <c r="O540" s="17" t="s">
        <v>2013</v>
      </c>
      <c r="P540" s="17"/>
      <c r="Q540" s="17"/>
      <c r="R540" s="17"/>
      <c r="S540" s="17">
        <v>7.7320000000000002</v>
      </c>
      <c r="T540" s="17">
        <v>174.19</v>
      </c>
      <c r="U540" s="20">
        <f t="shared" si="37"/>
        <v>22.528453181583032</v>
      </c>
      <c r="V540" s="41">
        <f t="shared" si="40"/>
        <v>2152.8453181583031</v>
      </c>
      <c r="W540" s="17"/>
      <c r="X540" s="17" t="s">
        <v>56</v>
      </c>
      <c r="Z540" s="17" t="s">
        <v>58</v>
      </c>
      <c r="AA540" s="17" t="s">
        <v>58</v>
      </c>
      <c r="AB540" s="17" t="s">
        <v>57</v>
      </c>
      <c r="AC540" s="17">
        <v>2010</v>
      </c>
      <c r="AD540" s="17"/>
      <c r="AE540" s="17">
        <v>27</v>
      </c>
      <c r="AF540" s="17"/>
      <c r="AG540" s="17">
        <v>2002</v>
      </c>
      <c r="AH540" s="14">
        <f t="shared" si="38"/>
        <v>8</v>
      </c>
      <c r="AI540" s="17">
        <f t="shared" si="39"/>
        <v>10.25</v>
      </c>
      <c r="AJ540" s="17"/>
      <c r="AK540" s="17" t="s">
        <v>56</v>
      </c>
      <c r="AL540" s="16" t="s">
        <v>1468</v>
      </c>
      <c r="AM540" s="15">
        <v>2017</v>
      </c>
      <c r="AN540" s="15" t="s">
        <v>150</v>
      </c>
      <c r="AO540" s="15" t="s">
        <v>56</v>
      </c>
      <c r="AP540" s="15"/>
      <c r="AQ540" s="15" t="s">
        <v>56</v>
      </c>
      <c r="AR540" s="15" t="s">
        <v>58</v>
      </c>
      <c r="AS540" s="15" t="s">
        <v>94</v>
      </c>
      <c r="AT540" s="15"/>
      <c r="AU540" s="45"/>
      <c r="AV540" s="15"/>
      <c r="AW540" s="12" t="str">
        <f>B540&amp;C540&amp;L540&amp;M540&amp;O540&amp;U540&amp;AL540&amp;AM540</f>
        <v>FijiVatu-o-lalai marine protected areaPiscivoresbiomassden 22.528453181583Bonaldo2017</v>
      </c>
    </row>
    <row r="541" spans="1:49" ht="14.25" customHeight="1" x14ac:dyDescent="0.35">
      <c r="A541" s="12">
        <v>540</v>
      </c>
      <c r="B541" s="12" t="s">
        <v>1095</v>
      </c>
      <c r="C541" s="43" t="s">
        <v>1464</v>
      </c>
      <c r="D541" s="43" t="s">
        <v>1464</v>
      </c>
      <c r="E541" s="15" t="s">
        <v>171</v>
      </c>
      <c r="F541" s="13" t="s">
        <v>50</v>
      </c>
      <c r="G541" s="13" t="s">
        <v>51</v>
      </c>
      <c r="H541" s="16" t="s">
        <v>52</v>
      </c>
      <c r="I541" s="16" t="s">
        <v>156</v>
      </c>
      <c r="J541" s="17">
        <v>0.5</v>
      </c>
      <c r="K541" s="17"/>
      <c r="L541" s="17"/>
      <c r="M541" s="17" t="s">
        <v>1074</v>
      </c>
      <c r="N541" s="53" t="s">
        <v>98</v>
      </c>
      <c r="O541" s="17" t="s">
        <v>86</v>
      </c>
      <c r="P541" s="17"/>
      <c r="Q541" s="17"/>
      <c r="R541" s="17"/>
      <c r="S541" s="17">
        <v>9.5583000000000001E-2</v>
      </c>
      <c r="T541" s="17">
        <v>1.5478000000000001</v>
      </c>
      <c r="U541" s="20">
        <f t="shared" si="37"/>
        <v>16.193256122950736</v>
      </c>
      <c r="V541" s="41">
        <f t="shared" si="40"/>
        <v>1519.3256122950736</v>
      </c>
      <c r="W541" s="17"/>
      <c r="X541" s="17" t="s">
        <v>56</v>
      </c>
      <c r="Z541" s="17" t="s">
        <v>58</v>
      </c>
      <c r="AA541" s="17" t="s">
        <v>58</v>
      </c>
      <c r="AB541" s="17" t="s">
        <v>57</v>
      </c>
      <c r="AC541" s="17">
        <v>2010</v>
      </c>
      <c r="AD541" s="17"/>
      <c r="AE541" s="17">
        <v>27</v>
      </c>
      <c r="AF541" s="17"/>
      <c r="AG541" s="17">
        <v>2002</v>
      </c>
      <c r="AH541" s="14">
        <f t="shared" si="38"/>
        <v>8</v>
      </c>
      <c r="AI541" s="17">
        <f t="shared" si="39"/>
        <v>10.25</v>
      </c>
      <c r="AJ541" s="17"/>
      <c r="AK541" s="17" t="s">
        <v>56</v>
      </c>
      <c r="AL541" s="16" t="s">
        <v>1468</v>
      </c>
      <c r="AM541" s="15">
        <v>2017</v>
      </c>
      <c r="AN541" s="15" t="s">
        <v>150</v>
      </c>
      <c r="AO541" s="15" t="s">
        <v>56</v>
      </c>
      <c r="AP541" s="15"/>
      <c r="AQ541" s="15" t="s">
        <v>56</v>
      </c>
      <c r="AR541" s="15" t="s">
        <v>58</v>
      </c>
      <c r="AS541" s="15" t="s">
        <v>94</v>
      </c>
      <c r="AT541" s="15"/>
      <c r="AU541" s="45"/>
      <c r="AV541" s="15"/>
      <c r="AW541" s="12" t="str">
        <f>B541&amp;C541&amp;L541&amp;M541&amp;O541&amp;U541&amp;AL541&amp;AM541</f>
        <v>FijiNamada marine protected areaCorallivoresdensity16.1932561229507Bonaldo2017</v>
      </c>
    </row>
    <row r="542" spans="1:49" ht="14.25" customHeight="1" x14ac:dyDescent="0.35">
      <c r="A542" s="12">
        <v>541</v>
      </c>
      <c r="B542" s="12" t="s">
        <v>1095</v>
      </c>
      <c r="C542" s="44" t="s">
        <v>1464</v>
      </c>
      <c r="D542" s="44" t="s">
        <v>1464</v>
      </c>
      <c r="E542" s="12" t="s">
        <v>171</v>
      </c>
      <c r="F542" s="13" t="s">
        <v>50</v>
      </c>
      <c r="G542" s="13" t="s">
        <v>51</v>
      </c>
      <c r="H542" s="13" t="s">
        <v>52</v>
      </c>
      <c r="I542" s="13" t="s">
        <v>156</v>
      </c>
      <c r="J542" s="14">
        <v>0.5</v>
      </c>
      <c r="K542" s="14"/>
      <c r="L542" s="14"/>
      <c r="M542" s="14" t="s">
        <v>1471</v>
      </c>
      <c r="N542" s="53" t="s">
        <v>98</v>
      </c>
      <c r="O542" s="17" t="s">
        <v>86</v>
      </c>
      <c r="P542" s="14"/>
      <c r="Q542" s="14"/>
      <c r="R542" s="14"/>
      <c r="S542" s="14">
        <v>7.8848000000000003</v>
      </c>
      <c r="T542" s="14">
        <v>15.013999999999999</v>
      </c>
      <c r="U542" s="19">
        <f t="shared" si="37"/>
        <v>1.9041700487012985</v>
      </c>
      <c r="V542" s="41">
        <f t="shared" si="40"/>
        <v>90.417004870129844</v>
      </c>
      <c r="W542" s="14"/>
      <c r="X542" s="14" t="s">
        <v>56</v>
      </c>
      <c r="Z542" s="14" t="s">
        <v>58</v>
      </c>
      <c r="AA542" s="14" t="s">
        <v>58</v>
      </c>
      <c r="AB542" s="14" t="s">
        <v>57</v>
      </c>
      <c r="AC542" s="14">
        <v>2010</v>
      </c>
      <c r="AD542" s="14"/>
      <c r="AE542" s="14">
        <v>27</v>
      </c>
      <c r="AF542" s="14"/>
      <c r="AG542" s="14">
        <v>2002</v>
      </c>
      <c r="AH542" s="14">
        <f t="shared" si="38"/>
        <v>8</v>
      </c>
      <c r="AI542" s="17">
        <f t="shared" si="39"/>
        <v>10.25</v>
      </c>
      <c r="AJ542" s="14"/>
      <c r="AK542" s="14" t="s">
        <v>56</v>
      </c>
      <c r="AL542" s="13" t="s">
        <v>1468</v>
      </c>
      <c r="AM542" s="12">
        <v>2017</v>
      </c>
      <c r="AN542" s="12" t="s">
        <v>150</v>
      </c>
      <c r="AO542" s="12" t="s">
        <v>56</v>
      </c>
      <c r="AP542" s="12"/>
      <c r="AQ542" s="12" t="s">
        <v>56</v>
      </c>
      <c r="AR542" s="12" t="s">
        <v>58</v>
      </c>
      <c r="AS542" s="12" t="s">
        <v>94</v>
      </c>
      <c r="AT542" s="12"/>
      <c r="AU542" s="45"/>
      <c r="AV542" s="15"/>
      <c r="AW542" s="12" t="str">
        <f>B542&amp;C542&amp;L542&amp;M542&amp;O542&amp;U542&amp;AL542&amp;AM542</f>
        <v>FijiNamada marine protected areaMobile Invert Feedersdensity1.9041700487013Bonaldo2017</v>
      </c>
    </row>
    <row r="543" spans="1:49" ht="14.25" customHeight="1" x14ac:dyDescent="0.35">
      <c r="A543" s="12">
        <v>542</v>
      </c>
      <c r="B543" s="12" t="s">
        <v>1095</v>
      </c>
      <c r="C543" s="44" t="s">
        <v>1464</v>
      </c>
      <c r="D543" s="44" t="s">
        <v>1464</v>
      </c>
      <c r="E543" s="12" t="s">
        <v>171</v>
      </c>
      <c r="F543" s="13" t="s">
        <v>50</v>
      </c>
      <c r="G543" s="13" t="s">
        <v>51</v>
      </c>
      <c r="H543" s="13" t="s">
        <v>52</v>
      </c>
      <c r="I543" s="13" t="s">
        <v>156</v>
      </c>
      <c r="J543" s="14">
        <v>0.5</v>
      </c>
      <c r="K543" s="14"/>
      <c r="L543" s="14"/>
      <c r="M543" s="14" t="s">
        <v>1472</v>
      </c>
      <c r="N543" s="53" t="s">
        <v>98</v>
      </c>
      <c r="O543" s="17" t="s">
        <v>86</v>
      </c>
      <c r="P543" s="14"/>
      <c r="Q543" s="14"/>
      <c r="R543" s="14"/>
      <c r="S543" s="14">
        <v>4.9802999999999997</v>
      </c>
      <c r="T543" s="14">
        <v>4.3201999999999998</v>
      </c>
      <c r="U543" s="19">
        <f t="shared" si="37"/>
        <v>0.86745778366765058</v>
      </c>
      <c r="V543" s="41">
        <f t="shared" si="40"/>
        <v>-13.254221633234941</v>
      </c>
      <c r="W543" s="14"/>
      <c r="X543" s="14" t="s">
        <v>56</v>
      </c>
      <c r="Z543" s="14" t="s">
        <v>58</v>
      </c>
      <c r="AA543" s="14" t="s">
        <v>58</v>
      </c>
      <c r="AB543" s="14" t="s">
        <v>57</v>
      </c>
      <c r="AC543" s="14">
        <v>2010</v>
      </c>
      <c r="AD543" s="14"/>
      <c r="AE543" s="14">
        <v>27</v>
      </c>
      <c r="AF543" s="14"/>
      <c r="AG543" s="14">
        <v>2002</v>
      </c>
      <c r="AH543" s="14">
        <f t="shared" si="38"/>
        <v>8</v>
      </c>
      <c r="AI543" s="17">
        <f t="shared" si="39"/>
        <v>10.25</v>
      </c>
      <c r="AJ543" s="14"/>
      <c r="AK543" s="14" t="s">
        <v>56</v>
      </c>
      <c r="AL543" s="13" t="s">
        <v>1468</v>
      </c>
      <c r="AM543" s="12">
        <v>2017</v>
      </c>
      <c r="AN543" s="12" t="s">
        <v>150</v>
      </c>
      <c r="AO543" s="12" t="s">
        <v>56</v>
      </c>
      <c r="AP543" s="12"/>
      <c r="AQ543" s="12" t="s">
        <v>56</v>
      </c>
      <c r="AR543" s="12" t="s">
        <v>58</v>
      </c>
      <c r="AS543" s="12" t="s">
        <v>94</v>
      </c>
      <c r="AT543" s="12"/>
      <c r="AU543" s="45"/>
      <c r="AV543" s="15"/>
      <c r="AW543" s="12" t="str">
        <f>B543&amp;C543&amp;L543&amp;M543&amp;O543&amp;U543&amp;AL543&amp;AM543</f>
        <v>FijiNamada marine protected areaSessile Invert Feedersdensity0.867457783667651Bonaldo2017</v>
      </c>
    </row>
    <row r="544" spans="1:49" ht="14.25" customHeight="1" x14ac:dyDescent="0.35">
      <c r="A544" s="12">
        <v>543</v>
      </c>
      <c r="B544" s="15" t="s">
        <v>1095</v>
      </c>
      <c r="C544" s="44" t="s">
        <v>1464</v>
      </c>
      <c r="D544" s="43" t="s">
        <v>1464</v>
      </c>
      <c r="E544" s="12" t="s">
        <v>171</v>
      </c>
      <c r="F544" s="13" t="s">
        <v>50</v>
      </c>
      <c r="G544" s="13" t="s">
        <v>51</v>
      </c>
      <c r="H544" s="16" t="s">
        <v>52</v>
      </c>
      <c r="I544" s="16" t="s">
        <v>156</v>
      </c>
      <c r="J544" s="14">
        <v>0.5</v>
      </c>
      <c r="K544" s="14"/>
      <c r="L544" s="17"/>
      <c r="M544" s="17" t="s">
        <v>1473</v>
      </c>
      <c r="N544" s="53" t="s">
        <v>98</v>
      </c>
      <c r="O544" s="17" t="s">
        <v>86</v>
      </c>
      <c r="P544" s="17"/>
      <c r="Q544" s="17"/>
      <c r="R544" s="17"/>
      <c r="S544" s="17">
        <v>1.0197000000000001</v>
      </c>
      <c r="T544" s="17">
        <v>1.9439</v>
      </c>
      <c r="U544" s="19">
        <f t="shared" si="37"/>
        <v>1.9063450034323819</v>
      </c>
      <c r="V544" s="41">
        <f t="shared" si="40"/>
        <v>90.634500343238187</v>
      </c>
      <c r="W544" s="14"/>
      <c r="X544" s="14" t="s">
        <v>56</v>
      </c>
      <c r="Z544" s="17" t="s">
        <v>58</v>
      </c>
      <c r="AA544" s="17" t="s">
        <v>58</v>
      </c>
      <c r="AB544" s="17" t="s">
        <v>57</v>
      </c>
      <c r="AC544" s="17">
        <v>2010</v>
      </c>
      <c r="AD544" s="17"/>
      <c r="AE544" s="17">
        <v>27</v>
      </c>
      <c r="AF544" s="17"/>
      <c r="AG544" s="17">
        <v>2002</v>
      </c>
      <c r="AH544" s="14">
        <f t="shared" si="38"/>
        <v>8</v>
      </c>
      <c r="AI544" s="17">
        <f t="shared" si="39"/>
        <v>10.25</v>
      </c>
      <c r="AJ544" s="17"/>
      <c r="AK544" s="17" t="s">
        <v>56</v>
      </c>
      <c r="AL544" s="16" t="s">
        <v>1468</v>
      </c>
      <c r="AM544" s="15">
        <v>2017</v>
      </c>
      <c r="AN544" s="15" t="s">
        <v>150</v>
      </c>
      <c r="AO544" s="15" t="s">
        <v>56</v>
      </c>
      <c r="AP544" s="15"/>
      <c r="AQ544" s="15" t="s">
        <v>56</v>
      </c>
      <c r="AR544" s="15" t="s">
        <v>58</v>
      </c>
      <c r="AS544" s="15" t="s">
        <v>94</v>
      </c>
      <c r="AT544" s="12"/>
      <c r="AU544" s="45"/>
      <c r="AV544" s="15"/>
      <c r="AW544" s="12" t="str">
        <f>B544&amp;C544&amp;L544&amp;M544&amp;O544&amp;U544&amp;AL544&amp;AM544</f>
        <v>FijiNamada marine protected areaOmnivoresdensity1.90634500343238Bonaldo2017</v>
      </c>
    </row>
    <row r="545" spans="1:49" ht="14.25" customHeight="1" x14ac:dyDescent="0.35">
      <c r="A545" s="12">
        <v>544</v>
      </c>
      <c r="B545" s="15" t="s">
        <v>1095</v>
      </c>
      <c r="C545" s="44" t="s">
        <v>1464</v>
      </c>
      <c r="D545" s="43" t="s">
        <v>1464</v>
      </c>
      <c r="E545" s="15" t="s">
        <v>171</v>
      </c>
      <c r="F545" s="13" t="s">
        <v>50</v>
      </c>
      <c r="G545" s="13" t="s">
        <v>51</v>
      </c>
      <c r="H545" s="16" t="s">
        <v>52</v>
      </c>
      <c r="I545" s="16" t="s">
        <v>156</v>
      </c>
      <c r="J545" s="14">
        <v>0.5</v>
      </c>
      <c r="K545" s="14"/>
      <c r="L545" s="17"/>
      <c r="M545" s="17" t="s">
        <v>1402</v>
      </c>
      <c r="N545" s="53" t="s">
        <v>98</v>
      </c>
      <c r="O545" s="17" t="s">
        <v>86</v>
      </c>
      <c r="P545" s="17"/>
      <c r="Q545" s="17"/>
      <c r="R545" s="17"/>
      <c r="S545" s="17">
        <v>9.5583000000000001E-2</v>
      </c>
      <c r="T545" s="17">
        <v>3</v>
      </c>
      <c r="U545" s="20">
        <f t="shared" si="37"/>
        <v>31.386334390006592</v>
      </c>
      <c r="V545" s="41">
        <f t="shared" si="40"/>
        <v>3038.6334390006591</v>
      </c>
      <c r="W545" s="17"/>
      <c r="X545" s="14" t="s">
        <v>56</v>
      </c>
      <c r="Z545" s="17" t="s">
        <v>58</v>
      </c>
      <c r="AA545" s="17" t="s">
        <v>58</v>
      </c>
      <c r="AB545" s="17" t="s">
        <v>57</v>
      </c>
      <c r="AC545" s="17">
        <v>2010</v>
      </c>
      <c r="AD545" s="17"/>
      <c r="AE545" s="17">
        <v>27</v>
      </c>
      <c r="AF545" s="17"/>
      <c r="AG545" s="17">
        <v>2002</v>
      </c>
      <c r="AH545" s="14">
        <f t="shared" si="38"/>
        <v>8</v>
      </c>
      <c r="AI545" s="17">
        <f t="shared" si="39"/>
        <v>10.25</v>
      </c>
      <c r="AJ545" s="17"/>
      <c r="AK545" s="17" t="s">
        <v>56</v>
      </c>
      <c r="AL545" s="16" t="s">
        <v>1468</v>
      </c>
      <c r="AM545" s="15">
        <v>2017</v>
      </c>
      <c r="AN545" s="15" t="s">
        <v>150</v>
      </c>
      <c r="AO545" s="15" t="s">
        <v>56</v>
      </c>
      <c r="AP545" s="15"/>
      <c r="AQ545" s="15" t="s">
        <v>56</v>
      </c>
      <c r="AR545" s="15" t="s">
        <v>58</v>
      </c>
      <c r="AS545" s="15" t="s">
        <v>94</v>
      </c>
      <c r="AT545" s="15"/>
      <c r="AU545" s="45"/>
      <c r="AV545" s="15"/>
      <c r="AW545" s="12" t="str">
        <f>B545&amp;C545&amp;L545&amp;M545&amp;O545&amp;U545&amp;AL545&amp;AM545</f>
        <v>FijiNamada marine protected areaPiscivoresdensity31.3863343900066Bonaldo2017</v>
      </c>
    </row>
    <row r="546" spans="1:49" ht="14.25" customHeight="1" x14ac:dyDescent="0.35">
      <c r="A546" s="12">
        <v>545</v>
      </c>
      <c r="B546" s="15" t="s">
        <v>1095</v>
      </c>
      <c r="C546" s="44" t="s">
        <v>1464</v>
      </c>
      <c r="D546" s="43" t="s">
        <v>1464</v>
      </c>
      <c r="E546" s="12" t="s">
        <v>171</v>
      </c>
      <c r="F546" s="13" t="s">
        <v>50</v>
      </c>
      <c r="G546" s="13" t="s">
        <v>51</v>
      </c>
      <c r="H546" s="16" t="s">
        <v>52</v>
      </c>
      <c r="I546" s="16" t="s">
        <v>156</v>
      </c>
      <c r="J546" s="14">
        <v>0.5</v>
      </c>
      <c r="K546" s="14"/>
      <c r="L546" s="17"/>
      <c r="M546" s="17" t="s">
        <v>1471</v>
      </c>
      <c r="N546" s="53" t="s">
        <v>98</v>
      </c>
      <c r="O546" s="17" t="s">
        <v>70</v>
      </c>
      <c r="P546" s="17"/>
      <c r="Q546" s="17"/>
      <c r="R546" s="17"/>
      <c r="S546" s="17">
        <v>178.02</v>
      </c>
      <c r="T546" s="17">
        <v>361.11</v>
      </c>
      <c r="U546" s="19">
        <f t="shared" si="37"/>
        <v>2.028479946073475</v>
      </c>
      <c r="V546" s="41">
        <f t="shared" si="40"/>
        <v>102.8479946073475</v>
      </c>
      <c r="W546" s="14"/>
      <c r="X546" s="14" t="s">
        <v>56</v>
      </c>
      <c r="Z546" s="17" t="s">
        <v>58</v>
      </c>
      <c r="AA546" s="17" t="s">
        <v>58</v>
      </c>
      <c r="AB546" s="17" t="s">
        <v>57</v>
      </c>
      <c r="AC546" s="17">
        <v>2010</v>
      </c>
      <c r="AD546" s="17"/>
      <c r="AE546" s="17">
        <v>27</v>
      </c>
      <c r="AF546" s="17"/>
      <c r="AG546" s="17">
        <v>2002</v>
      </c>
      <c r="AH546" s="14">
        <f t="shared" si="38"/>
        <v>8</v>
      </c>
      <c r="AI546" s="17">
        <f t="shared" si="39"/>
        <v>10.25</v>
      </c>
      <c r="AJ546" s="17"/>
      <c r="AK546" s="17" t="s">
        <v>56</v>
      </c>
      <c r="AL546" s="16" t="s">
        <v>1468</v>
      </c>
      <c r="AM546" s="15">
        <v>2017</v>
      </c>
      <c r="AN546" s="15" t="s">
        <v>150</v>
      </c>
      <c r="AO546" s="15" t="s">
        <v>56</v>
      </c>
      <c r="AP546" s="15"/>
      <c r="AQ546" s="15" t="s">
        <v>56</v>
      </c>
      <c r="AR546" s="15" t="s">
        <v>58</v>
      </c>
      <c r="AS546" s="15" t="s">
        <v>94</v>
      </c>
      <c r="AT546" s="12"/>
      <c r="AU546" s="45"/>
      <c r="AV546" s="15"/>
      <c r="AW546" s="12" t="str">
        <f>B546&amp;C546&amp;L546&amp;M546&amp;O546&amp;U546&amp;AL546&amp;AM546</f>
        <v>FijiNamada marine protected areaMobile Invert Feedersbiomassden2.02847994607348Bonaldo2017</v>
      </c>
    </row>
    <row r="547" spans="1:49" ht="14.25" customHeight="1" x14ac:dyDescent="0.35">
      <c r="A547" s="12">
        <v>546</v>
      </c>
      <c r="B547" s="15" t="s">
        <v>1095</v>
      </c>
      <c r="C547" s="44" t="s">
        <v>1464</v>
      </c>
      <c r="D547" s="43" t="s">
        <v>1464</v>
      </c>
      <c r="E547" s="12" t="s">
        <v>171</v>
      </c>
      <c r="F547" s="13" t="s">
        <v>50</v>
      </c>
      <c r="G547" s="13" t="s">
        <v>51</v>
      </c>
      <c r="H547" s="16" t="s">
        <v>52</v>
      </c>
      <c r="I547" s="16" t="s">
        <v>156</v>
      </c>
      <c r="J547" s="14">
        <v>0.5</v>
      </c>
      <c r="K547" s="14"/>
      <c r="L547" s="17"/>
      <c r="M547" s="17" t="s">
        <v>1472</v>
      </c>
      <c r="N547" s="53" t="s">
        <v>98</v>
      </c>
      <c r="O547" s="17" t="s">
        <v>70</v>
      </c>
      <c r="P547" s="17"/>
      <c r="Q547" s="17"/>
      <c r="R547" s="17"/>
      <c r="S547" s="17">
        <v>54.625999999999998</v>
      </c>
      <c r="T547" s="17">
        <v>58.606000000000002</v>
      </c>
      <c r="U547" s="19">
        <f t="shared" si="37"/>
        <v>1.0728590780946803</v>
      </c>
      <c r="V547" s="41">
        <f t="shared" si="40"/>
        <v>7.2859078094680285</v>
      </c>
      <c r="W547" s="14"/>
      <c r="X547" s="14" t="s">
        <v>56</v>
      </c>
      <c r="Z547" s="17" t="s">
        <v>58</v>
      </c>
      <c r="AA547" s="17" t="s">
        <v>58</v>
      </c>
      <c r="AB547" s="17" t="s">
        <v>57</v>
      </c>
      <c r="AC547" s="17">
        <v>2010</v>
      </c>
      <c r="AD547" s="17"/>
      <c r="AE547" s="17">
        <v>27</v>
      </c>
      <c r="AF547" s="17"/>
      <c r="AG547" s="17">
        <v>2002</v>
      </c>
      <c r="AH547" s="14">
        <f t="shared" si="38"/>
        <v>8</v>
      </c>
      <c r="AI547" s="17">
        <f t="shared" si="39"/>
        <v>10.25</v>
      </c>
      <c r="AJ547" s="17"/>
      <c r="AK547" s="17" t="s">
        <v>56</v>
      </c>
      <c r="AL547" s="16" t="s">
        <v>1468</v>
      </c>
      <c r="AM547" s="15">
        <v>2017</v>
      </c>
      <c r="AN547" s="15" t="s">
        <v>150</v>
      </c>
      <c r="AO547" s="15" t="s">
        <v>56</v>
      </c>
      <c r="AP547" s="15"/>
      <c r="AQ547" s="15" t="s">
        <v>56</v>
      </c>
      <c r="AR547" s="15" t="s">
        <v>58</v>
      </c>
      <c r="AS547" s="15" t="s">
        <v>94</v>
      </c>
      <c r="AT547" s="12"/>
      <c r="AU547" s="45"/>
      <c r="AV547" s="15"/>
      <c r="AW547" s="12" t="str">
        <f>B547&amp;C547&amp;L547&amp;M547&amp;O547&amp;U547&amp;AL547&amp;AM547</f>
        <v>FijiNamada marine protected areaSessile Invert Feedersbiomassden1.07285907809468Bonaldo2017</v>
      </c>
    </row>
    <row r="548" spans="1:49" ht="14.25" customHeight="1" x14ac:dyDescent="0.35">
      <c r="A548" s="12">
        <v>547</v>
      </c>
      <c r="B548" s="12" t="s">
        <v>1095</v>
      </c>
      <c r="C548" s="44" t="s">
        <v>1464</v>
      </c>
      <c r="D548" s="44" t="s">
        <v>1464</v>
      </c>
      <c r="E548" s="12" t="s">
        <v>171</v>
      </c>
      <c r="F548" s="13" t="s">
        <v>50</v>
      </c>
      <c r="G548" s="16" t="s">
        <v>51</v>
      </c>
      <c r="H548" s="13" t="s">
        <v>52</v>
      </c>
      <c r="I548" s="13" t="s">
        <v>156</v>
      </c>
      <c r="J548" s="14">
        <v>0.5</v>
      </c>
      <c r="K548" s="14"/>
      <c r="L548" s="14"/>
      <c r="M548" s="14" t="s">
        <v>1473</v>
      </c>
      <c r="N548" s="53" t="s">
        <v>98</v>
      </c>
      <c r="O548" s="17" t="s">
        <v>70</v>
      </c>
      <c r="P548" s="14"/>
      <c r="Q548" s="14"/>
      <c r="R548" s="14"/>
      <c r="S548" s="14">
        <v>2.8816999999999999</v>
      </c>
      <c r="T548" s="14">
        <v>114.33</v>
      </c>
      <c r="U548" s="19">
        <f t="shared" si="37"/>
        <v>39.674497692334384</v>
      </c>
      <c r="V548" s="41">
        <f t="shared" si="40"/>
        <v>3867.4497692334385</v>
      </c>
      <c r="W548" s="14"/>
      <c r="X548" s="14" t="s">
        <v>56</v>
      </c>
      <c r="Z548" s="14" t="s">
        <v>58</v>
      </c>
      <c r="AA548" s="14" t="s">
        <v>58</v>
      </c>
      <c r="AB548" s="14" t="s">
        <v>57</v>
      </c>
      <c r="AC548" s="14">
        <v>2010</v>
      </c>
      <c r="AD548" s="14"/>
      <c r="AE548" s="14">
        <v>27</v>
      </c>
      <c r="AF548" s="14"/>
      <c r="AG548" s="14">
        <v>2002</v>
      </c>
      <c r="AH548" s="14">
        <f t="shared" si="38"/>
        <v>8</v>
      </c>
      <c r="AI548" s="17">
        <f t="shared" si="39"/>
        <v>10.25</v>
      </c>
      <c r="AJ548" s="14"/>
      <c r="AK548" s="14" t="s">
        <v>56</v>
      </c>
      <c r="AL548" s="13" t="s">
        <v>1468</v>
      </c>
      <c r="AM548" s="12">
        <v>2017</v>
      </c>
      <c r="AN548" s="12" t="s">
        <v>150</v>
      </c>
      <c r="AO548" s="12" t="s">
        <v>56</v>
      </c>
      <c r="AP548" s="12"/>
      <c r="AQ548" s="12" t="s">
        <v>56</v>
      </c>
      <c r="AR548" s="12" t="s">
        <v>58</v>
      </c>
      <c r="AS548" s="12" t="s">
        <v>94</v>
      </c>
      <c r="AT548" s="12"/>
      <c r="AU548" s="45"/>
      <c r="AV548" s="15"/>
      <c r="AW548" s="12" t="str">
        <f>B548&amp;C548&amp;L548&amp;M548&amp;O548&amp;U548&amp;AL548&amp;AM548</f>
        <v>FijiNamada marine protected areaOmnivoresbiomassden39.6744976923344Bonaldo2017</v>
      </c>
    </row>
    <row r="549" spans="1:49" ht="14.25" customHeight="1" x14ac:dyDescent="0.35">
      <c r="A549" s="12">
        <v>548</v>
      </c>
      <c r="B549" s="15" t="s">
        <v>1095</v>
      </c>
      <c r="C549" s="44" t="s">
        <v>1464</v>
      </c>
      <c r="D549" s="43" t="s">
        <v>1464</v>
      </c>
      <c r="E549" s="15" t="s">
        <v>171</v>
      </c>
      <c r="F549" s="16" t="s">
        <v>50</v>
      </c>
      <c r="G549" s="16" t="s">
        <v>51</v>
      </c>
      <c r="H549" s="16" t="s">
        <v>52</v>
      </c>
      <c r="I549" s="16" t="s">
        <v>156</v>
      </c>
      <c r="J549" s="14">
        <v>0.5</v>
      </c>
      <c r="K549" s="14"/>
      <c r="L549" s="17"/>
      <c r="M549" s="17" t="s">
        <v>1402</v>
      </c>
      <c r="N549" s="53" t="s">
        <v>98</v>
      </c>
      <c r="O549" s="17" t="s">
        <v>70</v>
      </c>
      <c r="P549" s="17"/>
      <c r="Q549" s="17"/>
      <c r="R549" s="17"/>
      <c r="S549" s="17">
        <v>2.8816999999999999</v>
      </c>
      <c r="T549" s="17">
        <v>197.92</v>
      </c>
      <c r="U549" s="19">
        <f t="shared" si="37"/>
        <v>68.6816809522157</v>
      </c>
      <c r="V549" s="41">
        <f t="shared" si="40"/>
        <v>6768.1680952215702</v>
      </c>
      <c r="W549" s="17"/>
      <c r="X549" s="14" t="s">
        <v>56</v>
      </c>
      <c r="Z549" s="17" t="s">
        <v>58</v>
      </c>
      <c r="AA549" s="17" t="s">
        <v>58</v>
      </c>
      <c r="AB549" s="17" t="s">
        <v>57</v>
      </c>
      <c r="AC549" s="17">
        <v>2010</v>
      </c>
      <c r="AD549" s="17"/>
      <c r="AE549" s="17">
        <v>27</v>
      </c>
      <c r="AF549" s="17"/>
      <c r="AG549" s="17">
        <v>2002</v>
      </c>
      <c r="AH549" s="14">
        <f t="shared" si="38"/>
        <v>8</v>
      </c>
      <c r="AI549" s="17">
        <f t="shared" si="39"/>
        <v>10.25</v>
      </c>
      <c r="AJ549" s="17"/>
      <c r="AK549" s="17" t="s">
        <v>56</v>
      </c>
      <c r="AL549" s="16" t="s">
        <v>1468</v>
      </c>
      <c r="AM549" s="15">
        <v>2017</v>
      </c>
      <c r="AN549" s="15" t="s">
        <v>150</v>
      </c>
      <c r="AO549" s="15" t="s">
        <v>56</v>
      </c>
      <c r="AP549" s="15"/>
      <c r="AQ549" s="15" t="s">
        <v>56</v>
      </c>
      <c r="AR549" s="15" t="s">
        <v>58</v>
      </c>
      <c r="AS549" s="15" t="s">
        <v>94</v>
      </c>
      <c r="AT549" s="12"/>
      <c r="AU549" s="45"/>
      <c r="AV549" s="15"/>
      <c r="AW549" s="12" t="str">
        <f>B549&amp;C549&amp;L549&amp;M549&amp;O549&amp;U549&amp;AL549&amp;AM549</f>
        <v>FijiNamada marine protected areaPiscivoresbiomassden68.6816809522157Bonaldo2017</v>
      </c>
    </row>
    <row r="550" spans="1:49" ht="14.25" customHeight="1" x14ac:dyDescent="0.35">
      <c r="A550" s="12">
        <v>549</v>
      </c>
      <c r="B550" s="15" t="s">
        <v>1095</v>
      </c>
      <c r="C550" s="44" t="s">
        <v>2019</v>
      </c>
      <c r="D550" s="43" t="s">
        <v>2019</v>
      </c>
      <c r="E550" s="15" t="s">
        <v>171</v>
      </c>
      <c r="F550" s="16" t="s">
        <v>50</v>
      </c>
      <c r="G550" s="16" t="s">
        <v>51</v>
      </c>
      <c r="H550" s="16" t="s">
        <v>52</v>
      </c>
      <c r="I550" s="16" t="s">
        <v>156</v>
      </c>
      <c r="J550" s="14">
        <v>0.8</v>
      </c>
      <c r="K550" s="14"/>
      <c r="L550" s="17"/>
      <c r="M550" s="17" t="s">
        <v>468</v>
      </c>
      <c r="N550" s="53" t="s">
        <v>98</v>
      </c>
      <c r="O550" s="17" t="s">
        <v>101</v>
      </c>
      <c r="P550" s="17"/>
      <c r="Q550" s="17"/>
      <c r="R550" s="17"/>
      <c r="S550" s="17">
        <v>8.4880999999999993</v>
      </c>
      <c r="T550" s="17">
        <v>22.492999999999999</v>
      </c>
      <c r="U550" s="20">
        <f t="shared" si="37"/>
        <v>2.6499452174220379</v>
      </c>
      <c r="V550" s="41">
        <f t="shared" si="40"/>
        <v>164.9945217422038</v>
      </c>
      <c r="W550" s="17"/>
      <c r="X550" s="14" t="s">
        <v>56</v>
      </c>
      <c r="Z550" s="17" t="s">
        <v>58</v>
      </c>
      <c r="AA550" s="17" t="s">
        <v>58</v>
      </c>
      <c r="AB550" s="17" t="s">
        <v>57</v>
      </c>
      <c r="AC550" s="17">
        <v>2010</v>
      </c>
      <c r="AD550" s="17"/>
      <c r="AE550" s="17">
        <v>27</v>
      </c>
      <c r="AF550" s="17"/>
      <c r="AG550" s="17">
        <v>2003</v>
      </c>
      <c r="AH550" s="14">
        <f t="shared" si="38"/>
        <v>7</v>
      </c>
      <c r="AI550" s="17">
        <f t="shared" si="39"/>
        <v>9.25</v>
      </c>
      <c r="AJ550" s="17"/>
      <c r="AK550" s="17" t="s">
        <v>56</v>
      </c>
      <c r="AL550" s="16" t="s">
        <v>1468</v>
      </c>
      <c r="AM550" s="15">
        <v>2017</v>
      </c>
      <c r="AN550" s="15" t="s">
        <v>150</v>
      </c>
      <c r="AO550" s="15" t="s">
        <v>56</v>
      </c>
      <c r="AP550" s="15"/>
      <c r="AQ550" s="15" t="s">
        <v>56</v>
      </c>
      <c r="AR550" s="15" t="s">
        <v>58</v>
      </c>
      <c r="AS550" s="15" t="s">
        <v>94</v>
      </c>
      <c r="AT550" s="15"/>
      <c r="AU550" s="45"/>
      <c r="AV550" s="15"/>
      <c r="AW550" s="12" t="str">
        <f>B550&amp;C550&amp;L550&amp;M550&amp;O550&amp;U550&amp;AL550&amp;AM550</f>
        <v>FijiVotua marine protected areaCoralcover2.64994521742204Bonaldo2017</v>
      </c>
    </row>
    <row r="551" spans="1:49" ht="14.25" customHeight="1" x14ac:dyDescent="0.35">
      <c r="A551" s="12">
        <v>550</v>
      </c>
      <c r="B551" s="12" t="s">
        <v>1095</v>
      </c>
      <c r="C551" s="44" t="s">
        <v>2019</v>
      </c>
      <c r="D551" s="44" t="s">
        <v>2019</v>
      </c>
      <c r="E551" s="12" t="s">
        <v>171</v>
      </c>
      <c r="F551" s="13" t="s">
        <v>50</v>
      </c>
      <c r="G551" s="13" t="s">
        <v>51</v>
      </c>
      <c r="H551" s="13" t="s">
        <v>52</v>
      </c>
      <c r="I551" s="13" t="s">
        <v>156</v>
      </c>
      <c r="J551" s="14">
        <v>0.8</v>
      </c>
      <c r="K551" s="14"/>
      <c r="L551" s="14"/>
      <c r="M551" s="14" t="s">
        <v>291</v>
      </c>
      <c r="N551" s="53" t="s">
        <v>98</v>
      </c>
      <c r="O551" s="17" t="s">
        <v>101</v>
      </c>
      <c r="P551" s="14"/>
      <c r="Q551" s="14"/>
      <c r="R551" s="14"/>
      <c r="S551" s="14">
        <v>24.614999999999998</v>
      </c>
      <c r="T551" s="14">
        <v>5.9416000000000002</v>
      </c>
      <c r="U551" s="19">
        <f t="shared" si="37"/>
        <v>0.2413812715823685</v>
      </c>
      <c r="V551" s="41">
        <f t="shared" si="40"/>
        <v>-75.861872841763159</v>
      </c>
      <c r="W551" s="14"/>
      <c r="X551" s="14" t="s">
        <v>56</v>
      </c>
      <c r="Z551" s="14" t="s">
        <v>58</v>
      </c>
      <c r="AA551" s="14" t="s">
        <v>58</v>
      </c>
      <c r="AB551" s="14" t="s">
        <v>57</v>
      </c>
      <c r="AC551" s="14">
        <v>2010</v>
      </c>
      <c r="AD551" s="14"/>
      <c r="AE551" s="14">
        <v>27</v>
      </c>
      <c r="AF551" s="14"/>
      <c r="AG551" s="14">
        <v>2003</v>
      </c>
      <c r="AH551" s="14">
        <f t="shared" si="38"/>
        <v>7</v>
      </c>
      <c r="AI551" s="17">
        <f t="shared" si="39"/>
        <v>9.25</v>
      </c>
      <c r="AJ551" s="14"/>
      <c r="AK551" s="14" t="s">
        <v>56</v>
      </c>
      <c r="AL551" s="13" t="s">
        <v>1468</v>
      </c>
      <c r="AM551" s="12">
        <v>2017</v>
      </c>
      <c r="AN551" s="12" t="s">
        <v>150</v>
      </c>
      <c r="AO551" s="12" t="s">
        <v>56</v>
      </c>
      <c r="AP551" s="12"/>
      <c r="AQ551" s="12" t="s">
        <v>56</v>
      </c>
      <c r="AR551" s="12" t="s">
        <v>58</v>
      </c>
      <c r="AS551" s="12" t="s">
        <v>94</v>
      </c>
      <c r="AT551" s="12"/>
      <c r="AU551" s="45"/>
      <c r="AV551" s="15"/>
      <c r="AW551" s="12" t="str">
        <f>B551&amp;C551&amp;L551&amp;M551&amp;O551&amp;U551&amp;AL551&amp;AM551</f>
        <v>FijiVotua marine protected areaMacroalgaecover0.241381271582368Bonaldo2017</v>
      </c>
    </row>
    <row r="552" spans="1:49" ht="14.25" customHeight="1" x14ac:dyDescent="0.35">
      <c r="A552" s="12">
        <v>551</v>
      </c>
      <c r="B552" s="12" t="s">
        <v>1095</v>
      </c>
      <c r="C552" s="44" t="s">
        <v>2019</v>
      </c>
      <c r="D552" s="44" t="s">
        <v>2019</v>
      </c>
      <c r="E552" s="12" t="s">
        <v>171</v>
      </c>
      <c r="F552" s="13" t="s">
        <v>50</v>
      </c>
      <c r="G552" s="13" t="s">
        <v>51</v>
      </c>
      <c r="H552" s="13" t="s">
        <v>52</v>
      </c>
      <c r="I552" s="13" t="s">
        <v>156</v>
      </c>
      <c r="J552" s="14">
        <v>0.8</v>
      </c>
      <c r="K552" s="14"/>
      <c r="L552" s="14"/>
      <c r="M552" s="14" t="s">
        <v>1474</v>
      </c>
      <c r="N552" s="53" t="s">
        <v>98</v>
      </c>
      <c r="O552" s="17" t="s">
        <v>101</v>
      </c>
      <c r="P552" s="14"/>
      <c r="Q552" s="14"/>
      <c r="R552" s="14"/>
      <c r="S552" s="14">
        <v>60.265000000000001</v>
      </c>
      <c r="T552" s="14">
        <v>59.415999999999997</v>
      </c>
      <c r="U552" s="19">
        <f t="shared" si="37"/>
        <v>0.98591222102381149</v>
      </c>
      <c r="V552" s="41">
        <f t="shared" si="40"/>
        <v>-1.4087778976188514</v>
      </c>
      <c r="W552" s="14"/>
      <c r="X552" s="14" t="s">
        <v>56</v>
      </c>
      <c r="Z552" s="14" t="s">
        <v>58</v>
      </c>
      <c r="AA552" s="14" t="s">
        <v>58</v>
      </c>
      <c r="AB552" s="14" t="s">
        <v>57</v>
      </c>
      <c r="AC552" s="14">
        <v>2010</v>
      </c>
      <c r="AD552" s="14"/>
      <c r="AE552" s="14">
        <v>27</v>
      </c>
      <c r="AF552" s="14"/>
      <c r="AG552" s="14">
        <v>2003</v>
      </c>
      <c r="AH552" s="14">
        <f t="shared" si="38"/>
        <v>7</v>
      </c>
      <c r="AI552" s="17">
        <f t="shared" si="39"/>
        <v>9.25</v>
      </c>
      <c r="AJ552" s="14"/>
      <c r="AK552" s="14" t="s">
        <v>56</v>
      </c>
      <c r="AL552" s="13" t="s">
        <v>1468</v>
      </c>
      <c r="AM552" s="12">
        <v>2017</v>
      </c>
      <c r="AN552" s="12" t="s">
        <v>150</v>
      </c>
      <c r="AO552" s="12" t="s">
        <v>56</v>
      </c>
      <c r="AP552" s="12"/>
      <c r="AQ552" s="12" t="s">
        <v>56</v>
      </c>
      <c r="AR552" s="12" t="s">
        <v>58</v>
      </c>
      <c r="AS552" s="12" t="s">
        <v>94</v>
      </c>
      <c r="AT552" s="12"/>
      <c r="AU552" s="45"/>
      <c r="AV552" s="15"/>
      <c r="AW552" s="12" t="str">
        <f>B552&amp;C552&amp;L552&amp;M552&amp;O552&amp;U552&amp;AL552&amp;AM552</f>
        <v>FijiVotua marine protected areaEplithic algal matrixcover0.985912221023811Bonaldo2017</v>
      </c>
    </row>
    <row r="553" spans="1:49" ht="14.25" customHeight="1" x14ac:dyDescent="0.35">
      <c r="A553" s="12">
        <v>552</v>
      </c>
      <c r="B553" s="12" t="s">
        <v>1095</v>
      </c>
      <c r="C553" s="44" t="s">
        <v>2012</v>
      </c>
      <c r="D553" s="44" t="s">
        <v>2012</v>
      </c>
      <c r="E553" s="12" t="s">
        <v>171</v>
      </c>
      <c r="F553" s="13" t="s">
        <v>50</v>
      </c>
      <c r="G553" s="13" t="s">
        <v>51</v>
      </c>
      <c r="H553" s="13" t="s">
        <v>52</v>
      </c>
      <c r="I553" s="13" t="s">
        <v>156</v>
      </c>
      <c r="J553" s="14">
        <v>0.5</v>
      </c>
      <c r="K553" s="14"/>
      <c r="L553" s="14"/>
      <c r="M553" s="14" t="s">
        <v>468</v>
      </c>
      <c r="N553" s="53" t="s">
        <v>98</v>
      </c>
      <c r="O553" s="17" t="s">
        <v>101</v>
      </c>
      <c r="P553" s="14"/>
      <c r="Q553" s="14"/>
      <c r="R553" s="14"/>
      <c r="S553" s="14">
        <v>9.7613000000000003</v>
      </c>
      <c r="T553" s="14">
        <v>21.22</v>
      </c>
      <c r="U553" s="19">
        <f t="shared" si="37"/>
        <v>2.1738907727454335</v>
      </c>
      <c r="V553" s="41">
        <f t="shared" si="40"/>
        <v>117.38907727454335</v>
      </c>
      <c r="W553" s="14"/>
      <c r="X553" s="14" t="s">
        <v>56</v>
      </c>
      <c r="Z553" s="14" t="s">
        <v>58</v>
      </c>
      <c r="AA553" s="14" t="s">
        <v>58</v>
      </c>
      <c r="AB553" s="14" t="s">
        <v>57</v>
      </c>
      <c r="AC553" s="14">
        <v>2010</v>
      </c>
      <c r="AD553" s="14"/>
      <c r="AE553" s="14">
        <v>27</v>
      </c>
      <c r="AF553" s="14"/>
      <c r="AG553" s="14">
        <v>2002</v>
      </c>
      <c r="AH553" s="14">
        <f t="shared" si="38"/>
        <v>8</v>
      </c>
      <c r="AI553" s="17">
        <f t="shared" si="39"/>
        <v>10.25</v>
      </c>
      <c r="AJ553" s="14"/>
      <c r="AK553" s="14" t="s">
        <v>56</v>
      </c>
      <c r="AL553" s="13" t="s">
        <v>1468</v>
      </c>
      <c r="AM553" s="12">
        <v>2017</v>
      </c>
      <c r="AN553" s="12" t="s">
        <v>150</v>
      </c>
      <c r="AO553" s="12" t="s">
        <v>56</v>
      </c>
      <c r="AP553" s="12"/>
      <c r="AQ553" s="12" t="s">
        <v>56</v>
      </c>
      <c r="AR553" s="12" t="s">
        <v>58</v>
      </c>
      <c r="AS553" s="12" t="s">
        <v>94</v>
      </c>
      <c r="AT553" s="12"/>
      <c r="AU553" s="45"/>
      <c r="AV553" s="15"/>
      <c r="AW553" s="12" t="str">
        <f>B553&amp;C553&amp;L553&amp;M553&amp;O553&amp;U553&amp;AL553&amp;AM553</f>
        <v>FijiVatu-o-lalai marine protected areaCoralcover2.17389077274543Bonaldo2017</v>
      </c>
    </row>
    <row r="554" spans="1:49" ht="14.25" customHeight="1" x14ac:dyDescent="0.35">
      <c r="A554" s="12">
        <v>553</v>
      </c>
      <c r="B554" s="12" t="s">
        <v>1095</v>
      </c>
      <c r="C554" s="44" t="s">
        <v>2012</v>
      </c>
      <c r="D554" s="44" t="s">
        <v>2012</v>
      </c>
      <c r="E554" s="12" t="s">
        <v>171</v>
      </c>
      <c r="F554" s="13" t="s">
        <v>50</v>
      </c>
      <c r="G554" s="13" t="s">
        <v>51</v>
      </c>
      <c r="H554" s="13" t="s">
        <v>52</v>
      </c>
      <c r="I554" s="13" t="s">
        <v>156</v>
      </c>
      <c r="J554" s="14">
        <v>0.5</v>
      </c>
      <c r="K554" s="14"/>
      <c r="L554" s="14"/>
      <c r="M554" s="14" t="s">
        <v>291</v>
      </c>
      <c r="N554" s="53" t="s">
        <v>98</v>
      </c>
      <c r="O554" s="17" t="s">
        <v>101</v>
      </c>
      <c r="P554" s="14"/>
      <c r="Q554" s="14"/>
      <c r="R554" s="14"/>
      <c r="S554" s="14">
        <v>10.186</v>
      </c>
      <c r="T554" s="14">
        <v>1.6976</v>
      </c>
      <c r="U554" s="19">
        <f t="shared" si="37"/>
        <v>0.16666012173571568</v>
      </c>
      <c r="V554" s="41">
        <f t="shared" si="40"/>
        <v>-83.333987826428441</v>
      </c>
      <c r="W554" s="14"/>
      <c r="X554" s="14" t="s">
        <v>56</v>
      </c>
      <c r="Z554" s="14" t="s">
        <v>58</v>
      </c>
      <c r="AA554" s="14" t="s">
        <v>58</v>
      </c>
      <c r="AB554" s="14" t="s">
        <v>57</v>
      </c>
      <c r="AC554" s="14">
        <v>2010</v>
      </c>
      <c r="AD554" s="14"/>
      <c r="AE554" s="14">
        <v>27</v>
      </c>
      <c r="AF554" s="14"/>
      <c r="AG554" s="14">
        <v>2002</v>
      </c>
      <c r="AH554" s="14">
        <f t="shared" si="38"/>
        <v>8</v>
      </c>
      <c r="AI554" s="17">
        <f t="shared" si="39"/>
        <v>10.25</v>
      </c>
      <c r="AJ554" s="14"/>
      <c r="AK554" s="14" t="s">
        <v>56</v>
      </c>
      <c r="AL554" s="13" t="s">
        <v>1468</v>
      </c>
      <c r="AM554" s="12">
        <v>2017</v>
      </c>
      <c r="AN554" s="12" t="s">
        <v>150</v>
      </c>
      <c r="AO554" s="12" t="s">
        <v>56</v>
      </c>
      <c r="AP554" s="12"/>
      <c r="AQ554" s="12" t="s">
        <v>56</v>
      </c>
      <c r="AR554" s="12" t="s">
        <v>58</v>
      </c>
      <c r="AS554" s="12" t="s">
        <v>94</v>
      </c>
      <c r="AT554" s="12"/>
      <c r="AU554" s="45"/>
      <c r="AV554" s="15"/>
      <c r="AW554" s="12" t="str">
        <f>B554&amp;C554&amp;L554&amp;M554&amp;O554&amp;U554&amp;AL554&amp;AM554</f>
        <v>FijiVatu-o-lalai marine protected areaMacroalgaecover0.166660121735716Bonaldo2017</v>
      </c>
    </row>
    <row r="555" spans="1:49" ht="14.25" customHeight="1" x14ac:dyDescent="0.35">
      <c r="A555" s="12">
        <v>554</v>
      </c>
      <c r="B555" s="15" t="s">
        <v>1095</v>
      </c>
      <c r="C555" s="44" t="s">
        <v>2012</v>
      </c>
      <c r="D555" s="43" t="s">
        <v>2012</v>
      </c>
      <c r="E555" s="15" t="s">
        <v>171</v>
      </c>
      <c r="F555" s="13" t="s">
        <v>50</v>
      </c>
      <c r="G555" s="13" t="s">
        <v>51</v>
      </c>
      <c r="H555" s="16" t="s">
        <v>52</v>
      </c>
      <c r="I555" s="16" t="s">
        <v>156</v>
      </c>
      <c r="J555" s="14">
        <v>0.5</v>
      </c>
      <c r="K555" s="14"/>
      <c r="L555" s="17"/>
      <c r="M555" s="17" t="s">
        <v>1474</v>
      </c>
      <c r="N555" s="53" t="s">
        <v>98</v>
      </c>
      <c r="O555" s="17" t="s">
        <v>101</v>
      </c>
      <c r="P555" s="17"/>
      <c r="Q555" s="17"/>
      <c r="R555" s="17"/>
      <c r="S555" s="17">
        <v>76.816999999999993</v>
      </c>
      <c r="T555" s="17">
        <v>71.724000000000004</v>
      </c>
      <c r="U555" s="20">
        <f t="shared" si="37"/>
        <v>0.93369957170938733</v>
      </c>
      <c r="V555" s="41">
        <f t="shared" si="40"/>
        <v>-6.6300428290612672</v>
      </c>
      <c r="W555" s="17"/>
      <c r="X555" s="14" t="s">
        <v>56</v>
      </c>
      <c r="Z555" s="17" t="s">
        <v>58</v>
      </c>
      <c r="AA555" s="17" t="s">
        <v>58</v>
      </c>
      <c r="AB555" s="17" t="s">
        <v>57</v>
      </c>
      <c r="AC555" s="17">
        <v>2010</v>
      </c>
      <c r="AD555" s="17"/>
      <c r="AE555" s="17">
        <v>27</v>
      </c>
      <c r="AF555" s="17"/>
      <c r="AG555" s="17">
        <v>2002</v>
      </c>
      <c r="AH555" s="14">
        <f t="shared" si="38"/>
        <v>8</v>
      </c>
      <c r="AI555" s="17">
        <f t="shared" si="39"/>
        <v>10.25</v>
      </c>
      <c r="AJ555" s="17"/>
      <c r="AK555" s="17" t="s">
        <v>56</v>
      </c>
      <c r="AL555" s="16" t="s">
        <v>1468</v>
      </c>
      <c r="AM555" s="15">
        <v>2017</v>
      </c>
      <c r="AN555" s="15" t="s">
        <v>150</v>
      </c>
      <c r="AO555" s="15" t="s">
        <v>56</v>
      </c>
      <c r="AP555" s="15"/>
      <c r="AQ555" s="15" t="s">
        <v>56</v>
      </c>
      <c r="AR555" s="15" t="s">
        <v>58</v>
      </c>
      <c r="AS555" s="15" t="s">
        <v>94</v>
      </c>
      <c r="AT555" s="15"/>
      <c r="AU555" s="45"/>
      <c r="AV555" s="15"/>
      <c r="AW555" s="12" t="str">
        <f>B555&amp;C555&amp;L555&amp;M555&amp;O555&amp;U555&amp;AL555&amp;AM555</f>
        <v>FijiVatu-o-lalai marine protected areaEplithic algal matrixcover0.933699571709387Bonaldo2017</v>
      </c>
    </row>
    <row r="556" spans="1:49" ht="14.25" customHeight="1" x14ac:dyDescent="0.35">
      <c r="A556" s="12">
        <v>555</v>
      </c>
      <c r="B556" s="15" t="s">
        <v>1095</v>
      </c>
      <c r="C556" s="44" t="s">
        <v>1464</v>
      </c>
      <c r="D556" s="43" t="s">
        <v>1464</v>
      </c>
      <c r="E556" s="15" t="s">
        <v>171</v>
      </c>
      <c r="F556" s="13" t="s">
        <v>50</v>
      </c>
      <c r="G556" s="13" t="s">
        <v>51</v>
      </c>
      <c r="H556" s="16" t="s">
        <v>52</v>
      </c>
      <c r="I556" s="16" t="s">
        <v>156</v>
      </c>
      <c r="J556" s="14">
        <v>0.5</v>
      </c>
      <c r="K556" s="14"/>
      <c r="L556" s="17"/>
      <c r="M556" s="17" t="s">
        <v>468</v>
      </c>
      <c r="N556" s="53" t="s">
        <v>98</v>
      </c>
      <c r="O556" s="17" t="s">
        <v>101</v>
      </c>
      <c r="P556" s="17"/>
      <c r="Q556" s="17"/>
      <c r="R556" s="17"/>
      <c r="S556" s="17">
        <v>5.9416000000000002</v>
      </c>
      <c r="T556" s="17">
        <v>16.975999999999999</v>
      </c>
      <c r="U556" s="20">
        <f t="shared" si="37"/>
        <v>2.8571428571428568</v>
      </c>
      <c r="V556" s="41">
        <f t="shared" si="40"/>
        <v>185.71428571428567</v>
      </c>
      <c r="W556" s="17"/>
      <c r="X556" s="14" t="s">
        <v>56</v>
      </c>
      <c r="Z556" s="17" t="s">
        <v>58</v>
      </c>
      <c r="AA556" s="17" t="s">
        <v>58</v>
      </c>
      <c r="AB556" s="17" t="s">
        <v>57</v>
      </c>
      <c r="AC556" s="17">
        <v>2010</v>
      </c>
      <c r="AD556" s="17"/>
      <c r="AE556" s="17">
        <v>27</v>
      </c>
      <c r="AF556" s="17"/>
      <c r="AG556" s="17">
        <v>2002</v>
      </c>
      <c r="AH556" s="14">
        <f t="shared" si="38"/>
        <v>8</v>
      </c>
      <c r="AI556" s="17">
        <f t="shared" si="39"/>
        <v>10.25</v>
      </c>
      <c r="AJ556" s="17"/>
      <c r="AK556" s="17" t="s">
        <v>56</v>
      </c>
      <c r="AL556" s="16" t="s">
        <v>1468</v>
      </c>
      <c r="AM556" s="15">
        <v>2017</v>
      </c>
      <c r="AN556" s="15" t="s">
        <v>150</v>
      </c>
      <c r="AO556" s="15" t="s">
        <v>56</v>
      </c>
      <c r="AP556" s="15"/>
      <c r="AQ556" s="15" t="s">
        <v>56</v>
      </c>
      <c r="AR556" s="15" t="s">
        <v>58</v>
      </c>
      <c r="AS556" s="15" t="s">
        <v>94</v>
      </c>
      <c r="AT556" s="15"/>
      <c r="AU556" s="45"/>
      <c r="AV556" s="15"/>
      <c r="AW556" s="12" t="str">
        <f>B556&amp;C556&amp;L556&amp;M556&amp;O556&amp;U556&amp;AL556&amp;AM556</f>
        <v>FijiNamada marine protected areaCoralcover2.85714285714286Bonaldo2017</v>
      </c>
    </row>
    <row r="557" spans="1:49" ht="14.25" customHeight="1" x14ac:dyDescent="0.35">
      <c r="A557" s="12">
        <v>556</v>
      </c>
      <c r="B557" s="12" t="s">
        <v>1095</v>
      </c>
      <c r="C557" s="44" t="s">
        <v>1464</v>
      </c>
      <c r="D557" s="43" t="s">
        <v>1464</v>
      </c>
      <c r="E557" s="15" t="s">
        <v>171</v>
      </c>
      <c r="F557" s="13" t="s">
        <v>50</v>
      </c>
      <c r="G557" s="13" t="s">
        <v>51</v>
      </c>
      <c r="H557" s="16" t="s">
        <v>52</v>
      </c>
      <c r="I557" s="16" t="s">
        <v>156</v>
      </c>
      <c r="J557" s="14">
        <v>0.5</v>
      </c>
      <c r="K557" s="14"/>
      <c r="L557" s="17"/>
      <c r="M557" s="17" t="s">
        <v>291</v>
      </c>
      <c r="N557" s="53" t="s">
        <v>98</v>
      </c>
      <c r="O557" s="17" t="s">
        <v>101</v>
      </c>
      <c r="P557" s="17"/>
      <c r="Q557" s="17"/>
      <c r="R557" s="17"/>
      <c r="S557" s="17">
        <v>14.43</v>
      </c>
      <c r="T557" s="17">
        <v>0.4244</v>
      </c>
      <c r="U557" s="20">
        <f t="shared" si="37"/>
        <v>2.9410949410949412E-2</v>
      </c>
      <c r="V557" s="41">
        <f t="shared" si="40"/>
        <v>-97.058905058905054</v>
      </c>
      <c r="W557" s="17"/>
      <c r="X557" s="14" t="s">
        <v>56</v>
      </c>
      <c r="Z557" s="17" t="s">
        <v>58</v>
      </c>
      <c r="AA557" s="17" t="s">
        <v>58</v>
      </c>
      <c r="AB557" s="17" t="s">
        <v>57</v>
      </c>
      <c r="AC557" s="17">
        <v>2010</v>
      </c>
      <c r="AD557" s="17"/>
      <c r="AE557" s="17">
        <v>27</v>
      </c>
      <c r="AF557" s="17"/>
      <c r="AG557" s="17">
        <v>2002</v>
      </c>
      <c r="AH557" s="14">
        <f t="shared" si="38"/>
        <v>8</v>
      </c>
      <c r="AI557" s="17">
        <f t="shared" si="39"/>
        <v>10.25</v>
      </c>
      <c r="AJ557" s="17"/>
      <c r="AK557" s="17" t="s">
        <v>56</v>
      </c>
      <c r="AL557" s="16" t="s">
        <v>1468</v>
      </c>
      <c r="AM557" s="15">
        <v>2017</v>
      </c>
      <c r="AN557" s="15" t="s">
        <v>150</v>
      </c>
      <c r="AO557" s="15" t="s">
        <v>56</v>
      </c>
      <c r="AP557" s="15"/>
      <c r="AQ557" s="15" t="s">
        <v>56</v>
      </c>
      <c r="AR557" s="15" t="s">
        <v>58</v>
      </c>
      <c r="AS557" s="15" t="s">
        <v>94</v>
      </c>
      <c r="AT557" s="15"/>
      <c r="AU557" s="45"/>
      <c r="AV557" s="15"/>
      <c r="AW557" s="12" t="str">
        <f>B557&amp;C557&amp;L557&amp;M557&amp;O557&amp;U557&amp;AL557&amp;AM557</f>
        <v>FijiNamada marine protected areaMacroalgaecover0.0294109494109494Bonaldo2017</v>
      </c>
    </row>
    <row r="558" spans="1:49" ht="14.25" customHeight="1" x14ac:dyDescent="0.35">
      <c r="A558" s="12">
        <v>557</v>
      </c>
      <c r="B558" s="12" t="s">
        <v>1095</v>
      </c>
      <c r="C558" s="44" t="s">
        <v>1464</v>
      </c>
      <c r="D558" s="43" t="s">
        <v>1464</v>
      </c>
      <c r="E558" s="15" t="s">
        <v>171</v>
      </c>
      <c r="F558" s="16" t="s">
        <v>50</v>
      </c>
      <c r="G558" s="16" t="s">
        <v>51</v>
      </c>
      <c r="H558" s="16" t="s">
        <v>52</v>
      </c>
      <c r="I558" s="16" t="s">
        <v>156</v>
      </c>
      <c r="J558" s="14">
        <v>0.5</v>
      </c>
      <c r="K558" s="14"/>
      <c r="L558" s="17"/>
      <c r="M558" s="17" t="s">
        <v>1474</v>
      </c>
      <c r="N558" s="53" t="s">
        <v>98</v>
      </c>
      <c r="O558" s="17" t="s">
        <v>101</v>
      </c>
      <c r="P558" s="17"/>
      <c r="Q558" s="17"/>
      <c r="R558" s="17"/>
      <c r="S558" s="17">
        <v>68.753</v>
      </c>
      <c r="T558" s="17">
        <v>75.119</v>
      </c>
      <c r="U558" s="20">
        <f t="shared" si="37"/>
        <v>1.0925923232440766</v>
      </c>
      <c r="V558" s="41">
        <f t="shared" si="40"/>
        <v>9.2592323244076624</v>
      </c>
      <c r="W558" s="17"/>
      <c r="X558" s="14" t="s">
        <v>56</v>
      </c>
      <c r="Z558" s="17" t="s">
        <v>58</v>
      </c>
      <c r="AA558" s="17" t="s">
        <v>58</v>
      </c>
      <c r="AB558" s="17" t="s">
        <v>57</v>
      </c>
      <c r="AC558" s="17">
        <v>2010</v>
      </c>
      <c r="AD558" s="17"/>
      <c r="AE558" s="17">
        <v>27</v>
      </c>
      <c r="AF558" s="17"/>
      <c r="AG558" s="17">
        <v>2002</v>
      </c>
      <c r="AH558" s="14">
        <f t="shared" si="38"/>
        <v>8</v>
      </c>
      <c r="AI558" s="17">
        <f t="shared" si="39"/>
        <v>10.25</v>
      </c>
      <c r="AJ558" s="17"/>
      <c r="AK558" s="17" t="s">
        <v>56</v>
      </c>
      <c r="AL558" s="16" t="s">
        <v>1468</v>
      </c>
      <c r="AM558" s="15">
        <v>2017</v>
      </c>
      <c r="AN558" s="15" t="s">
        <v>150</v>
      </c>
      <c r="AO558" s="15" t="s">
        <v>56</v>
      </c>
      <c r="AP558" s="15"/>
      <c r="AQ558" s="15" t="s">
        <v>56</v>
      </c>
      <c r="AR558" s="15" t="s">
        <v>58</v>
      </c>
      <c r="AS558" s="15" t="s">
        <v>94</v>
      </c>
      <c r="AT558" s="15"/>
      <c r="AU558" s="45"/>
      <c r="AV558" s="15"/>
      <c r="AW558" s="12" t="str">
        <f>B558&amp;C558&amp;L558&amp;M558&amp;O558&amp;U558&amp;AL558&amp;AM558</f>
        <v>FijiNamada marine protected areaEplithic algal matrixcover1.09259232324408Bonaldo2017</v>
      </c>
    </row>
    <row r="559" spans="1:49" ht="14.25" customHeight="1" x14ac:dyDescent="0.35">
      <c r="A559" s="12">
        <v>558</v>
      </c>
      <c r="B559" s="12" t="s">
        <v>1095</v>
      </c>
      <c r="C559" s="43" t="s">
        <v>2019</v>
      </c>
      <c r="D559" s="43" t="s">
        <v>2019</v>
      </c>
      <c r="E559" s="15" t="s">
        <v>171</v>
      </c>
      <c r="F559" s="13" t="s">
        <v>50</v>
      </c>
      <c r="G559" s="13" t="s">
        <v>51</v>
      </c>
      <c r="H559" s="16" t="s">
        <v>52</v>
      </c>
      <c r="I559" s="16" t="s">
        <v>156</v>
      </c>
      <c r="J559" s="17">
        <v>0.8</v>
      </c>
      <c r="K559" s="17"/>
      <c r="L559" s="17"/>
      <c r="M559" s="17" t="s">
        <v>1475</v>
      </c>
      <c r="N559" s="53" t="s">
        <v>98</v>
      </c>
      <c r="O559" s="17" t="s">
        <v>86</v>
      </c>
      <c r="P559" s="17"/>
      <c r="Q559" s="17"/>
      <c r="R559" s="17"/>
      <c r="S559" s="17">
        <v>2.6753</v>
      </c>
      <c r="T559" s="17">
        <v>10.779</v>
      </c>
      <c r="U559" s="20">
        <f t="shared" si="37"/>
        <v>4.0290808507457108</v>
      </c>
      <c r="V559" s="41">
        <f t="shared" si="40"/>
        <v>302.90808507457109</v>
      </c>
      <c r="W559" s="17"/>
      <c r="X559" s="14" t="s">
        <v>56</v>
      </c>
      <c r="Z559" s="17" t="s">
        <v>58</v>
      </c>
      <c r="AA559" s="17" t="s">
        <v>58</v>
      </c>
      <c r="AB559" s="17" t="s">
        <v>57</v>
      </c>
      <c r="AC559" s="17">
        <v>2010</v>
      </c>
      <c r="AD559" s="17"/>
      <c r="AE559" s="17">
        <v>27</v>
      </c>
      <c r="AF559" s="17"/>
      <c r="AG559" s="17">
        <v>2003</v>
      </c>
      <c r="AH559" s="14">
        <f t="shared" si="38"/>
        <v>7</v>
      </c>
      <c r="AI559" s="17">
        <f t="shared" si="39"/>
        <v>9.25</v>
      </c>
      <c r="AJ559" s="17"/>
      <c r="AK559" s="17" t="s">
        <v>56</v>
      </c>
      <c r="AL559" s="16" t="s">
        <v>1468</v>
      </c>
      <c r="AM559" s="15">
        <v>2017</v>
      </c>
      <c r="AN559" s="15" t="s">
        <v>150</v>
      </c>
      <c r="AO559" s="15" t="s">
        <v>56</v>
      </c>
      <c r="AP559" s="15"/>
      <c r="AQ559" s="15" t="s">
        <v>56</v>
      </c>
      <c r="AR559" s="15" t="s">
        <v>58</v>
      </c>
      <c r="AS559" s="15" t="s">
        <v>94</v>
      </c>
      <c r="AT559" s="15"/>
      <c r="AU559" s="45"/>
      <c r="AV559" s="15"/>
      <c r="AW559" s="12" t="str">
        <f>B559&amp;C559&amp;L559&amp;M559&amp;O559&amp;U559&amp;AL559&amp;AM559</f>
        <v>FijiVotua marine protected areacoral recruitsdensity4.02908085074571Bonaldo2017</v>
      </c>
    </row>
    <row r="560" spans="1:49" ht="14.25" customHeight="1" x14ac:dyDescent="0.35">
      <c r="A560" s="12">
        <v>559</v>
      </c>
      <c r="B560" s="12" t="s">
        <v>1095</v>
      </c>
      <c r="C560" s="43" t="s">
        <v>2012</v>
      </c>
      <c r="D560" s="43" t="s">
        <v>2012</v>
      </c>
      <c r="E560" s="15" t="s">
        <v>171</v>
      </c>
      <c r="F560" s="13" t="s">
        <v>50</v>
      </c>
      <c r="G560" s="13" t="s">
        <v>51</v>
      </c>
      <c r="H560" s="16" t="s">
        <v>52</v>
      </c>
      <c r="I560" s="16" t="s">
        <v>156</v>
      </c>
      <c r="J560" s="17">
        <v>0.5</v>
      </c>
      <c r="K560" s="17"/>
      <c r="L560" s="17"/>
      <c r="M560" s="17" t="s">
        <v>1475</v>
      </c>
      <c r="N560" s="53" t="s">
        <v>98</v>
      </c>
      <c r="O560" s="17" t="s">
        <v>86</v>
      </c>
      <c r="P560" s="17"/>
      <c r="Q560" s="17"/>
      <c r="R560" s="17"/>
      <c r="S560" s="17">
        <v>6.1039000000000003</v>
      </c>
      <c r="T560" s="17">
        <v>7.8700999999999999</v>
      </c>
      <c r="U560" s="20">
        <f t="shared" si="37"/>
        <v>1.2893559855174559</v>
      </c>
      <c r="V560" s="41">
        <f t="shared" si="40"/>
        <v>28.935598551745588</v>
      </c>
      <c r="W560" s="17"/>
      <c r="X560" s="17" t="s">
        <v>56</v>
      </c>
      <c r="Z560" s="17" t="s">
        <v>58</v>
      </c>
      <c r="AA560" s="17" t="s">
        <v>58</v>
      </c>
      <c r="AB560" s="17" t="s">
        <v>57</v>
      </c>
      <c r="AC560" s="17">
        <v>2010</v>
      </c>
      <c r="AD560" s="17"/>
      <c r="AE560" s="17">
        <v>27</v>
      </c>
      <c r="AF560" s="17"/>
      <c r="AG560" s="17">
        <v>2002</v>
      </c>
      <c r="AH560" s="14">
        <f t="shared" si="38"/>
        <v>8</v>
      </c>
      <c r="AI560" s="17">
        <f t="shared" si="39"/>
        <v>10.25</v>
      </c>
      <c r="AJ560" s="17"/>
      <c r="AK560" s="17" t="s">
        <v>56</v>
      </c>
      <c r="AL560" s="16" t="s">
        <v>1468</v>
      </c>
      <c r="AM560" s="15">
        <v>2017</v>
      </c>
      <c r="AN560" s="12" t="s">
        <v>150</v>
      </c>
      <c r="AO560" s="15" t="s">
        <v>56</v>
      </c>
      <c r="AP560" s="15"/>
      <c r="AQ560" s="15" t="s">
        <v>56</v>
      </c>
      <c r="AR560" s="15" t="s">
        <v>58</v>
      </c>
      <c r="AS560" s="15" t="s">
        <v>94</v>
      </c>
      <c r="AT560" s="15"/>
      <c r="AU560" s="45"/>
      <c r="AV560" s="15"/>
      <c r="AW560" s="12" t="str">
        <f>B560&amp;C560&amp;L560&amp;M560&amp;O560&amp;U560&amp;AL560&amp;AM560</f>
        <v>FijiVatu-o-lalai marine protected areacoral recruitsdensity1.28935598551746Bonaldo2017</v>
      </c>
    </row>
    <row r="561" spans="1:49" ht="14.25" customHeight="1" x14ac:dyDescent="0.35">
      <c r="A561" s="12">
        <v>560</v>
      </c>
      <c r="B561" s="12" t="s">
        <v>1095</v>
      </c>
      <c r="C561" s="43" t="s">
        <v>1464</v>
      </c>
      <c r="D561" s="44" t="s">
        <v>1464</v>
      </c>
      <c r="E561" s="15" t="s">
        <v>171</v>
      </c>
      <c r="F561" s="13" t="s">
        <v>50</v>
      </c>
      <c r="G561" s="13" t="s">
        <v>51</v>
      </c>
      <c r="H561" s="16" t="s">
        <v>52</v>
      </c>
      <c r="I561" s="16" t="s">
        <v>156</v>
      </c>
      <c r="J561" s="17">
        <v>0.5</v>
      </c>
      <c r="K561" s="17"/>
      <c r="L561" s="17"/>
      <c r="M561" s="17" t="s">
        <v>1475</v>
      </c>
      <c r="N561" s="53" t="s">
        <v>98</v>
      </c>
      <c r="O561" s="17" t="s">
        <v>86</v>
      </c>
      <c r="P561" s="17"/>
      <c r="Q561" s="17"/>
      <c r="R561" s="17"/>
      <c r="S561" s="17">
        <v>1.6623000000000001</v>
      </c>
      <c r="T561" s="17">
        <v>7.4286000000000003</v>
      </c>
      <c r="U561" s="20">
        <f t="shared" si="37"/>
        <v>4.4688684353004868</v>
      </c>
      <c r="V561" s="41">
        <f t="shared" si="40"/>
        <v>346.88684353004868</v>
      </c>
      <c r="W561" s="17"/>
      <c r="X561" s="17" t="s">
        <v>56</v>
      </c>
      <c r="Z561" s="17" t="s">
        <v>58</v>
      </c>
      <c r="AA561" s="17" t="s">
        <v>58</v>
      </c>
      <c r="AB561" s="17" t="s">
        <v>57</v>
      </c>
      <c r="AC561" s="17">
        <v>2010</v>
      </c>
      <c r="AD561" s="17"/>
      <c r="AE561" s="17">
        <v>27</v>
      </c>
      <c r="AF561" s="17"/>
      <c r="AG561" s="17">
        <v>2002</v>
      </c>
      <c r="AH561" s="14">
        <f t="shared" si="38"/>
        <v>8</v>
      </c>
      <c r="AI561" s="17">
        <f t="shared" si="39"/>
        <v>10.25</v>
      </c>
      <c r="AJ561" s="17"/>
      <c r="AK561" s="17" t="s">
        <v>56</v>
      </c>
      <c r="AL561" s="16" t="s">
        <v>1468</v>
      </c>
      <c r="AM561" s="15">
        <v>2017</v>
      </c>
      <c r="AN561" s="12" t="s">
        <v>150</v>
      </c>
      <c r="AO561" s="15" t="s">
        <v>56</v>
      </c>
      <c r="AP561" s="15"/>
      <c r="AQ561" s="15" t="s">
        <v>56</v>
      </c>
      <c r="AR561" s="15" t="s">
        <v>58</v>
      </c>
      <c r="AS561" s="15" t="s">
        <v>94</v>
      </c>
      <c r="AT561" s="15"/>
      <c r="AU561" s="45"/>
      <c r="AV561" s="15"/>
      <c r="AW561" s="12" t="str">
        <f>B561&amp;C561&amp;L561&amp;M561&amp;O561&amp;U561&amp;AL561&amp;AM561</f>
        <v>FijiNamada marine protected areacoral recruitsdensity4.46886843530049Bonaldo2017</v>
      </c>
    </row>
    <row r="562" spans="1:49" ht="14.25" customHeight="1" x14ac:dyDescent="0.35">
      <c r="A562" s="12">
        <v>561</v>
      </c>
      <c r="B562" s="12" t="s">
        <v>75</v>
      </c>
      <c r="C562" s="44" t="s">
        <v>2678</v>
      </c>
      <c r="D562" s="50" t="s">
        <v>77</v>
      </c>
      <c r="E562" s="12"/>
      <c r="F562" s="13" t="s">
        <v>50</v>
      </c>
      <c r="G562" s="13" t="s">
        <v>51</v>
      </c>
      <c r="H562" s="13" t="s">
        <v>78</v>
      </c>
      <c r="I562" s="13" t="s">
        <v>53</v>
      </c>
      <c r="K562" s="17">
        <v>65</v>
      </c>
      <c r="L562" s="17" t="s">
        <v>115</v>
      </c>
      <c r="M562" s="14" t="s">
        <v>79</v>
      </c>
      <c r="N562" s="14" t="s">
        <v>80</v>
      </c>
      <c r="O562" s="17" t="s">
        <v>86</v>
      </c>
      <c r="P562" s="14"/>
      <c r="Q562" s="14"/>
      <c r="R562" s="14"/>
      <c r="S562" s="14">
        <v>0.22400999999999999</v>
      </c>
      <c r="T562" s="14">
        <v>0.50188999999999995</v>
      </c>
      <c r="U562" s="19">
        <f t="shared" si="37"/>
        <v>2.2404803356992988</v>
      </c>
      <c r="V562" s="41">
        <f t="shared" si="40"/>
        <v>124.04803356992988</v>
      </c>
      <c r="W562" s="14"/>
      <c r="X562" s="14" t="s">
        <v>56</v>
      </c>
      <c r="Z562" s="14" t="s">
        <v>56</v>
      </c>
      <c r="AA562" s="14"/>
      <c r="AB562" s="14" t="s">
        <v>57</v>
      </c>
      <c r="AC562" s="14">
        <v>2003</v>
      </c>
      <c r="AD562" s="14">
        <v>9</v>
      </c>
      <c r="AE562" s="14"/>
      <c r="AF562" s="14"/>
      <c r="AG562" s="14">
        <v>2003</v>
      </c>
      <c r="AH562" s="14">
        <f t="shared" si="38"/>
        <v>0</v>
      </c>
      <c r="AI562" s="17">
        <f t="shared" si="39"/>
        <v>9</v>
      </c>
      <c r="AJ562" s="14"/>
      <c r="AK562" s="14" t="s">
        <v>56</v>
      </c>
      <c r="AL562" s="13" t="s">
        <v>81</v>
      </c>
      <c r="AM562" s="12">
        <v>2015</v>
      </c>
      <c r="AN562" s="12" t="s">
        <v>82</v>
      </c>
      <c r="AO562" s="12" t="s">
        <v>56</v>
      </c>
      <c r="AP562" s="12"/>
      <c r="AQ562" s="12" t="s">
        <v>56</v>
      </c>
      <c r="AR562" s="12" t="s">
        <v>58</v>
      </c>
      <c r="AS562" s="12" t="s">
        <v>83</v>
      </c>
      <c r="AT562" s="12"/>
      <c r="AU562" s="45" t="s">
        <v>2810</v>
      </c>
      <c r="AV562" s="15"/>
      <c r="AW562" s="12" t="str">
        <f>B562&amp;C562&amp;L562&amp;M562&amp;O562&amp;U562&amp;AL562&amp;AM562</f>
        <v>United StatesHarris Point State Marine ReserveSemicossyphus pulcherCalifornia Sheepheaddensity2.2404803356993Hamilton2015</v>
      </c>
    </row>
    <row r="563" spans="1:49" ht="14.25" customHeight="1" x14ac:dyDescent="0.35">
      <c r="A563" s="12">
        <v>562</v>
      </c>
      <c r="B563" s="12" t="s">
        <v>75</v>
      </c>
      <c r="C563" s="12" t="s">
        <v>2812</v>
      </c>
      <c r="D563" s="50" t="s">
        <v>77</v>
      </c>
      <c r="E563" s="12"/>
      <c r="F563" s="13" t="s">
        <v>50</v>
      </c>
      <c r="G563" s="13" t="s">
        <v>51</v>
      </c>
      <c r="H563" s="13" t="s">
        <v>78</v>
      </c>
      <c r="I563" s="13" t="s">
        <v>53</v>
      </c>
      <c r="K563" s="17">
        <v>76</v>
      </c>
      <c r="L563" s="17" t="s">
        <v>115</v>
      </c>
      <c r="M563" s="14" t="s">
        <v>79</v>
      </c>
      <c r="N563" s="14" t="s">
        <v>80</v>
      </c>
      <c r="O563" s="17" t="s">
        <v>86</v>
      </c>
      <c r="P563" s="14"/>
      <c r="Q563" s="14"/>
      <c r="R563" s="14"/>
      <c r="S563" s="14">
        <v>0.46786</v>
      </c>
      <c r="T563" s="14">
        <v>1.1569</v>
      </c>
      <c r="U563" s="19">
        <f t="shared" si="37"/>
        <v>2.4727482580259053</v>
      </c>
      <c r="V563" s="41">
        <f t="shared" si="40"/>
        <v>147.27482580259053</v>
      </c>
      <c r="W563" s="14"/>
      <c r="X563" s="14" t="s">
        <v>58</v>
      </c>
      <c r="Y563" s="14">
        <v>25</v>
      </c>
      <c r="Z563" s="14" t="s">
        <v>58</v>
      </c>
      <c r="AA563" s="14"/>
      <c r="AB563" s="14" t="s">
        <v>57</v>
      </c>
      <c r="AC563" s="14">
        <v>2003</v>
      </c>
      <c r="AD563" s="14">
        <v>9</v>
      </c>
      <c r="AE563" s="14"/>
      <c r="AF563" s="14"/>
      <c r="AG563" s="14">
        <v>2003</v>
      </c>
      <c r="AH563" s="14">
        <f t="shared" si="38"/>
        <v>0</v>
      </c>
      <c r="AI563" s="17">
        <f t="shared" si="39"/>
        <v>9</v>
      </c>
      <c r="AJ563" s="14"/>
      <c r="AK563" s="14" t="s">
        <v>56</v>
      </c>
      <c r="AL563" s="13" t="s">
        <v>81</v>
      </c>
      <c r="AM563" s="12">
        <v>2015</v>
      </c>
      <c r="AN563" s="12" t="s">
        <v>82</v>
      </c>
      <c r="AO563" s="12" t="s">
        <v>56</v>
      </c>
      <c r="AP563" s="12"/>
      <c r="AQ563" s="12" t="s">
        <v>56</v>
      </c>
      <c r="AR563" s="12" t="s">
        <v>58</v>
      </c>
      <c r="AS563" s="12" t="s">
        <v>83</v>
      </c>
      <c r="AT563" s="12"/>
      <c r="AU563" s="45" t="s">
        <v>2811</v>
      </c>
      <c r="AV563" s="15"/>
      <c r="AW563" s="12" t="str">
        <f>B563&amp;C563&amp;L563&amp;M563&amp;O563&amp;U563&amp;AL563&amp;AM563</f>
        <v>United StatesCarrington &amp; South Point Marine ReservesSemicossyphus pulcherCalifornia Sheepheaddensity2.47274825802591Hamilton2015</v>
      </c>
    </row>
    <row r="564" spans="1:49" ht="14.25" customHeight="1" x14ac:dyDescent="0.35">
      <c r="A564" s="12">
        <v>563</v>
      </c>
      <c r="B564" s="12" t="s">
        <v>75</v>
      </c>
      <c r="C564" s="12" t="s">
        <v>2717</v>
      </c>
      <c r="D564" s="50" t="s">
        <v>77</v>
      </c>
      <c r="E564" s="12"/>
      <c r="F564" s="13" t="s">
        <v>50</v>
      </c>
      <c r="G564" s="13" t="s">
        <v>51</v>
      </c>
      <c r="H564" s="13" t="s">
        <v>78</v>
      </c>
      <c r="I564" s="13" t="s">
        <v>53</v>
      </c>
      <c r="K564" s="17">
        <v>76</v>
      </c>
      <c r="L564" s="17" t="s">
        <v>115</v>
      </c>
      <c r="M564" s="14" t="s">
        <v>79</v>
      </c>
      <c r="N564" s="14" t="s">
        <v>80</v>
      </c>
      <c r="O564" s="17" t="s">
        <v>86</v>
      </c>
      <c r="P564" s="14"/>
      <c r="Q564" s="14"/>
      <c r="R564" s="14"/>
      <c r="S564" s="14">
        <v>1.018</v>
      </c>
      <c r="T564" s="14">
        <v>1.5964</v>
      </c>
      <c r="U564" s="19">
        <f t="shared" si="37"/>
        <v>1.5681728880157171</v>
      </c>
      <c r="V564" s="41">
        <f t="shared" si="40"/>
        <v>56.817288801571706</v>
      </c>
      <c r="W564" s="14"/>
      <c r="X564" s="14" t="s">
        <v>58</v>
      </c>
      <c r="Y564" s="14">
        <v>25</v>
      </c>
      <c r="Z564" s="14" t="s">
        <v>58</v>
      </c>
      <c r="AA564" s="14"/>
      <c r="AB564" s="14" t="s">
        <v>57</v>
      </c>
      <c r="AC564" s="14">
        <v>2003</v>
      </c>
      <c r="AD564" s="14">
        <v>9</v>
      </c>
      <c r="AE564" s="14"/>
      <c r="AF564" s="14"/>
      <c r="AG564" s="14">
        <v>2003</v>
      </c>
      <c r="AH564" s="14">
        <f t="shared" si="38"/>
        <v>0</v>
      </c>
      <c r="AI564" s="17">
        <f t="shared" si="39"/>
        <v>9</v>
      </c>
      <c r="AJ564" s="14"/>
      <c r="AK564" s="14" t="s">
        <v>56</v>
      </c>
      <c r="AL564" s="13" t="s">
        <v>81</v>
      </c>
      <c r="AM564" s="12">
        <v>2015</v>
      </c>
      <c r="AN564" s="12" t="s">
        <v>82</v>
      </c>
      <c r="AO564" s="12" t="s">
        <v>56</v>
      </c>
      <c r="AP564" s="12"/>
      <c r="AQ564" s="12" t="s">
        <v>56</v>
      </c>
      <c r="AR564" s="12" t="s">
        <v>58</v>
      </c>
      <c r="AS564" s="12" t="s">
        <v>83</v>
      </c>
      <c r="AT564" s="12"/>
      <c r="AU564" s="45" t="s">
        <v>2811</v>
      </c>
      <c r="AV564" s="15"/>
      <c r="AW564" s="12" t="str">
        <f>B564&amp;C564&amp;L564&amp;M564&amp;O564&amp;U564&amp;AL564&amp;AM564</f>
        <v>United StatesScorpion &amp; Gull Island State Marine ReservesSemicossyphus pulcherCalifornia Sheepheaddensity1.56817288801572Hamilton2015</v>
      </c>
    </row>
    <row r="565" spans="1:49" ht="14.25" customHeight="1" x14ac:dyDescent="0.35">
      <c r="A565" s="12">
        <v>564</v>
      </c>
      <c r="B565" s="15" t="s">
        <v>75</v>
      </c>
      <c r="C565" s="59" t="s">
        <v>76</v>
      </c>
      <c r="D565" s="50" t="s">
        <v>77</v>
      </c>
      <c r="E565" s="15"/>
      <c r="F565" s="13" t="s">
        <v>50</v>
      </c>
      <c r="G565" s="13" t="s">
        <v>51</v>
      </c>
      <c r="H565" s="16" t="s">
        <v>78</v>
      </c>
      <c r="I565" s="16" t="s">
        <v>53</v>
      </c>
      <c r="J565" s="17"/>
      <c r="K565" s="47">
        <v>30</v>
      </c>
      <c r="L565" s="17" t="s">
        <v>115</v>
      </c>
      <c r="M565" s="17" t="s">
        <v>79</v>
      </c>
      <c r="N565" s="17" t="s">
        <v>80</v>
      </c>
      <c r="O565" s="17" t="s">
        <v>86</v>
      </c>
      <c r="P565" s="17"/>
      <c r="Q565" s="17"/>
      <c r="R565" s="17"/>
      <c r="S565" s="17">
        <v>0.72306000000000004</v>
      </c>
      <c r="T565" s="17">
        <v>1.2022999999999999</v>
      </c>
      <c r="U565" s="20">
        <f t="shared" si="37"/>
        <v>1.6627942356097694</v>
      </c>
      <c r="V565" s="41">
        <f t="shared" si="40"/>
        <v>66.279423560976937</v>
      </c>
      <c r="W565" s="17"/>
      <c r="X565" s="17" t="s">
        <v>56</v>
      </c>
      <c r="Z565" s="14" t="s">
        <v>56</v>
      </c>
      <c r="AA565" s="14"/>
      <c r="AB565" s="17" t="s">
        <v>57</v>
      </c>
      <c r="AC565" s="17">
        <v>2003</v>
      </c>
      <c r="AD565" s="17">
        <v>9</v>
      </c>
      <c r="AE565" s="17"/>
      <c r="AF565" s="17"/>
      <c r="AG565" s="17">
        <v>2003</v>
      </c>
      <c r="AH565" s="14">
        <f t="shared" si="38"/>
        <v>0</v>
      </c>
      <c r="AI565" s="17">
        <f t="shared" si="39"/>
        <v>9</v>
      </c>
      <c r="AJ565" s="17"/>
      <c r="AK565" s="17" t="s">
        <v>56</v>
      </c>
      <c r="AL565" s="16" t="s">
        <v>81</v>
      </c>
      <c r="AM565" s="15">
        <v>2015</v>
      </c>
      <c r="AN565" s="12" t="s">
        <v>82</v>
      </c>
      <c r="AO565" s="15" t="s">
        <v>56</v>
      </c>
      <c r="AP565" s="15"/>
      <c r="AQ565" s="15" t="s">
        <v>56</v>
      </c>
      <c r="AR565" s="15" t="s">
        <v>58</v>
      </c>
      <c r="AS565" s="15" t="s">
        <v>83</v>
      </c>
      <c r="AT565" s="15"/>
      <c r="AU565" s="45" t="s">
        <v>2811</v>
      </c>
      <c r="AV565" s="15"/>
      <c r="AW565" s="12" t="str">
        <f>B565&amp;C565&amp;L565&amp;M565&amp;O565&amp;U565&amp;AL565&amp;AM565</f>
        <v>United StatesAnacapa Island State Marine Reserve (new)Semicossyphus pulcherCalifornia Sheepheaddensity1.66279423560977Hamilton2015</v>
      </c>
    </row>
    <row r="566" spans="1:49" ht="14.25" customHeight="1" x14ac:dyDescent="0.35">
      <c r="A566" s="12">
        <v>565</v>
      </c>
      <c r="B566" s="15" t="s">
        <v>75</v>
      </c>
      <c r="C566" s="15" t="s">
        <v>2716</v>
      </c>
      <c r="D566" s="50" t="s">
        <v>77</v>
      </c>
      <c r="E566" s="15"/>
      <c r="F566" s="13" t="s">
        <v>50</v>
      </c>
      <c r="G566" s="13" t="s">
        <v>51</v>
      </c>
      <c r="H566" s="16" t="s">
        <v>78</v>
      </c>
      <c r="I566" s="16" t="s">
        <v>53</v>
      </c>
      <c r="J566" s="17"/>
      <c r="K566" s="17">
        <v>33</v>
      </c>
      <c r="L566" s="17" t="s">
        <v>115</v>
      </c>
      <c r="M566" s="17" t="s">
        <v>79</v>
      </c>
      <c r="N566" s="17" t="s">
        <v>80</v>
      </c>
      <c r="O566" s="17" t="s">
        <v>86</v>
      </c>
      <c r="P566" s="17"/>
      <c r="Q566" s="17"/>
      <c r="R566" s="17"/>
      <c r="S566" s="17">
        <v>0.60397000000000001</v>
      </c>
      <c r="T566" s="17">
        <v>0.66068000000000005</v>
      </c>
      <c r="U566" s="20">
        <f t="shared" si="37"/>
        <v>1.0938953921552395</v>
      </c>
      <c r="V566" s="41">
        <f t="shared" si="40"/>
        <v>9.3895392155239463</v>
      </c>
      <c r="W566" s="17"/>
      <c r="X566" s="14" t="s">
        <v>56</v>
      </c>
      <c r="Z566" s="14" t="s">
        <v>56</v>
      </c>
      <c r="AA566" s="14"/>
      <c r="AB566" s="17" t="s">
        <v>57</v>
      </c>
      <c r="AC566" s="17">
        <v>2003</v>
      </c>
      <c r="AD566" s="17">
        <v>9</v>
      </c>
      <c r="AE566" s="17"/>
      <c r="AF566" s="17"/>
      <c r="AG566" s="17">
        <v>2003</v>
      </c>
      <c r="AH566" s="14">
        <f t="shared" si="38"/>
        <v>0</v>
      </c>
      <c r="AI566" s="17">
        <f t="shared" si="39"/>
        <v>9</v>
      </c>
      <c r="AJ566" s="17"/>
      <c r="AK566" s="17" t="s">
        <v>56</v>
      </c>
      <c r="AL566" s="16" t="s">
        <v>81</v>
      </c>
      <c r="AM566" s="15">
        <v>2015</v>
      </c>
      <c r="AN566" s="15" t="s">
        <v>82</v>
      </c>
      <c r="AO566" s="15" t="s">
        <v>56</v>
      </c>
      <c r="AP566" s="15"/>
      <c r="AQ566" s="15" t="s">
        <v>56</v>
      </c>
      <c r="AR566" s="15" t="s">
        <v>58</v>
      </c>
      <c r="AS566" s="15" t="s">
        <v>83</v>
      </c>
      <c r="AT566" s="15"/>
      <c r="AU566" s="45" t="s">
        <v>2811</v>
      </c>
      <c r="AV566" s="15"/>
      <c r="AW566" s="12" t="str">
        <f>B566&amp;C566&amp;L566&amp;M566&amp;O566&amp;U566&amp;AL566&amp;AM566</f>
        <v>United StatesSanta Barbara State Marine ReserveSemicossyphus pulcherCalifornia Sheepheaddensity1.09389539215524Hamilton2015</v>
      </c>
    </row>
    <row r="567" spans="1:49" ht="14.25" customHeight="1" x14ac:dyDescent="0.35">
      <c r="A567" s="12">
        <v>566</v>
      </c>
      <c r="B567" s="12" t="s">
        <v>75</v>
      </c>
      <c r="C567" s="44" t="s">
        <v>2678</v>
      </c>
      <c r="D567" s="50" t="s">
        <v>77</v>
      </c>
      <c r="E567" s="12"/>
      <c r="F567" s="13" t="s">
        <v>50</v>
      </c>
      <c r="G567" s="13" t="s">
        <v>51</v>
      </c>
      <c r="H567" s="13" t="s">
        <v>78</v>
      </c>
      <c r="I567" s="13" t="s">
        <v>53</v>
      </c>
      <c r="K567" s="17">
        <v>65</v>
      </c>
      <c r="L567" s="17" t="s">
        <v>2794</v>
      </c>
      <c r="M567" s="14" t="s">
        <v>103</v>
      </c>
      <c r="N567" s="14" t="s">
        <v>80</v>
      </c>
      <c r="O567" s="17" t="s">
        <v>86</v>
      </c>
      <c r="P567" s="14"/>
      <c r="Q567" s="14"/>
      <c r="R567" s="14"/>
      <c r="S567" s="14">
        <v>0.13016</v>
      </c>
      <c r="T567" s="14">
        <v>0.34736</v>
      </c>
      <c r="U567" s="19">
        <f t="shared" si="37"/>
        <v>2.6687154271665641</v>
      </c>
      <c r="V567" s="41">
        <f t="shared" si="40"/>
        <v>166.87154271665639</v>
      </c>
      <c r="W567" s="14"/>
      <c r="X567" s="14" t="s">
        <v>56</v>
      </c>
      <c r="Z567" s="14" t="s">
        <v>56</v>
      </c>
      <c r="AA567" s="14"/>
      <c r="AB567" s="14" t="s">
        <v>57</v>
      </c>
      <c r="AC567" s="14">
        <v>2003</v>
      </c>
      <c r="AD567" s="14">
        <v>9</v>
      </c>
      <c r="AE567" s="14"/>
      <c r="AF567" s="14"/>
      <c r="AG567" s="14">
        <v>2003</v>
      </c>
      <c r="AH567" s="14">
        <f t="shared" si="38"/>
        <v>0</v>
      </c>
      <c r="AI567" s="17">
        <f t="shared" si="39"/>
        <v>9</v>
      </c>
      <c r="AJ567" s="14"/>
      <c r="AK567" s="14" t="s">
        <v>56</v>
      </c>
      <c r="AL567" s="13" t="s">
        <v>81</v>
      </c>
      <c r="AM567" s="12">
        <v>2015</v>
      </c>
      <c r="AN567" s="12" t="s">
        <v>82</v>
      </c>
      <c r="AO567" s="12" t="s">
        <v>56</v>
      </c>
      <c r="AP567" s="12"/>
      <c r="AQ567" s="12" t="s">
        <v>56</v>
      </c>
      <c r="AR567" s="12" t="s">
        <v>58</v>
      </c>
      <c r="AS567" s="12" t="s">
        <v>83</v>
      </c>
      <c r="AT567" s="12"/>
      <c r="AU567" s="45" t="s">
        <v>2810</v>
      </c>
      <c r="AV567" s="15"/>
      <c r="AW567" s="12" t="str">
        <f>B567&amp;C567&amp;L567&amp;M567&amp;O567&amp;U567&amp;AL567&amp;AM567</f>
        <v>United StatesHarris Point State Marine ReserveSemicossyphus pulcher (&gt;30cm)California Sheephead (&gt;30CM)density2.66871542716656Hamilton2015</v>
      </c>
    </row>
    <row r="568" spans="1:49" ht="14.25" customHeight="1" x14ac:dyDescent="0.35">
      <c r="A568" s="12">
        <v>567</v>
      </c>
      <c r="B568" s="12" t="s">
        <v>75</v>
      </c>
      <c r="C568" s="12" t="s">
        <v>2812</v>
      </c>
      <c r="D568" s="50" t="s">
        <v>77</v>
      </c>
      <c r="E568" s="12"/>
      <c r="F568" s="13" t="s">
        <v>50</v>
      </c>
      <c r="G568" s="13" t="s">
        <v>51</v>
      </c>
      <c r="H568" s="13" t="s">
        <v>78</v>
      </c>
      <c r="I568" s="13" t="s">
        <v>53</v>
      </c>
      <c r="K568" s="17">
        <v>76</v>
      </c>
      <c r="L568" s="17" t="s">
        <v>2794</v>
      </c>
      <c r="M568" s="14" t="s">
        <v>103</v>
      </c>
      <c r="N568" s="14" t="s">
        <v>80</v>
      </c>
      <c r="O568" s="14" t="s">
        <v>86</v>
      </c>
      <c r="P568" s="14"/>
      <c r="Q568" s="14"/>
      <c r="R568" s="14"/>
      <c r="S568" s="14">
        <v>0.56181999999999999</v>
      </c>
      <c r="T568" s="14">
        <v>1.1638999999999999</v>
      </c>
      <c r="U568" s="19">
        <f t="shared" si="37"/>
        <v>2.0716599622654943</v>
      </c>
      <c r="V568" s="41">
        <f t="shared" si="40"/>
        <v>107.16599622654942</v>
      </c>
      <c r="W568" s="14"/>
      <c r="X568" s="14" t="s">
        <v>58</v>
      </c>
      <c r="Y568" s="14">
        <v>25</v>
      </c>
      <c r="Z568" s="14" t="s">
        <v>58</v>
      </c>
      <c r="AA568" s="14"/>
      <c r="AB568" s="14" t="s">
        <v>57</v>
      </c>
      <c r="AC568" s="14">
        <v>2003</v>
      </c>
      <c r="AD568" s="14">
        <v>9</v>
      </c>
      <c r="AE568" s="14"/>
      <c r="AF568" s="14"/>
      <c r="AG568" s="14">
        <v>2003</v>
      </c>
      <c r="AH568" s="14">
        <f t="shared" si="38"/>
        <v>0</v>
      </c>
      <c r="AI568" s="17">
        <f t="shared" si="39"/>
        <v>9</v>
      </c>
      <c r="AJ568" s="14"/>
      <c r="AK568" s="14" t="s">
        <v>56</v>
      </c>
      <c r="AL568" s="13" t="s">
        <v>81</v>
      </c>
      <c r="AM568" s="12">
        <v>2015</v>
      </c>
      <c r="AN568" s="12" t="s">
        <v>82</v>
      </c>
      <c r="AO568" s="12" t="s">
        <v>56</v>
      </c>
      <c r="AP568" s="12"/>
      <c r="AQ568" s="12" t="s">
        <v>56</v>
      </c>
      <c r="AR568" s="12" t="s">
        <v>58</v>
      </c>
      <c r="AS568" s="12" t="s">
        <v>83</v>
      </c>
      <c r="AT568" s="12"/>
      <c r="AU568" s="45" t="s">
        <v>2811</v>
      </c>
      <c r="AV568" s="15"/>
      <c r="AW568" s="12" t="str">
        <f>B568&amp;C568&amp;L568&amp;M568&amp;O568&amp;U568&amp;AL568&amp;AM568</f>
        <v>United StatesCarrington &amp; South Point Marine ReservesSemicossyphus pulcher (&gt;30cm)California Sheephead (&gt;30CM)density2.07165996226549Hamilton2015</v>
      </c>
    </row>
    <row r="569" spans="1:49" ht="14.25" customHeight="1" x14ac:dyDescent="0.35">
      <c r="A569" s="12">
        <v>568</v>
      </c>
      <c r="B569" s="15" t="s">
        <v>75</v>
      </c>
      <c r="C569" s="15" t="s">
        <v>2717</v>
      </c>
      <c r="D569" s="50" t="s">
        <v>77</v>
      </c>
      <c r="E569" s="15"/>
      <c r="F569" s="16" t="s">
        <v>50</v>
      </c>
      <c r="G569" s="16" t="s">
        <v>51</v>
      </c>
      <c r="H569" s="16" t="s">
        <v>78</v>
      </c>
      <c r="I569" s="16" t="s">
        <v>53</v>
      </c>
      <c r="J569" s="17"/>
      <c r="K569" s="17">
        <v>76</v>
      </c>
      <c r="L569" s="17" t="s">
        <v>2794</v>
      </c>
      <c r="M569" s="17" t="s">
        <v>103</v>
      </c>
      <c r="N569" s="17" t="s">
        <v>80</v>
      </c>
      <c r="O569" s="17" t="s">
        <v>86</v>
      </c>
      <c r="P569" s="17"/>
      <c r="Q569" s="17"/>
      <c r="R569" s="17"/>
      <c r="S569" s="17">
        <v>0.31162000000000001</v>
      </c>
      <c r="T569" s="17">
        <v>0.74063000000000001</v>
      </c>
      <c r="U569" s="20">
        <f t="shared" si="37"/>
        <v>2.3767088120146331</v>
      </c>
      <c r="V569" s="41">
        <f t="shared" si="40"/>
        <v>137.67088120146332</v>
      </c>
      <c r="W569" s="17"/>
      <c r="X569" s="17" t="s">
        <v>58</v>
      </c>
      <c r="Y569" s="14">
        <v>25</v>
      </c>
      <c r="Z569" s="14" t="s">
        <v>58</v>
      </c>
      <c r="AA569" s="14"/>
      <c r="AB569" s="17" t="s">
        <v>57</v>
      </c>
      <c r="AC569" s="17">
        <v>2003</v>
      </c>
      <c r="AD569" s="17">
        <v>9</v>
      </c>
      <c r="AE569" s="17"/>
      <c r="AF569" s="17"/>
      <c r="AG569" s="17">
        <v>2003</v>
      </c>
      <c r="AH569" s="14">
        <f t="shared" si="38"/>
        <v>0</v>
      </c>
      <c r="AI569" s="17">
        <f t="shared" si="39"/>
        <v>9</v>
      </c>
      <c r="AJ569" s="17"/>
      <c r="AK569" s="17" t="s">
        <v>56</v>
      </c>
      <c r="AL569" s="16" t="s">
        <v>81</v>
      </c>
      <c r="AM569" s="15">
        <v>2015</v>
      </c>
      <c r="AN569" s="15" t="s">
        <v>82</v>
      </c>
      <c r="AO569" s="15" t="s">
        <v>56</v>
      </c>
      <c r="AP569" s="15"/>
      <c r="AQ569" s="15" t="s">
        <v>56</v>
      </c>
      <c r="AR569" s="15" t="s">
        <v>58</v>
      </c>
      <c r="AS569" s="15" t="s">
        <v>83</v>
      </c>
      <c r="AT569" s="15"/>
      <c r="AU569" s="45" t="s">
        <v>2811</v>
      </c>
      <c r="AV569" s="15"/>
      <c r="AW569" s="12" t="str">
        <f>B569&amp;C569&amp;L569&amp;M569&amp;O569&amp;U569&amp;AL569&amp;AM569</f>
        <v>United StatesScorpion &amp; Gull Island State Marine ReservesSemicossyphus pulcher (&gt;30cm)California Sheephead (&gt;30CM)density2.37670881201463Hamilton2015</v>
      </c>
    </row>
    <row r="570" spans="1:49" ht="14.25" customHeight="1" x14ac:dyDescent="0.35">
      <c r="A570" s="12">
        <v>569</v>
      </c>
      <c r="B570" s="15" t="s">
        <v>75</v>
      </c>
      <c r="C570" s="59" t="s">
        <v>76</v>
      </c>
      <c r="D570" s="50" t="s">
        <v>77</v>
      </c>
      <c r="E570" s="15"/>
      <c r="F570" s="13" t="s">
        <v>50</v>
      </c>
      <c r="G570" s="13" t="s">
        <v>51</v>
      </c>
      <c r="H570" s="16" t="s">
        <v>78</v>
      </c>
      <c r="I570" s="16" t="s">
        <v>53</v>
      </c>
      <c r="J570" s="17"/>
      <c r="K570" s="47">
        <v>30</v>
      </c>
      <c r="L570" s="17" t="s">
        <v>2794</v>
      </c>
      <c r="M570" s="17" t="s">
        <v>103</v>
      </c>
      <c r="N570" s="17" t="s">
        <v>80</v>
      </c>
      <c r="O570" s="17" t="s">
        <v>86</v>
      </c>
      <c r="P570" s="17"/>
      <c r="Q570" s="17"/>
      <c r="R570" s="17"/>
      <c r="S570" s="17">
        <v>0.11642</v>
      </c>
      <c r="T570" s="17">
        <v>0.43534</v>
      </c>
      <c r="U570" s="20">
        <f t="shared" ref="U570:U631" si="41">IFERROR(IF(AND(Q570="",R570="",S570="",T570=""),"",IF(AND(Q570&lt;&gt;"",R570&lt;&gt;"",S570&lt;&gt;"",T570&lt;&gt;""),(T570/R570)/(S570/Q570),IF(AND(Q570&lt;&gt;"",R570&lt;&gt;""),R570/Q570,IF(AND(S570&lt;&gt;"",T570&lt;&gt;""),T570/S570,IF(AND(Q570&lt;&gt;"",S570&lt;&gt;""),Q570/S570,IF(AND(R570&lt;&gt;"",T570&lt;&gt;""),T570/R570)))))), "N/A")</f>
        <v>3.7393918570692324</v>
      </c>
      <c r="V570" s="41">
        <f t="shared" si="40"/>
        <v>273.93918570692324</v>
      </c>
      <c r="W570" s="17"/>
      <c r="X570" s="14" t="s">
        <v>56</v>
      </c>
      <c r="Z570" s="14" t="s">
        <v>56</v>
      </c>
      <c r="AA570" s="14"/>
      <c r="AB570" s="17" t="s">
        <v>57</v>
      </c>
      <c r="AC570" s="17">
        <v>2003</v>
      </c>
      <c r="AD570" s="17">
        <v>9</v>
      </c>
      <c r="AE570" s="17"/>
      <c r="AF570" s="17"/>
      <c r="AG570" s="17">
        <v>2003</v>
      </c>
      <c r="AH570" s="14">
        <f t="shared" si="38"/>
        <v>0</v>
      </c>
      <c r="AI570" s="17">
        <f t="shared" si="39"/>
        <v>9</v>
      </c>
      <c r="AJ570" s="17"/>
      <c r="AK570" s="17" t="s">
        <v>56</v>
      </c>
      <c r="AL570" s="16" t="s">
        <v>81</v>
      </c>
      <c r="AM570" s="15">
        <v>2015</v>
      </c>
      <c r="AN570" s="12" t="s">
        <v>82</v>
      </c>
      <c r="AO570" s="15" t="s">
        <v>56</v>
      </c>
      <c r="AP570" s="15"/>
      <c r="AQ570" s="15" t="s">
        <v>56</v>
      </c>
      <c r="AR570" s="15" t="s">
        <v>58</v>
      </c>
      <c r="AS570" s="15" t="s">
        <v>83</v>
      </c>
      <c r="AT570" s="15"/>
      <c r="AU570" s="45" t="s">
        <v>2811</v>
      </c>
      <c r="AV570" s="15"/>
      <c r="AW570" s="12" t="str">
        <f>B570&amp;C570&amp;L570&amp;M570&amp;O570&amp;U570&amp;AL570&amp;AM570</f>
        <v>United StatesAnacapa Island State Marine Reserve (new)Semicossyphus pulcher (&gt;30cm)California Sheephead (&gt;30CM)density3.73939185706923Hamilton2015</v>
      </c>
    </row>
    <row r="571" spans="1:49" ht="14.25" customHeight="1" x14ac:dyDescent="0.35">
      <c r="A571" s="12">
        <v>570</v>
      </c>
      <c r="B571" s="15" t="s">
        <v>75</v>
      </c>
      <c r="C571" s="15" t="s">
        <v>2716</v>
      </c>
      <c r="D571" s="50" t="s">
        <v>77</v>
      </c>
      <c r="E571" s="15"/>
      <c r="F571" s="13" t="s">
        <v>50</v>
      </c>
      <c r="G571" s="13" t="s">
        <v>51</v>
      </c>
      <c r="H571" s="16" t="s">
        <v>78</v>
      </c>
      <c r="I571" s="16" t="s">
        <v>53</v>
      </c>
      <c r="J571" s="17"/>
      <c r="K571" s="17">
        <v>33</v>
      </c>
      <c r="L571" s="17" t="s">
        <v>2794</v>
      </c>
      <c r="M571" s="17" t="s">
        <v>103</v>
      </c>
      <c r="N571" s="17" t="s">
        <v>80</v>
      </c>
      <c r="O571" s="17" t="s">
        <v>86</v>
      </c>
      <c r="P571" s="17"/>
      <c r="Q571" s="17"/>
      <c r="R571" s="17"/>
      <c r="S571" s="17">
        <v>0.33911999999999998</v>
      </c>
      <c r="T571" s="17">
        <v>0.32262000000000002</v>
      </c>
      <c r="U571" s="20">
        <f t="shared" si="41"/>
        <v>0.95134465675866964</v>
      </c>
      <c r="V571" s="41">
        <f t="shared" si="40"/>
        <v>-4.8655343241330362</v>
      </c>
      <c r="W571" s="17"/>
      <c r="X571" s="17" t="s">
        <v>56</v>
      </c>
      <c r="Z571" s="14" t="s">
        <v>56</v>
      </c>
      <c r="AA571" s="14"/>
      <c r="AB571" s="17" t="s">
        <v>57</v>
      </c>
      <c r="AC571" s="17">
        <v>2003</v>
      </c>
      <c r="AD571" s="17">
        <v>9</v>
      </c>
      <c r="AE571" s="17"/>
      <c r="AF571" s="17"/>
      <c r="AG571" s="17">
        <v>2003</v>
      </c>
      <c r="AH571" s="14">
        <f t="shared" si="38"/>
        <v>0</v>
      </c>
      <c r="AI571" s="17">
        <f t="shared" si="39"/>
        <v>9</v>
      </c>
      <c r="AJ571" s="17"/>
      <c r="AK571" s="17" t="s">
        <v>56</v>
      </c>
      <c r="AL571" s="16" t="s">
        <v>81</v>
      </c>
      <c r="AM571" s="15">
        <v>2015</v>
      </c>
      <c r="AN571" s="12" t="s">
        <v>82</v>
      </c>
      <c r="AO571" s="15" t="s">
        <v>56</v>
      </c>
      <c r="AP571" s="15"/>
      <c r="AQ571" s="15" t="s">
        <v>56</v>
      </c>
      <c r="AR571" s="15" t="s">
        <v>58</v>
      </c>
      <c r="AS571" s="15" t="s">
        <v>83</v>
      </c>
      <c r="AT571" s="15"/>
      <c r="AU571" s="45" t="s">
        <v>2811</v>
      </c>
      <c r="AV571" s="15"/>
      <c r="AW571" s="12" t="str">
        <f>B571&amp;C571&amp;L571&amp;M571&amp;O571&amp;U571&amp;AL571&amp;AM571</f>
        <v>United StatesSanta Barbara State Marine ReserveSemicossyphus pulcher (&gt;30cm)California Sheephead (&gt;30CM)density0.95134465675867Hamilton2015</v>
      </c>
    </row>
    <row r="572" spans="1:49" ht="14.25" customHeight="1" x14ac:dyDescent="0.35">
      <c r="A572" s="12">
        <v>571</v>
      </c>
      <c r="B572" s="12" t="s">
        <v>75</v>
      </c>
      <c r="C572" s="44" t="s">
        <v>2678</v>
      </c>
      <c r="D572" s="50" t="s">
        <v>77</v>
      </c>
      <c r="E572" s="12"/>
      <c r="F572" s="13" t="s">
        <v>50</v>
      </c>
      <c r="G572" s="13" t="s">
        <v>51</v>
      </c>
      <c r="H572" s="16" t="s">
        <v>78</v>
      </c>
      <c r="I572" s="13" t="s">
        <v>53</v>
      </c>
      <c r="K572" s="17">
        <v>65</v>
      </c>
      <c r="L572" s="17" t="s">
        <v>115</v>
      </c>
      <c r="M572" s="14" t="s">
        <v>79</v>
      </c>
      <c r="N572" s="14" t="s">
        <v>80</v>
      </c>
      <c r="O572" s="14" t="s">
        <v>104</v>
      </c>
      <c r="P572" s="14" t="s">
        <v>105</v>
      </c>
      <c r="Q572" s="14"/>
      <c r="R572" s="14"/>
      <c r="S572" s="14">
        <v>33.01</v>
      </c>
      <c r="T572" s="14">
        <v>36.020000000000003</v>
      </c>
      <c r="U572" s="19">
        <f t="shared" si="41"/>
        <v>1.0911844895486218</v>
      </c>
      <c r="V572" s="41">
        <f t="shared" si="40"/>
        <v>9.1184489548621794</v>
      </c>
      <c r="W572" s="14"/>
      <c r="X572" s="14" t="s">
        <v>56</v>
      </c>
      <c r="Z572" s="14" t="s">
        <v>56</v>
      </c>
      <c r="AA572" s="14"/>
      <c r="AB572" s="14" t="s">
        <v>57</v>
      </c>
      <c r="AC572" s="14">
        <v>2003</v>
      </c>
      <c r="AD572" s="14">
        <v>9</v>
      </c>
      <c r="AE572" s="14"/>
      <c r="AF572" s="14"/>
      <c r="AG572" s="14">
        <v>2003</v>
      </c>
      <c r="AH572" s="14">
        <f t="shared" si="38"/>
        <v>0</v>
      </c>
      <c r="AI572" s="17">
        <f t="shared" si="39"/>
        <v>9</v>
      </c>
      <c r="AJ572" s="14"/>
      <c r="AK572" s="14" t="s">
        <v>56</v>
      </c>
      <c r="AL572" s="13" t="s">
        <v>81</v>
      </c>
      <c r="AM572" s="12">
        <v>2015</v>
      </c>
      <c r="AN572" s="12" t="s">
        <v>82</v>
      </c>
      <c r="AO572" s="12" t="s">
        <v>56</v>
      </c>
      <c r="AP572" s="12"/>
      <c r="AQ572" s="12" t="s">
        <v>56</v>
      </c>
      <c r="AR572" s="12" t="s">
        <v>58</v>
      </c>
      <c r="AS572" s="12" t="s">
        <v>83</v>
      </c>
      <c r="AT572" s="12"/>
      <c r="AU572" s="45" t="s">
        <v>2810</v>
      </c>
      <c r="AV572" s="15"/>
      <c r="AW572" s="12" t="str">
        <f>B572&amp;C572&amp;L572&amp;M572&amp;O572&amp;U572&amp;AL572&amp;AM572</f>
        <v>United StatesHarris Point State Marine ReserveSemicossyphus pulcherCalifornia Sheepheadsize1.09118448954862Hamilton2015</v>
      </c>
    </row>
    <row r="573" spans="1:49" ht="14.25" customHeight="1" x14ac:dyDescent="0.35">
      <c r="A573" s="12">
        <v>572</v>
      </c>
      <c r="B573" s="15" t="s">
        <v>75</v>
      </c>
      <c r="C573" s="12" t="s">
        <v>2812</v>
      </c>
      <c r="D573" s="50" t="s">
        <v>77</v>
      </c>
      <c r="E573" s="15"/>
      <c r="F573" s="16" t="s">
        <v>50</v>
      </c>
      <c r="G573" s="16" t="s">
        <v>51</v>
      </c>
      <c r="H573" s="16" t="s">
        <v>78</v>
      </c>
      <c r="I573" s="16" t="s">
        <v>53</v>
      </c>
      <c r="K573" s="17">
        <v>76</v>
      </c>
      <c r="L573" s="17" t="s">
        <v>115</v>
      </c>
      <c r="M573" s="17" t="s">
        <v>79</v>
      </c>
      <c r="N573" s="17" t="s">
        <v>80</v>
      </c>
      <c r="O573" s="17" t="s">
        <v>104</v>
      </c>
      <c r="P573" s="17" t="s">
        <v>105</v>
      </c>
      <c r="Q573" s="17"/>
      <c r="R573" s="17"/>
      <c r="S573" s="17">
        <v>37.74</v>
      </c>
      <c r="T573" s="17">
        <v>41.94</v>
      </c>
      <c r="U573" s="20">
        <f t="shared" si="41"/>
        <v>1.1112877583465817</v>
      </c>
      <c r="V573" s="41">
        <f t="shared" si="40"/>
        <v>11.128775834658168</v>
      </c>
      <c r="W573" s="17"/>
      <c r="X573" s="14" t="s">
        <v>58</v>
      </c>
      <c r="Y573" s="14">
        <v>25</v>
      </c>
      <c r="Z573" s="14" t="s">
        <v>58</v>
      </c>
      <c r="AA573" s="14"/>
      <c r="AB573" s="17" t="s">
        <v>57</v>
      </c>
      <c r="AC573" s="17">
        <v>2003</v>
      </c>
      <c r="AD573" s="17">
        <v>9</v>
      </c>
      <c r="AE573" s="17"/>
      <c r="AF573" s="17"/>
      <c r="AG573" s="14">
        <v>2003</v>
      </c>
      <c r="AH573" s="14">
        <f t="shared" si="38"/>
        <v>0</v>
      </c>
      <c r="AI573" s="17">
        <f t="shared" si="39"/>
        <v>9</v>
      </c>
      <c r="AJ573" s="17"/>
      <c r="AK573" s="17" t="s">
        <v>56</v>
      </c>
      <c r="AL573" s="16" t="s">
        <v>81</v>
      </c>
      <c r="AM573" s="15">
        <v>2015</v>
      </c>
      <c r="AN573" s="12" t="s">
        <v>82</v>
      </c>
      <c r="AO573" s="15" t="s">
        <v>56</v>
      </c>
      <c r="AP573" s="15"/>
      <c r="AQ573" s="15" t="s">
        <v>56</v>
      </c>
      <c r="AR573" s="15" t="s">
        <v>58</v>
      </c>
      <c r="AS573" s="15" t="s">
        <v>83</v>
      </c>
      <c r="AT573" s="15"/>
      <c r="AU573" s="45" t="s">
        <v>2811</v>
      </c>
      <c r="AV573" s="15"/>
      <c r="AW573" s="12" t="str">
        <f>B573&amp;C573&amp;L573&amp;M573&amp;O573&amp;U573&amp;AL573&amp;AM573</f>
        <v>United StatesCarrington &amp; South Point Marine ReservesSemicossyphus pulcherCalifornia Sheepheadsize1.11128775834658Hamilton2015</v>
      </c>
    </row>
    <row r="574" spans="1:49" ht="14.25" customHeight="1" x14ac:dyDescent="0.35">
      <c r="A574" s="12">
        <v>573</v>
      </c>
      <c r="B574" s="15" t="s">
        <v>75</v>
      </c>
      <c r="C574" s="12" t="s">
        <v>2717</v>
      </c>
      <c r="D574" s="50" t="s">
        <v>77</v>
      </c>
      <c r="E574" s="15"/>
      <c r="F574" s="16" t="s">
        <v>50</v>
      </c>
      <c r="G574" s="16" t="s">
        <v>51</v>
      </c>
      <c r="H574" s="16" t="s">
        <v>78</v>
      </c>
      <c r="I574" s="16" t="s">
        <v>53</v>
      </c>
      <c r="K574" s="17">
        <v>76</v>
      </c>
      <c r="L574" s="17" t="s">
        <v>115</v>
      </c>
      <c r="M574" s="17" t="s">
        <v>79</v>
      </c>
      <c r="N574" s="17" t="s">
        <v>80</v>
      </c>
      <c r="O574" s="17" t="s">
        <v>104</v>
      </c>
      <c r="P574" s="17" t="s">
        <v>105</v>
      </c>
      <c r="Q574" s="17"/>
      <c r="R574" s="17"/>
      <c r="S574" s="17">
        <v>25.22</v>
      </c>
      <c r="T574" s="17">
        <v>29.78</v>
      </c>
      <c r="U574" s="20">
        <f t="shared" si="41"/>
        <v>1.1808088818398097</v>
      </c>
      <c r="V574" s="41">
        <f t="shared" si="40"/>
        <v>18.080888183980971</v>
      </c>
      <c r="W574" s="17"/>
      <c r="X574" s="14" t="s">
        <v>58</v>
      </c>
      <c r="Y574" s="14">
        <v>25</v>
      </c>
      <c r="Z574" s="14" t="s">
        <v>58</v>
      </c>
      <c r="AA574" s="14"/>
      <c r="AB574" s="17" t="s">
        <v>57</v>
      </c>
      <c r="AC574" s="17">
        <v>2003</v>
      </c>
      <c r="AD574" s="17">
        <v>9</v>
      </c>
      <c r="AE574" s="17"/>
      <c r="AF574" s="17"/>
      <c r="AG574" s="14">
        <v>2003</v>
      </c>
      <c r="AH574" s="14">
        <f t="shared" si="38"/>
        <v>0</v>
      </c>
      <c r="AI574" s="17">
        <f t="shared" si="39"/>
        <v>9</v>
      </c>
      <c r="AJ574" s="17"/>
      <c r="AK574" s="17" t="s">
        <v>56</v>
      </c>
      <c r="AL574" s="16" t="s">
        <v>81</v>
      </c>
      <c r="AM574" s="15">
        <v>2015</v>
      </c>
      <c r="AN574" s="12" t="s">
        <v>82</v>
      </c>
      <c r="AO574" s="15" t="s">
        <v>56</v>
      </c>
      <c r="AP574" s="15"/>
      <c r="AQ574" s="15" t="s">
        <v>56</v>
      </c>
      <c r="AR574" s="15" t="s">
        <v>58</v>
      </c>
      <c r="AS574" s="15" t="s">
        <v>83</v>
      </c>
      <c r="AT574" s="15"/>
      <c r="AU574" s="45" t="s">
        <v>2811</v>
      </c>
      <c r="AV574" s="15"/>
      <c r="AW574" s="12" t="str">
        <f>B574&amp;C574&amp;L574&amp;M574&amp;O574&amp;U574&amp;AL574&amp;AM574</f>
        <v>United StatesScorpion &amp; Gull Island State Marine ReservesSemicossyphus pulcherCalifornia Sheepheadsize1.18080888183981Hamilton2015</v>
      </c>
    </row>
    <row r="575" spans="1:49" ht="14.25" customHeight="1" x14ac:dyDescent="0.35">
      <c r="A575" s="12">
        <v>574</v>
      </c>
      <c r="B575" s="15" t="s">
        <v>75</v>
      </c>
      <c r="C575" s="50" t="s">
        <v>76</v>
      </c>
      <c r="D575" s="50" t="s">
        <v>77</v>
      </c>
      <c r="E575" s="15"/>
      <c r="F575" s="16" t="s">
        <v>50</v>
      </c>
      <c r="G575" s="16" t="s">
        <v>51</v>
      </c>
      <c r="H575" s="16" t="s">
        <v>78</v>
      </c>
      <c r="I575" s="16" t="s">
        <v>53</v>
      </c>
      <c r="K575" s="47">
        <v>30</v>
      </c>
      <c r="L575" s="17" t="s">
        <v>115</v>
      </c>
      <c r="M575" s="17" t="s">
        <v>79</v>
      </c>
      <c r="N575" s="17" t="s">
        <v>80</v>
      </c>
      <c r="O575" s="17" t="s">
        <v>104</v>
      </c>
      <c r="P575" s="17" t="s">
        <v>105</v>
      </c>
      <c r="Q575" s="17"/>
      <c r="R575" s="17"/>
      <c r="S575" s="17">
        <v>19.78</v>
      </c>
      <c r="T575" s="17">
        <v>26.13</v>
      </c>
      <c r="U575" s="20">
        <f t="shared" si="41"/>
        <v>1.3210313447927198</v>
      </c>
      <c r="V575" s="41">
        <f t="shared" si="40"/>
        <v>32.103134479271979</v>
      </c>
      <c r="W575" s="17"/>
      <c r="X575" s="17" t="s">
        <v>56</v>
      </c>
      <c r="Z575" s="14" t="s">
        <v>56</v>
      </c>
      <c r="AA575" s="14"/>
      <c r="AB575" s="17" t="s">
        <v>57</v>
      </c>
      <c r="AC575" s="17">
        <v>2003</v>
      </c>
      <c r="AD575" s="17">
        <v>9</v>
      </c>
      <c r="AE575" s="17"/>
      <c r="AF575" s="17"/>
      <c r="AG575" s="14">
        <v>2003</v>
      </c>
      <c r="AH575" s="14">
        <f t="shared" si="38"/>
        <v>0</v>
      </c>
      <c r="AI575" s="17">
        <f t="shared" si="39"/>
        <v>9</v>
      </c>
      <c r="AJ575" s="17"/>
      <c r="AK575" s="17" t="s">
        <v>56</v>
      </c>
      <c r="AL575" s="16" t="s">
        <v>81</v>
      </c>
      <c r="AM575" s="15">
        <v>2015</v>
      </c>
      <c r="AN575" s="15" t="s">
        <v>82</v>
      </c>
      <c r="AO575" s="15" t="s">
        <v>56</v>
      </c>
      <c r="AP575" s="15"/>
      <c r="AQ575" s="15" t="s">
        <v>56</v>
      </c>
      <c r="AR575" s="15" t="s">
        <v>58</v>
      </c>
      <c r="AS575" s="15" t="s">
        <v>83</v>
      </c>
      <c r="AT575" s="15"/>
      <c r="AU575" s="45" t="s">
        <v>2811</v>
      </c>
      <c r="AV575" s="15"/>
      <c r="AW575" s="12" t="str">
        <f>B575&amp;C575&amp;L575&amp;M575&amp;O575&amp;U575&amp;AL575&amp;AM575</f>
        <v>United StatesAnacapa Island State Marine Reserve (new)Semicossyphus pulcherCalifornia Sheepheadsize1.32103134479272Hamilton2015</v>
      </c>
    </row>
    <row r="576" spans="1:49" ht="14.25" customHeight="1" x14ac:dyDescent="0.35">
      <c r="A576" s="12">
        <v>575</v>
      </c>
      <c r="B576" s="12" t="s">
        <v>75</v>
      </c>
      <c r="C576" s="12" t="s">
        <v>2716</v>
      </c>
      <c r="D576" s="50" t="s">
        <v>77</v>
      </c>
      <c r="E576" s="12"/>
      <c r="F576" s="16" t="s">
        <v>50</v>
      </c>
      <c r="G576" s="16" t="s">
        <v>51</v>
      </c>
      <c r="H576" s="16" t="s">
        <v>78</v>
      </c>
      <c r="I576" s="13" t="s">
        <v>53</v>
      </c>
      <c r="K576" s="17">
        <v>33</v>
      </c>
      <c r="L576" s="17" t="s">
        <v>115</v>
      </c>
      <c r="M576" s="14" t="s">
        <v>79</v>
      </c>
      <c r="N576" s="14" t="s">
        <v>80</v>
      </c>
      <c r="O576" s="17" t="s">
        <v>104</v>
      </c>
      <c r="P576" s="14" t="s">
        <v>105</v>
      </c>
      <c r="Q576" s="14"/>
      <c r="R576" s="14"/>
      <c r="S576" s="14">
        <v>27.74</v>
      </c>
      <c r="T576" s="14">
        <v>26.72</v>
      </c>
      <c r="U576" s="19">
        <f t="shared" si="41"/>
        <v>0.96322999279019472</v>
      </c>
      <c r="V576" s="41">
        <f t="shared" si="40"/>
        <v>-3.6770007209805278</v>
      </c>
      <c r="W576" s="14"/>
      <c r="X576" s="14" t="s">
        <v>56</v>
      </c>
      <c r="Z576" s="14" t="s">
        <v>56</v>
      </c>
      <c r="AA576" s="14"/>
      <c r="AB576" s="14" t="s">
        <v>57</v>
      </c>
      <c r="AC576" s="14">
        <v>2003</v>
      </c>
      <c r="AD576" s="14">
        <v>9</v>
      </c>
      <c r="AE576" s="14"/>
      <c r="AF576" s="14"/>
      <c r="AG576" s="14">
        <v>2003</v>
      </c>
      <c r="AH576" s="14">
        <f t="shared" si="38"/>
        <v>0</v>
      </c>
      <c r="AI576" s="17">
        <f t="shared" si="39"/>
        <v>9</v>
      </c>
      <c r="AJ576" s="14"/>
      <c r="AK576" s="14" t="s">
        <v>56</v>
      </c>
      <c r="AL576" s="16" t="s">
        <v>81</v>
      </c>
      <c r="AM576" s="15">
        <v>2015</v>
      </c>
      <c r="AN576" s="15" t="s">
        <v>82</v>
      </c>
      <c r="AO576" s="12" t="s">
        <v>56</v>
      </c>
      <c r="AP576" s="12"/>
      <c r="AQ576" s="12" t="s">
        <v>56</v>
      </c>
      <c r="AR576" s="12" t="s">
        <v>58</v>
      </c>
      <c r="AS576" s="12" t="s">
        <v>83</v>
      </c>
      <c r="AT576" s="12"/>
      <c r="AU576" s="45" t="s">
        <v>2811</v>
      </c>
      <c r="AV576" s="15"/>
      <c r="AW576" s="12" t="str">
        <f>B576&amp;C576&amp;L576&amp;M576&amp;O576&amp;U576&amp;AL576&amp;AM576</f>
        <v>United StatesSanta Barbara State Marine ReserveSemicossyphus pulcherCalifornia Sheepheadsize0.963229992790195Hamilton2015</v>
      </c>
    </row>
    <row r="577" spans="1:49" ht="14.25" customHeight="1" x14ac:dyDescent="0.35">
      <c r="A577" s="12">
        <v>576</v>
      </c>
      <c r="B577" s="15" t="s">
        <v>75</v>
      </c>
      <c r="C577" s="44" t="s">
        <v>2678</v>
      </c>
      <c r="D577" s="50" t="s">
        <v>77</v>
      </c>
      <c r="E577" s="12"/>
      <c r="F577" s="13" t="s">
        <v>50</v>
      </c>
      <c r="G577" s="13" t="s">
        <v>51</v>
      </c>
      <c r="H577" s="16" t="s">
        <v>78</v>
      </c>
      <c r="I577" s="16" t="s">
        <v>53</v>
      </c>
      <c r="K577" s="17">
        <v>65</v>
      </c>
      <c r="L577" s="17" t="s">
        <v>115</v>
      </c>
      <c r="M577" s="17" t="s">
        <v>79</v>
      </c>
      <c r="N577" s="17" t="s">
        <v>80</v>
      </c>
      <c r="O577" s="17" t="s">
        <v>70</v>
      </c>
      <c r="P577" s="17"/>
      <c r="Q577" s="17"/>
      <c r="R577" s="17"/>
      <c r="S577" s="17">
        <v>6.6964285714285698E-2</v>
      </c>
      <c r="T577" s="17">
        <v>8.8392857142857106E-2</v>
      </c>
      <c r="U577" s="19">
        <f t="shared" si="41"/>
        <v>1.3199999999999998</v>
      </c>
      <c r="V577" s="41">
        <f t="shared" si="40"/>
        <v>31.999999999999986</v>
      </c>
      <c r="W577" s="14"/>
      <c r="X577" s="17" t="s">
        <v>56</v>
      </c>
      <c r="Z577" s="14" t="s">
        <v>56</v>
      </c>
      <c r="AA577" s="14"/>
      <c r="AB577" s="17" t="s">
        <v>57</v>
      </c>
      <c r="AC577" s="17">
        <v>2003</v>
      </c>
      <c r="AD577" s="17">
        <v>9</v>
      </c>
      <c r="AE577" s="17"/>
      <c r="AF577" s="17"/>
      <c r="AG577" s="14">
        <v>2003</v>
      </c>
      <c r="AH577" s="14">
        <f t="shared" si="38"/>
        <v>0</v>
      </c>
      <c r="AI577" s="17">
        <f t="shared" si="39"/>
        <v>9</v>
      </c>
      <c r="AJ577" s="17"/>
      <c r="AK577" s="17" t="s">
        <v>56</v>
      </c>
      <c r="AL577" s="16" t="s">
        <v>81</v>
      </c>
      <c r="AM577" s="15">
        <v>2015</v>
      </c>
      <c r="AN577" s="12" t="s">
        <v>82</v>
      </c>
      <c r="AO577" s="15" t="s">
        <v>56</v>
      </c>
      <c r="AP577" s="15"/>
      <c r="AQ577" s="15" t="s">
        <v>56</v>
      </c>
      <c r="AR577" s="15" t="s">
        <v>58</v>
      </c>
      <c r="AS577" s="15" t="s">
        <v>83</v>
      </c>
      <c r="AT577" s="12"/>
      <c r="AU577" s="45" t="s">
        <v>2810</v>
      </c>
      <c r="AV577" s="15"/>
      <c r="AW577" s="12" t="str">
        <f>B577&amp;C577&amp;L577&amp;M577&amp;O577&amp;U577&amp;AL577&amp;AM577</f>
        <v>United StatesHarris Point State Marine ReserveSemicossyphus pulcherCalifornia Sheepheadbiomassden1.32Hamilton2015</v>
      </c>
    </row>
    <row r="578" spans="1:49" ht="14.25" customHeight="1" x14ac:dyDescent="0.35">
      <c r="A578" s="12">
        <v>577</v>
      </c>
      <c r="B578" s="12" t="s">
        <v>75</v>
      </c>
      <c r="C578" s="12" t="s">
        <v>2812</v>
      </c>
      <c r="D578" s="50" t="s">
        <v>77</v>
      </c>
      <c r="E578" s="12"/>
      <c r="F578" s="13" t="s">
        <v>50</v>
      </c>
      <c r="G578" s="13" t="s">
        <v>51</v>
      </c>
      <c r="H578" s="16" t="s">
        <v>78</v>
      </c>
      <c r="I578" s="13" t="s">
        <v>53</v>
      </c>
      <c r="K578" s="17">
        <v>76</v>
      </c>
      <c r="L578" s="17" t="s">
        <v>115</v>
      </c>
      <c r="M578" s="14" t="s">
        <v>79</v>
      </c>
      <c r="N578" s="14" t="s">
        <v>80</v>
      </c>
      <c r="O578" s="17" t="s">
        <v>70</v>
      </c>
      <c r="P578" s="14"/>
      <c r="Q578" s="14"/>
      <c r="R578" s="14"/>
      <c r="S578" s="14">
        <v>9.9107142857142796E-2</v>
      </c>
      <c r="T578" s="14">
        <v>0.26517857142857099</v>
      </c>
      <c r="U578" s="19">
        <f t="shared" si="41"/>
        <v>2.6756756756756728</v>
      </c>
      <c r="V578" s="41">
        <f t="shared" si="40"/>
        <v>167.56756756756727</v>
      </c>
      <c r="W578" s="14"/>
      <c r="X578" s="14" t="s">
        <v>58</v>
      </c>
      <c r="Y578" s="14">
        <v>25</v>
      </c>
      <c r="Z578" s="14" t="s">
        <v>58</v>
      </c>
      <c r="AA578" s="14"/>
      <c r="AB578" s="14" t="s">
        <v>57</v>
      </c>
      <c r="AC578" s="14">
        <v>2003</v>
      </c>
      <c r="AD578" s="14">
        <v>9</v>
      </c>
      <c r="AE578" s="14"/>
      <c r="AF578" s="14"/>
      <c r="AG578" s="14">
        <v>2003</v>
      </c>
      <c r="AH578" s="14">
        <f t="shared" ref="AH578:AH639" si="42">IF(OR(AG578="NA",AC578="NA"),"NA",IF(OR(AC578="",AG578=""), "", AC578-AG578))</f>
        <v>0</v>
      </c>
      <c r="AI578" s="17">
        <f t="shared" ref="AI578:AI639" si="43">IF(AH578="NA", "NA",IF(OR(AH578="",AND(AD578="",AE578="")), "",AH578+AD578+AE578/12))</f>
        <v>9</v>
      </c>
      <c r="AJ578" s="14"/>
      <c r="AK578" s="14" t="s">
        <v>56</v>
      </c>
      <c r="AL578" s="13" t="s">
        <v>81</v>
      </c>
      <c r="AM578" s="12">
        <v>2015</v>
      </c>
      <c r="AN578" s="12" t="s">
        <v>82</v>
      </c>
      <c r="AO578" s="12" t="s">
        <v>56</v>
      </c>
      <c r="AP578" s="12"/>
      <c r="AQ578" s="12" t="s">
        <v>56</v>
      </c>
      <c r="AR578" s="12" t="s">
        <v>58</v>
      </c>
      <c r="AS578" s="12" t="s">
        <v>83</v>
      </c>
      <c r="AT578" s="12"/>
      <c r="AU578" s="45" t="s">
        <v>2811</v>
      </c>
      <c r="AV578" s="15"/>
      <c r="AW578" s="12" t="str">
        <f>B578&amp;C578&amp;L578&amp;M578&amp;O578&amp;U578&amp;AL578&amp;AM578</f>
        <v>United StatesCarrington &amp; South Point Marine ReservesSemicossyphus pulcherCalifornia Sheepheadbiomassden2.67567567567567Hamilton2015</v>
      </c>
    </row>
    <row r="579" spans="1:49" ht="14.25" customHeight="1" x14ac:dyDescent="0.35">
      <c r="A579" s="12">
        <v>578</v>
      </c>
      <c r="B579" s="15" t="s">
        <v>75</v>
      </c>
      <c r="C579" s="12" t="s">
        <v>2717</v>
      </c>
      <c r="D579" s="50" t="s">
        <v>77</v>
      </c>
      <c r="E579" s="15"/>
      <c r="F579" s="13" t="s">
        <v>50</v>
      </c>
      <c r="G579" s="13" t="s">
        <v>51</v>
      </c>
      <c r="H579" s="16" t="s">
        <v>78</v>
      </c>
      <c r="I579" s="16" t="s">
        <v>53</v>
      </c>
      <c r="K579" s="17">
        <v>76</v>
      </c>
      <c r="L579" s="17" t="s">
        <v>115</v>
      </c>
      <c r="M579" s="17" t="s">
        <v>79</v>
      </c>
      <c r="N579" s="17" t="s">
        <v>80</v>
      </c>
      <c r="O579" s="17" t="s">
        <v>70</v>
      </c>
      <c r="P579" s="17"/>
      <c r="Q579" s="17"/>
      <c r="R579" s="17"/>
      <c r="S579" s="17">
        <v>6.6294642857142802E-2</v>
      </c>
      <c r="T579" s="17">
        <v>0.184821428571428</v>
      </c>
      <c r="U579" s="20">
        <f t="shared" si="41"/>
        <v>2.7878787878787814</v>
      </c>
      <c r="V579" s="41">
        <f t="shared" si="40"/>
        <v>178.78787878787813</v>
      </c>
      <c r="W579" s="17"/>
      <c r="X579" s="17" t="s">
        <v>58</v>
      </c>
      <c r="Y579" s="14">
        <v>25</v>
      </c>
      <c r="Z579" s="14" t="s">
        <v>58</v>
      </c>
      <c r="AA579" s="14"/>
      <c r="AB579" s="17" t="s">
        <v>57</v>
      </c>
      <c r="AC579" s="17">
        <v>2003</v>
      </c>
      <c r="AD579" s="17">
        <v>9</v>
      </c>
      <c r="AE579" s="17"/>
      <c r="AF579" s="17"/>
      <c r="AG579" s="14">
        <v>2003</v>
      </c>
      <c r="AH579" s="14">
        <f t="shared" si="42"/>
        <v>0</v>
      </c>
      <c r="AI579" s="17">
        <f t="shared" si="43"/>
        <v>9</v>
      </c>
      <c r="AJ579" s="17"/>
      <c r="AK579" s="17" t="s">
        <v>56</v>
      </c>
      <c r="AL579" s="16" t="s">
        <v>81</v>
      </c>
      <c r="AM579" s="15">
        <v>2015</v>
      </c>
      <c r="AN579" s="15" t="s">
        <v>82</v>
      </c>
      <c r="AO579" s="15" t="s">
        <v>56</v>
      </c>
      <c r="AP579" s="15"/>
      <c r="AQ579" s="15" t="s">
        <v>56</v>
      </c>
      <c r="AR579" s="15" t="s">
        <v>58</v>
      </c>
      <c r="AS579" s="15" t="s">
        <v>83</v>
      </c>
      <c r="AT579" s="15"/>
      <c r="AU579" s="45" t="s">
        <v>2811</v>
      </c>
      <c r="AV579" s="15"/>
      <c r="AW579" s="12" t="str">
        <f>B579&amp;C579&amp;L579&amp;M579&amp;O579&amp;U579&amp;AL579&amp;AM579</f>
        <v>United StatesScorpion &amp; Gull Island State Marine ReservesSemicossyphus pulcherCalifornia Sheepheadbiomassden2.78787878787878Hamilton2015</v>
      </c>
    </row>
    <row r="580" spans="1:49" ht="14.25" customHeight="1" x14ac:dyDescent="0.35">
      <c r="A580" s="12">
        <v>579</v>
      </c>
      <c r="B580" s="15" t="s">
        <v>75</v>
      </c>
      <c r="C580" s="50" t="s">
        <v>76</v>
      </c>
      <c r="D580" s="50" t="s">
        <v>77</v>
      </c>
      <c r="E580" s="15"/>
      <c r="F580" s="13" t="s">
        <v>50</v>
      </c>
      <c r="G580" s="13" t="s">
        <v>51</v>
      </c>
      <c r="H580" s="16" t="s">
        <v>78</v>
      </c>
      <c r="I580" s="16" t="s">
        <v>53</v>
      </c>
      <c r="K580" s="47">
        <v>30</v>
      </c>
      <c r="L580" s="17" t="s">
        <v>115</v>
      </c>
      <c r="M580" s="17" t="s">
        <v>79</v>
      </c>
      <c r="N580" s="17" t="s">
        <v>80</v>
      </c>
      <c r="O580" s="17" t="s">
        <v>70</v>
      </c>
      <c r="P580" s="17"/>
      <c r="Q580" s="17"/>
      <c r="R580" s="17"/>
      <c r="S580" s="17">
        <v>3.4821428571428503E-2</v>
      </c>
      <c r="T580" s="17">
        <v>0.111830357142857</v>
      </c>
      <c r="U580" s="20">
        <f t="shared" si="41"/>
        <v>3.2115384615384635</v>
      </c>
      <c r="V580" s="41">
        <f t="shared" ref="V580:V641" si="44">IFERROR(IF(U580 = "", "",(U580-1)*100),"N/A")</f>
        <v>221.15384615384636</v>
      </c>
      <c r="W580" s="17"/>
      <c r="X580" s="17" t="s">
        <v>56</v>
      </c>
      <c r="Z580" s="14" t="s">
        <v>56</v>
      </c>
      <c r="AA580" s="14"/>
      <c r="AB580" s="17" t="s">
        <v>57</v>
      </c>
      <c r="AC580" s="17">
        <v>2003</v>
      </c>
      <c r="AD580" s="17">
        <v>9</v>
      </c>
      <c r="AE580" s="17"/>
      <c r="AF580" s="17"/>
      <c r="AG580" s="14">
        <v>2003</v>
      </c>
      <c r="AH580" s="14">
        <f t="shared" si="42"/>
        <v>0</v>
      </c>
      <c r="AI580" s="17">
        <f t="shared" si="43"/>
        <v>9</v>
      </c>
      <c r="AJ580" s="17"/>
      <c r="AK580" s="17" t="s">
        <v>56</v>
      </c>
      <c r="AL580" s="16" t="s">
        <v>81</v>
      </c>
      <c r="AM580" s="15">
        <v>2015</v>
      </c>
      <c r="AN580" s="15" t="s">
        <v>82</v>
      </c>
      <c r="AO580" s="15" t="s">
        <v>56</v>
      </c>
      <c r="AP580" s="15"/>
      <c r="AQ580" s="15" t="s">
        <v>56</v>
      </c>
      <c r="AR580" s="15" t="s">
        <v>58</v>
      </c>
      <c r="AS580" s="15" t="s">
        <v>83</v>
      </c>
      <c r="AT580" s="15"/>
      <c r="AU580" s="45" t="s">
        <v>2811</v>
      </c>
      <c r="AV580" s="15"/>
      <c r="AW580" s="12" t="str">
        <f>B580&amp;C580&amp;L580&amp;M580&amp;O580&amp;U580&amp;AL580&amp;AM580</f>
        <v>United StatesAnacapa Island State Marine Reserve (new)Semicossyphus pulcherCalifornia Sheepheadbiomassden3.21153846153846Hamilton2015</v>
      </c>
    </row>
    <row r="581" spans="1:49" ht="14.25" customHeight="1" x14ac:dyDescent="0.35">
      <c r="A581" s="12">
        <v>580</v>
      </c>
      <c r="B581" s="15" t="s">
        <v>75</v>
      </c>
      <c r="C581" s="12" t="s">
        <v>2716</v>
      </c>
      <c r="D581" s="50" t="s">
        <v>77</v>
      </c>
      <c r="E581" s="15"/>
      <c r="F581" s="13" t="s">
        <v>50</v>
      </c>
      <c r="G581" s="13" t="s">
        <v>51</v>
      </c>
      <c r="H581" s="16" t="s">
        <v>78</v>
      </c>
      <c r="I581" s="16" t="s">
        <v>53</v>
      </c>
      <c r="K581" s="17">
        <v>33</v>
      </c>
      <c r="L581" s="17" t="s">
        <v>115</v>
      </c>
      <c r="M581" s="17" t="s">
        <v>79</v>
      </c>
      <c r="N581" s="17" t="s">
        <v>80</v>
      </c>
      <c r="O581" s="17" t="s">
        <v>70</v>
      </c>
      <c r="P581" s="17"/>
      <c r="Q581" s="17"/>
      <c r="R581" s="17"/>
      <c r="S581" s="17">
        <v>4.6205357142857097E-2</v>
      </c>
      <c r="T581" s="17">
        <v>5.6919642857142801E-2</v>
      </c>
      <c r="U581" s="20">
        <f t="shared" si="41"/>
        <v>1.2318840579710144</v>
      </c>
      <c r="V581" s="41">
        <f t="shared" si="44"/>
        <v>23.188405797101442</v>
      </c>
      <c r="W581" s="17"/>
      <c r="X581" s="17" t="s">
        <v>56</v>
      </c>
      <c r="Z581" s="14" t="s">
        <v>56</v>
      </c>
      <c r="AA581" s="14"/>
      <c r="AB581" s="17" t="s">
        <v>57</v>
      </c>
      <c r="AC581" s="17">
        <v>2003</v>
      </c>
      <c r="AD581" s="17">
        <v>9</v>
      </c>
      <c r="AE581" s="17"/>
      <c r="AF581" s="17"/>
      <c r="AG581" s="14">
        <v>2003</v>
      </c>
      <c r="AH581" s="14">
        <f t="shared" si="42"/>
        <v>0</v>
      </c>
      <c r="AI581" s="17">
        <f t="shared" si="43"/>
        <v>9</v>
      </c>
      <c r="AJ581" s="17"/>
      <c r="AK581" s="17" t="s">
        <v>56</v>
      </c>
      <c r="AL581" s="16" t="s">
        <v>81</v>
      </c>
      <c r="AM581" s="15">
        <v>2015</v>
      </c>
      <c r="AN581" s="15" t="s">
        <v>82</v>
      </c>
      <c r="AO581" s="15" t="s">
        <v>56</v>
      </c>
      <c r="AP581" s="15"/>
      <c r="AQ581" s="15" t="s">
        <v>56</v>
      </c>
      <c r="AR581" s="15" t="s">
        <v>58</v>
      </c>
      <c r="AS581" s="15" t="s">
        <v>83</v>
      </c>
      <c r="AT581" s="15"/>
      <c r="AU581" s="45" t="s">
        <v>2811</v>
      </c>
      <c r="AV581" s="15"/>
      <c r="AW581" s="12" t="str">
        <f>B581&amp;C581&amp;L581&amp;M581&amp;O581&amp;U581&amp;AL581&amp;AM581</f>
        <v>United StatesSanta Barbara State Marine ReserveSemicossyphus pulcherCalifornia Sheepheadbiomassden1.23188405797101Hamilton2015</v>
      </c>
    </row>
    <row r="582" spans="1:49" ht="14.25" customHeight="1" x14ac:dyDescent="0.35">
      <c r="A582" s="12">
        <v>581</v>
      </c>
      <c r="B582" s="15" t="s">
        <v>153</v>
      </c>
      <c r="C582" s="12" t="s">
        <v>154</v>
      </c>
      <c r="D582" s="12" t="s">
        <v>154</v>
      </c>
      <c r="E582" s="15" t="s">
        <v>155</v>
      </c>
      <c r="F582" s="13" t="s">
        <v>50</v>
      </c>
      <c r="G582" s="13" t="s">
        <v>51</v>
      </c>
      <c r="H582" s="16" t="s">
        <v>52</v>
      </c>
      <c r="I582" s="16" t="s">
        <v>156</v>
      </c>
      <c r="J582" s="14">
        <v>0.22500000000000001</v>
      </c>
      <c r="K582" s="17"/>
      <c r="L582" s="17" t="s">
        <v>180</v>
      </c>
      <c r="M582" s="17" t="s">
        <v>181</v>
      </c>
      <c r="N582" s="17" t="s">
        <v>170</v>
      </c>
      <c r="O582" s="17" t="s">
        <v>86</v>
      </c>
      <c r="P582" s="17"/>
      <c r="Q582" s="17"/>
      <c r="R582" s="17"/>
      <c r="S582" s="17">
        <v>1.0301</v>
      </c>
      <c r="T582" s="17">
        <v>1.8675999999999999</v>
      </c>
      <c r="U582" s="20">
        <f t="shared" si="41"/>
        <v>1.8130278613726822</v>
      </c>
      <c r="V582" s="41">
        <f t="shared" si="44"/>
        <v>81.302786137268228</v>
      </c>
      <c r="W582" s="17"/>
      <c r="X582" s="17" t="s">
        <v>56</v>
      </c>
      <c r="Z582" s="14" t="s">
        <v>56</v>
      </c>
      <c r="AA582" s="14"/>
      <c r="AB582" s="17" t="s">
        <v>182</v>
      </c>
      <c r="AC582" s="17">
        <v>1988</v>
      </c>
      <c r="AD582" s="17">
        <v>25</v>
      </c>
      <c r="AE582" s="17"/>
      <c r="AF582" s="17"/>
      <c r="AG582" s="14">
        <v>1982</v>
      </c>
      <c r="AH582" s="14">
        <f t="shared" si="42"/>
        <v>6</v>
      </c>
      <c r="AI582" s="17">
        <f t="shared" si="43"/>
        <v>31</v>
      </c>
      <c r="AJ582" s="17"/>
      <c r="AK582" s="17" t="s">
        <v>58</v>
      </c>
      <c r="AL582" s="16" t="s">
        <v>159</v>
      </c>
      <c r="AM582" s="15">
        <v>2015</v>
      </c>
      <c r="AN582" s="15" t="s">
        <v>183</v>
      </c>
      <c r="AO582" s="15" t="s">
        <v>56</v>
      </c>
      <c r="AP582" s="15"/>
      <c r="AQ582" s="15" t="s">
        <v>56</v>
      </c>
      <c r="AR582" s="15" t="s">
        <v>58</v>
      </c>
      <c r="AS582" s="15" t="s">
        <v>94</v>
      </c>
      <c r="AT582" s="15"/>
      <c r="AU582" s="45"/>
      <c r="AV582" s="15"/>
      <c r="AW582" s="12" t="str">
        <f>B582&amp;C582&amp;L582&amp;M582&amp;O582&amp;U582&amp;AL582&amp;AM582</f>
        <v>PhilippinesApo Island ReserveLethrinid and Lutjanidemperors and snappersdensity1.81302786137268Russ2015</v>
      </c>
    </row>
    <row r="583" spans="1:49" ht="14.25" customHeight="1" x14ac:dyDescent="0.35">
      <c r="A583" s="12">
        <v>582</v>
      </c>
      <c r="B583" s="12" t="s">
        <v>153</v>
      </c>
      <c r="C583" s="12" t="s">
        <v>154</v>
      </c>
      <c r="D583" s="12" t="s">
        <v>154</v>
      </c>
      <c r="E583" s="12" t="s">
        <v>155</v>
      </c>
      <c r="F583" s="13" t="s">
        <v>50</v>
      </c>
      <c r="G583" s="13" t="s">
        <v>51</v>
      </c>
      <c r="H583" s="13" t="s">
        <v>52</v>
      </c>
      <c r="I583" s="13" t="s">
        <v>156</v>
      </c>
      <c r="J583" s="14">
        <v>0.22500000000000001</v>
      </c>
      <c r="K583" s="17"/>
      <c r="L583" s="14" t="s">
        <v>269</v>
      </c>
      <c r="M583" s="14" t="s">
        <v>184</v>
      </c>
      <c r="N583" s="14" t="s">
        <v>170</v>
      </c>
      <c r="O583" s="17" t="s">
        <v>86</v>
      </c>
      <c r="P583" s="14"/>
      <c r="Q583" s="14">
        <v>4813.6000000000004</v>
      </c>
      <c r="R583" s="14">
        <v>5866.4</v>
      </c>
      <c r="S583" s="14">
        <v>5006.7</v>
      </c>
      <c r="T583" s="14">
        <v>993.31</v>
      </c>
      <c r="U583" s="19">
        <f t="shared" si="41"/>
        <v>0.16279143999679188</v>
      </c>
      <c r="V583" s="41">
        <f t="shared" si="44"/>
        <v>-83.720856000320808</v>
      </c>
      <c r="W583" s="14"/>
      <c r="X583" s="14" t="s">
        <v>56</v>
      </c>
      <c r="Z583" s="14" t="s">
        <v>56</v>
      </c>
      <c r="AA583" s="14"/>
      <c r="AB583" s="14" t="s">
        <v>111</v>
      </c>
      <c r="AC583" s="14">
        <v>1983</v>
      </c>
      <c r="AD583" s="14">
        <v>30</v>
      </c>
      <c r="AE583" s="14"/>
      <c r="AF583" s="14"/>
      <c r="AG583" s="14">
        <v>1982</v>
      </c>
      <c r="AH583" s="14">
        <f t="shared" si="42"/>
        <v>1</v>
      </c>
      <c r="AI583" s="17">
        <f t="shared" si="43"/>
        <v>31</v>
      </c>
      <c r="AJ583" s="14"/>
      <c r="AK583" s="14" t="s">
        <v>58</v>
      </c>
      <c r="AL583" s="13" t="s">
        <v>159</v>
      </c>
      <c r="AM583" s="12">
        <v>2015</v>
      </c>
      <c r="AN583" s="12" t="s">
        <v>183</v>
      </c>
      <c r="AO583" s="12" t="s">
        <v>56</v>
      </c>
      <c r="AP583" s="12"/>
      <c r="AQ583" s="12" t="s">
        <v>56</v>
      </c>
      <c r="AR583" s="12" t="s">
        <v>58</v>
      </c>
      <c r="AS583" s="12" t="s">
        <v>94</v>
      </c>
      <c r="AT583" s="12"/>
      <c r="AU583" s="45"/>
      <c r="AV583" s="15"/>
      <c r="AW583" s="12" t="str">
        <f>B583&amp;C583&amp;L583&amp;M583&amp;O583&amp;U583&amp;AL583&amp;AM583</f>
        <v>PhilippinesApo Island ReservePomacentridaedamselfishes and clownfishes, non-harvesteddensity0.162791439996792Russ2015</v>
      </c>
    </row>
    <row r="584" spans="1:49" ht="14.25" customHeight="1" x14ac:dyDescent="0.35">
      <c r="A584" s="12">
        <v>583</v>
      </c>
      <c r="B584" s="15" t="s">
        <v>153</v>
      </c>
      <c r="C584" s="15" t="s">
        <v>154</v>
      </c>
      <c r="D584" s="15" t="s">
        <v>154</v>
      </c>
      <c r="E584" s="15" t="s">
        <v>155</v>
      </c>
      <c r="F584" s="16" t="s">
        <v>50</v>
      </c>
      <c r="G584" s="16" t="s">
        <v>51</v>
      </c>
      <c r="H584" s="16" t="s">
        <v>52</v>
      </c>
      <c r="I584" s="16" t="s">
        <v>156</v>
      </c>
      <c r="J584" s="14">
        <v>0.22500000000000001</v>
      </c>
      <c r="K584" s="17"/>
      <c r="L584" s="17" t="s">
        <v>185</v>
      </c>
      <c r="M584" s="17" t="s">
        <v>186</v>
      </c>
      <c r="N584" s="17" t="s">
        <v>446</v>
      </c>
      <c r="O584" s="17" t="s">
        <v>101</v>
      </c>
      <c r="P584" s="17"/>
      <c r="Q584" s="17">
        <v>10.724</v>
      </c>
      <c r="R584" s="17">
        <v>39.594000000000001</v>
      </c>
      <c r="S584" s="17">
        <v>59.723999999999997</v>
      </c>
      <c r="T584" s="17">
        <v>3.0261999999999998</v>
      </c>
      <c r="U584" s="20">
        <f t="shared" si="41"/>
        <v>1.3723856449099948E-2</v>
      </c>
      <c r="V584" s="41">
        <f t="shared" si="44"/>
        <v>-98.627614355090003</v>
      </c>
      <c r="W584" s="17"/>
      <c r="X584" s="17" t="s">
        <v>56</v>
      </c>
      <c r="Z584" s="17" t="s">
        <v>56</v>
      </c>
      <c r="AA584" s="17"/>
      <c r="AB584" s="17" t="s">
        <v>111</v>
      </c>
      <c r="AC584" s="17">
        <v>1983</v>
      </c>
      <c r="AD584" s="17">
        <v>30</v>
      </c>
      <c r="AE584" s="17"/>
      <c r="AF584" s="17"/>
      <c r="AG584" s="17">
        <v>1982</v>
      </c>
      <c r="AH584" s="14">
        <f t="shared" si="42"/>
        <v>1</v>
      </c>
      <c r="AI584" s="17">
        <f t="shared" si="43"/>
        <v>31</v>
      </c>
      <c r="AJ584" s="17"/>
      <c r="AK584" s="17" t="s">
        <v>58</v>
      </c>
      <c r="AL584" s="16" t="s">
        <v>159</v>
      </c>
      <c r="AM584" s="15">
        <v>2015</v>
      </c>
      <c r="AN584" s="12" t="s">
        <v>183</v>
      </c>
      <c r="AO584" s="15" t="s">
        <v>56</v>
      </c>
      <c r="AP584" s="15"/>
      <c r="AQ584" s="15" t="s">
        <v>56</v>
      </c>
      <c r="AR584" s="15" t="s">
        <v>58</v>
      </c>
      <c r="AS584" s="15" t="s">
        <v>94</v>
      </c>
      <c r="AT584" s="15"/>
      <c r="AU584" s="45"/>
      <c r="AV584" s="15"/>
      <c r="AW584" s="12" t="str">
        <f>B584&amp;C584&amp;L584&amp;M584&amp;O584&amp;U584&amp;AL584&amp;AM584</f>
        <v>PhilippinesApo Island ReserveScleractiniahard coralcover0.0137238564490999Russ2015</v>
      </c>
    </row>
    <row r="585" spans="1:49" ht="14.25" customHeight="1" x14ac:dyDescent="0.35">
      <c r="A585" s="12">
        <v>584</v>
      </c>
      <c r="B585" s="15" t="s">
        <v>153</v>
      </c>
      <c r="C585" s="15" t="s">
        <v>2666</v>
      </c>
      <c r="D585" s="15" t="s">
        <v>2666</v>
      </c>
      <c r="E585" s="15" t="s">
        <v>155</v>
      </c>
      <c r="F585" s="16" t="s">
        <v>50</v>
      </c>
      <c r="G585" s="16" t="s">
        <v>51</v>
      </c>
      <c r="H585" s="16" t="s">
        <v>52</v>
      </c>
      <c r="I585" s="16" t="s">
        <v>156</v>
      </c>
      <c r="K585" s="17">
        <v>9</v>
      </c>
      <c r="L585" s="17" t="s">
        <v>180</v>
      </c>
      <c r="M585" s="17" t="s">
        <v>181</v>
      </c>
      <c r="N585" s="17" t="s">
        <v>170</v>
      </c>
      <c r="O585" s="17" t="s">
        <v>86</v>
      </c>
      <c r="P585" s="17"/>
      <c r="Q585" s="17">
        <v>1.0805</v>
      </c>
      <c r="R585" s="17">
        <v>4.3377999999999997</v>
      </c>
      <c r="S585" s="17">
        <v>1.4226000000000001</v>
      </c>
      <c r="T585" s="17">
        <v>11.911</v>
      </c>
      <c r="U585" s="20">
        <f t="shared" si="41"/>
        <v>2.085550291907202</v>
      </c>
      <c r="V585" s="41">
        <f t="shared" si="44"/>
        <v>108.55502919072021</v>
      </c>
      <c r="W585" s="17"/>
      <c r="X585" s="17" t="s">
        <v>56</v>
      </c>
      <c r="Y585" s="12"/>
      <c r="Z585" s="17" t="s">
        <v>56</v>
      </c>
      <c r="AA585" s="17"/>
      <c r="AB585" s="17" t="s">
        <v>111</v>
      </c>
      <c r="AC585" s="17">
        <v>1999</v>
      </c>
      <c r="AD585" s="17">
        <v>9</v>
      </c>
      <c r="AE585" s="17"/>
      <c r="AF585" s="17"/>
      <c r="AG585" s="17">
        <v>2000</v>
      </c>
      <c r="AH585" s="14">
        <f t="shared" si="42"/>
        <v>-1</v>
      </c>
      <c r="AI585" s="17">
        <f t="shared" si="43"/>
        <v>8</v>
      </c>
      <c r="AJ585" s="17"/>
      <c r="AK585" s="17" t="s">
        <v>58</v>
      </c>
      <c r="AL585" s="16" t="s">
        <v>159</v>
      </c>
      <c r="AM585" s="15">
        <v>2015</v>
      </c>
      <c r="AN585" s="12" t="s">
        <v>183</v>
      </c>
      <c r="AO585" s="15" t="s">
        <v>56</v>
      </c>
      <c r="AP585" s="15"/>
      <c r="AQ585" s="15" t="s">
        <v>56</v>
      </c>
      <c r="AR585" s="15" t="s">
        <v>58</v>
      </c>
      <c r="AS585" s="15" t="s">
        <v>94</v>
      </c>
      <c r="AT585" s="15"/>
      <c r="AU585" s="45"/>
      <c r="AV585" s="15"/>
      <c r="AW585" s="12" t="str">
        <f>B585&amp;C585&amp;L585&amp;M585&amp;O585&amp;U585&amp;AL585&amp;AM585</f>
        <v>PhilippinesSelinog Island ReserveLethrinid and Lutjanidemperors and snappersdensity2.0855502919072Russ2015</v>
      </c>
    </row>
    <row r="586" spans="1:49" ht="14.25" customHeight="1" x14ac:dyDescent="0.35">
      <c r="A586" s="12">
        <v>585</v>
      </c>
      <c r="B586" s="15" t="s">
        <v>153</v>
      </c>
      <c r="C586" s="15" t="s">
        <v>2666</v>
      </c>
      <c r="D586" s="15" t="s">
        <v>2666</v>
      </c>
      <c r="E586" s="15" t="s">
        <v>155</v>
      </c>
      <c r="F586" s="16" t="s">
        <v>50</v>
      </c>
      <c r="G586" s="16" t="s">
        <v>51</v>
      </c>
      <c r="H586" s="16" t="s">
        <v>52</v>
      </c>
      <c r="I586" s="16" t="s">
        <v>156</v>
      </c>
      <c r="K586" s="17">
        <v>9</v>
      </c>
      <c r="L586" s="17" t="s">
        <v>269</v>
      </c>
      <c r="M586" s="17" t="s">
        <v>184</v>
      </c>
      <c r="N586" s="14" t="s">
        <v>170</v>
      </c>
      <c r="O586" s="17" t="s">
        <v>86</v>
      </c>
      <c r="P586" s="17"/>
      <c r="Q586" s="17">
        <v>3217.4</v>
      </c>
      <c r="R586" s="17">
        <v>3634.8</v>
      </c>
      <c r="S586" s="17">
        <v>6347.8</v>
      </c>
      <c r="T586" s="17">
        <v>6000</v>
      </c>
      <c r="U586" s="20">
        <f t="shared" si="41"/>
        <v>0.83666683375385809</v>
      </c>
      <c r="V586" s="41">
        <f t="shared" si="44"/>
        <v>-16.333316624614191</v>
      </c>
      <c r="W586" s="17"/>
      <c r="X586" s="17" t="s">
        <v>56</v>
      </c>
      <c r="Z586" s="17" t="s">
        <v>56</v>
      </c>
      <c r="AA586" s="17"/>
      <c r="AB586" s="17" t="s">
        <v>111</v>
      </c>
      <c r="AC586" s="17">
        <v>1999</v>
      </c>
      <c r="AD586" s="17">
        <v>10</v>
      </c>
      <c r="AE586" s="17"/>
      <c r="AF586" s="17"/>
      <c r="AG586" s="17">
        <v>2000</v>
      </c>
      <c r="AH586" s="14">
        <f t="shared" si="42"/>
        <v>-1</v>
      </c>
      <c r="AI586" s="17">
        <f t="shared" si="43"/>
        <v>9</v>
      </c>
      <c r="AJ586" s="17"/>
      <c r="AK586" s="17" t="s">
        <v>58</v>
      </c>
      <c r="AL586" s="16" t="s">
        <v>159</v>
      </c>
      <c r="AM586" s="15">
        <v>2015</v>
      </c>
      <c r="AN586" s="15" t="s">
        <v>183</v>
      </c>
      <c r="AO586" s="15" t="s">
        <v>56</v>
      </c>
      <c r="AP586" s="15"/>
      <c r="AQ586" s="15" t="s">
        <v>56</v>
      </c>
      <c r="AR586" s="15" t="s">
        <v>58</v>
      </c>
      <c r="AS586" s="15" t="s">
        <v>94</v>
      </c>
      <c r="AT586" s="15"/>
      <c r="AU586" s="45"/>
      <c r="AV586" s="15"/>
      <c r="AW586" s="12" t="str">
        <f>B586&amp;C586&amp;L586&amp;M586&amp;O586&amp;U586&amp;AL586&amp;AM586</f>
        <v>PhilippinesSelinog Island ReservePomacentridaedamselfishes and clownfishes, non-harvesteddensity0.836666833753858Russ2015</v>
      </c>
    </row>
    <row r="587" spans="1:49" ht="14.25" customHeight="1" x14ac:dyDescent="0.35">
      <c r="A587" s="12">
        <v>586</v>
      </c>
      <c r="B587" s="12" t="s">
        <v>153</v>
      </c>
      <c r="C587" s="12" t="s">
        <v>2666</v>
      </c>
      <c r="D587" s="12" t="s">
        <v>2666</v>
      </c>
      <c r="E587" s="12" t="s">
        <v>155</v>
      </c>
      <c r="F587" s="13" t="s">
        <v>50</v>
      </c>
      <c r="G587" s="13" t="s">
        <v>51</v>
      </c>
      <c r="H587" s="13" t="s">
        <v>52</v>
      </c>
      <c r="I587" s="13" t="s">
        <v>156</v>
      </c>
      <c r="K587" s="17">
        <v>9</v>
      </c>
      <c r="L587" s="14" t="s">
        <v>185</v>
      </c>
      <c r="M587" s="14" t="s">
        <v>186</v>
      </c>
      <c r="N587" s="14" t="s">
        <v>446</v>
      </c>
      <c r="O587" s="17" t="s">
        <v>101</v>
      </c>
      <c r="P587" s="14"/>
      <c r="Q587" s="14">
        <v>10.795999999999999</v>
      </c>
      <c r="R587" s="14">
        <v>10.141</v>
      </c>
      <c r="S587" s="14">
        <v>17.702000000000002</v>
      </c>
      <c r="T587" s="14">
        <v>22.669</v>
      </c>
      <c r="U587" s="19">
        <f t="shared" si="41"/>
        <v>1.3633021487746977</v>
      </c>
      <c r="V587" s="41">
        <f t="shared" si="44"/>
        <v>36.330214877469771</v>
      </c>
      <c r="W587" s="14"/>
      <c r="X587" s="14" t="s">
        <v>56</v>
      </c>
      <c r="Z587" s="14" t="s">
        <v>56</v>
      </c>
      <c r="AA587" s="14"/>
      <c r="AB587" s="14" t="s">
        <v>111</v>
      </c>
      <c r="AC587" s="14">
        <v>1999</v>
      </c>
      <c r="AD587" s="14">
        <v>10</v>
      </c>
      <c r="AE587" s="14"/>
      <c r="AF587" s="14"/>
      <c r="AG587" s="14">
        <v>2000</v>
      </c>
      <c r="AH587" s="14">
        <f t="shared" si="42"/>
        <v>-1</v>
      </c>
      <c r="AI587" s="17">
        <f t="shared" si="43"/>
        <v>9</v>
      </c>
      <c r="AJ587" s="14"/>
      <c r="AK587" s="14" t="s">
        <v>58</v>
      </c>
      <c r="AL587" s="13" t="s">
        <v>159</v>
      </c>
      <c r="AM587" s="12">
        <v>2015</v>
      </c>
      <c r="AN587" s="12" t="s">
        <v>183</v>
      </c>
      <c r="AO587" s="12" t="s">
        <v>56</v>
      </c>
      <c r="AP587" s="12"/>
      <c r="AQ587" s="12" t="s">
        <v>56</v>
      </c>
      <c r="AR587" s="12" t="s">
        <v>58</v>
      </c>
      <c r="AS587" s="12" t="s">
        <v>94</v>
      </c>
      <c r="AT587" s="12"/>
      <c r="AU587" s="45"/>
      <c r="AV587" s="15"/>
      <c r="AW587" s="12" t="str">
        <f>B587&amp;C587&amp;L587&amp;M587&amp;O587&amp;U587&amp;AL587&amp;AM587</f>
        <v>PhilippinesSelinog Island ReserveScleractiniahard coralcover1.3633021487747Russ2015</v>
      </c>
    </row>
    <row r="588" spans="1:49" ht="14.25" customHeight="1" x14ac:dyDescent="0.35">
      <c r="A588" s="12">
        <v>587</v>
      </c>
      <c r="B588" s="15" t="s">
        <v>153</v>
      </c>
      <c r="C588" s="15" t="s">
        <v>2665</v>
      </c>
      <c r="D588" s="15" t="s">
        <v>2665</v>
      </c>
      <c r="E588" s="12" t="s">
        <v>155</v>
      </c>
      <c r="F588" s="13" t="s">
        <v>50</v>
      </c>
      <c r="G588" s="13" t="s">
        <v>51</v>
      </c>
      <c r="H588" s="16" t="s">
        <v>52</v>
      </c>
      <c r="I588" s="16" t="s">
        <v>156</v>
      </c>
      <c r="K588" s="17">
        <v>0.01</v>
      </c>
      <c r="L588" s="17" t="s">
        <v>180</v>
      </c>
      <c r="M588" s="17" t="s">
        <v>181</v>
      </c>
      <c r="N588" s="17" t="s">
        <v>170</v>
      </c>
      <c r="O588" s="17" t="s">
        <v>86</v>
      </c>
      <c r="P588" s="17"/>
      <c r="Q588" s="17">
        <v>0.37791000000000002</v>
      </c>
      <c r="R588" s="17">
        <v>1.6859999999999999</v>
      </c>
      <c r="S588" s="17">
        <v>2.9069999999999999E-2</v>
      </c>
      <c r="T588" s="17">
        <v>11.977</v>
      </c>
      <c r="U588" s="19">
        <f t="shared" si="41"/>
        <v>92.349347568208785</v>
      </c>
      <c r="V588" s="41">
        <f t="shared" si="44"/>
        <v>9134.9347568208777</v>
      </c>
      <c r="W588" s="14"/>
      <c r="X588" s="17" t="s">
        <v>56</v>
      </c>
      <c r="Z588" s="17" t="s">
        <v>56</v>
      </c>
      <c r="AA588" s="17"/>
      <c r="AB588" s="17" t="s">
        <v>111</v>
      </c>
      <c r="AC588" s="17">
        <v>1999</v>
      </c>
      <c r="AD588" s="17">
        <v>8</v>
      </c>
      <c r="AE588" s="17"/>
      <c r="AF588" s="17"/>
      <c r="AG588" s="17">
        <v>2000</v>
      </c>
      <c r="AH588" s="14">
        <f t="shared" si="42"/>
        <v>-1</v>
      </c>
      <c r="AI588" s="17">
        <f t="shared" si="43"/>
        <v>7</v>
      </c>
      <c r="AJ588" s="17"/>
      <c r="AK588" s="17" t="s">
        <v>58</v>
      </c>
      <c r="AL588" s="16" t="s">
        <v>159</v>
      </c>
      <c r="AM588" s="15">
        <v>2015</v>
      </c>
      <c r="AN588" s="12" t="s">
        <v>183</v>
      </c>
      <c r="AO588" s="15" t="s">
        <v>56</v>
      </c>
      <c r="AP588" s="15"/>
      <c r="AQ588" s="15" t="s">
        <v>56</v>
      </c>
      <c r="AR588" s="15" t="s">
        <v>58</v>
      </c>
      <c r="AS588" s="15" t="s">
        <v>94</v>
      </c>
      <c r="AT588" s="12"/>
      <c r="AU588" s="45"/>
      <c r="AV588" s="15"/>
      <c r="AW588" s="12" t="str">
        <f>B588&amp;C588&amp;L588&amp;M588&amp;O588&amp;U588&amp;AL588&amp;AM588</f>
        <v>PhilippinesMantigue Island ReserveLethrinid and Lutjanidemperors and snappersdensity92.3493475682088Russ2015</v>
      </c>
    </row>
    <row r="589" spans="1:49" ht="14.25" customHeight="1" x14ac:dyDescent="0.35">
      <c r="A589" s="12">
        <v>588</v>
      </c>
      <c r="B589" s="15" t="s">
        <v>153</v>
      </c>
      <c r="C589" s="15" t="s">
        <v>2665</v>
      </c>
      <c r="D589" s="15" t="s">
        <v>2665</v>
      </c>
      <c r="E589" s="12" t="s">
        <v>155</v>
      </c>
      <c r="F589" s="13" t="s">
        <v>50</v>
      </c>
      <c r="G589" s="13" t="s">
        <v>51</v>
      </c>
      <c r="H589" s="16" t="s">
        <v>52</v>
      </c>
      <c r="I589" s="16" t="s">
        <v>156</v>
      </c>
      <c r="K589" s="17">
        <v>0.01</v>
      </c>
      <c r="L589" s="17" t="s">
        <v>269</v>
      </c>
      <c r="M589" s="17" t="s">
        <v>184</v>
      </c>
      <c r="N589" s="14" t="s">
        <v>170</v>
      </c>
      <c r="O589" s="17" t="s">
        <v>86</v>
      </c>
      <c r="P589" s="17"/>
      <c r="Q589" s="17">
        <v>4956.5</v>
      </c>
      <c r="R589" s="17">
        <v>4173.8999999999996</v>
      </c>
      <c r="S589" s="17">
        <v>4217.3999999999996</v>
      </c>
      <c r="T589" s="17">
        <v>7782.6</v>
      </c>
      <c r="U589" s="19">
        <f t="shared" si="41"/>
        <v>2.1913562494263696</v>
      </c>
      <c r="V589" s="41">
        <f t="shared" si="44"/>
        <v>119.13562494263697</v>
      </c>
      <c r="W589" s="14"/>
      <c r="X589" s="17" t="s">
        <v>56</v>
      </c>
      <c r="Z589" s="17" t="s">
        <v>56</v>
      </c>
      <c r="AA589" s="17"/>
      <c r="AB589" s="17" t="s">
        <v>111</v>
      </c>
      <c r="AC589" s="17">
        <v>1999</v>
      </c>
      <c r="AD589" s="17">
        <v>8</v>
      </c>
      <c r="AE589" s="17"/>
      <c r="AF589" s="17"/>
      <c r="AG589" s="17">
        <v>2000</v>
      </c>
      <c r="AH589" s="14">
        <f t="shared" si="42"/>
        <v>-1</v>
      </c>
      <c r="AI589" s="17">
        <f t="shared" si="43"/>
        <v>7</v>
      </c>
      <c r="AJ589" s="17"/>
      <c r="AK589" s="17" t="s">
        <v>58</v>
      </c>
      <c r="AL589" s="16" t="s">
        <v>159</v>
      </c>
      <c r="AM589" s="15">
        <v>2015</v>
      </c>
      <c r="AN589" s="15" t="s">
        <v>183</v>
      </c>
      <c r="AO589" s="15" t="s">
        <v>56</v>
      </c>
      <c r="AP589" s="15"/>
      <c r="AQ589" s="15" t="s">
        <v>56</v>
      </c>
      <c r="AR589" s="15" t="s">
        <v>58</v>
      </c>
      <c r="AS589" s="15" t="s">
        <v>94</v>
      </c>
      <c r="AT589" s="12"/>
      <c r="AU589" s="45"/>
      <c r="AV589" s="15"/>
      <c r="AW589" s="12" t="str">
        <f>B589&amp;C589&amp;L589&amp;M589&amp;O589&amp;U589&amp;AL589&amp;AM589</f>
        <v>PhilippinesMantigue Island ReservePomacentridaedamselfishes and clownfishes, non-harvesteddensity2.19135624942637Russ2015</v>
      </c>
    </row>
    <row r="590" spans="1:49" ht="14.25" customHeight="1" x14ac:dyDescent="0.35">
      <c r="A590" s="12">
        <v>589</v>
      </c>
      <c r="B590" s="15" t="s">
        <v>153</v>
      </c>
      <c r="C590" s="15" t="s">
        <v>2665</v>
      </c>
      <c r="D590" s="12" t="s">
        <v>2665</v>
      </c>
      <c r="E590" s="12" t="s">
        <v>155</v>
      </c>
      <c r="F590" s="13" t="s">
        <v>50</v>
      </c>
      <c r="G590" s="13" t="s">
        <v>51</v>
      </c>
      <c r="H590" s="16" t="s">
        <v>52</v>
      </c>
      <c r="I590" s="16" t="s">
        <v>156</v>
      </c>
      <c r="K590" s="17">
        <v>0.01</v>
      </c>
      <c r="L590" s="17" t="s">
        <v>185</v>
      </c>
      <c r="M590" s="17" t="s">
        <v>186</v>
      </c>
      <c r="N590" s="17" t="s">
        <v>446</v>
      </c>
      <c r="O590" s="17" t="s">
        <v>101</v>
      </c>
      <c r="P590" s="17"/>
      <c r="Q590" s="17">
        <v>28.469000000000001</v>
      </c>
      <c r="R590" s="17">
        <v>27.427</v>
      </c>
      <c r="S590" s="17">
        <v>10.289</v>
      </c>
      <c r="T590" s="17">
        <v>37.067999999999998</v>
      </c>
      <c r="U590" s="19">
        <f t="shared" si="41"/>
        <v>3.7395547242322578</v>
      </c>
      <c r="V590" s="41">
        <f t="shared" si="44"/>
        <v>273.95547242322579</v>
      </c>
      <c r="W590" s="14"/>
      <c r="X590" s="17" t="s">
        <v>56</v>
      </c>
      <c r="Z590" s="17" t="s">
        <v>56</v>
      </c>
      <c r="AA590" s="17"/>
      <c r="AB590" s="17" t="s">
        <v>111</v>
      </c>
      <c r="AC590" s="17">
        <v>1999</v>
      </c>
      <c r="AD590" s="17">
        <v>8</v>
      </c>
      <c r="AE590" s="17"/>
      <c r="AF590" s="17"/>
      <c r="AG590" s="17">
        <v>2000</v>
      </c>
      <c r="AH590" s="14">
        <f t="shared" si="42"/>
        <v>-1</v>
      </c>
      <c r="AI590" s="17">
        <f t="shared" si="43"/>
        <v>7</v>
      </c>
      <c r="AJ590" s="17"/>
      <c r="AK590" s="17" t="s">
        <v>58</v>
      </c>
      <c r="AL590" s="16" t="s">
        <v>159</v>
      </c>
      <c r="AM590" s="15">
        <v>2015</v>
      </c>
      <c r="AN590" s="15" t="s">
        <v>183</v>
      </c>
      <c r="AO590" s="15" t="s">
        <v>56</v>
      </c>
      <c r="AP590" s="15"/>
      <c r="AQ590" s="15" t="s">
        <v>56</v>
      </c>
      <c r="AR590" s="15" t="s">
        <v>58</v>
      </c>
      <c r="AS590" s="15" t="s">
        <v>94</v>
      </c>
      <c r="AT590" s="12"/>
      <c r="AU590" s="45"/>
      <c r="AV590" s="15"/>
      <c r="AW590" s="12" t="str">
        <f>B590&amp;C590&amp;L590&amp;M590&amp;O590&amp;U590&amp;AL590&amp;AM590</f>
        <v>PhilippinesMantigue Island ReserveScleractiniahard coralcover3.73955472423226Russ2015</v>
      </c>
    </row>
    <row r="591" spans="1:49" ht="14.25" customHeight="1" x14ac:dyDescent="0.35">
      <c r="A591" s="12">
        <v>590</v>
      </c>
      <c r="B591" s="15" t="s">
        <v>75</v>
      </c>
      <c r="C591" s="59" t="s">
        <v>593</v>
      </c>
      <c r="D591" s="50" t="s">
        <v>77</v>
      </c>
      <c r="E591" s="15" t="s">
        <v>136</v>
      </c>
      <c r="F591" s="13" t="s">
        <v>50</v>
      </c>
      <c r="G591" s="13" t="s">
        <v>51</v>
      </c>
      <c r="H591" s="16" t="s">
        <v>78</v>
      </c>
      <c r="I591" s="16" t="s">
        <v>53</v>
      </c>
      <c r="K591" s="17">
        <v>372</v>
      </c>
      <c r="L591" s="17" t="s">
        <v>109</v>
      </c>
      <c r="M591" s="17" t="s">
        <v>594</v>
      </c>
      <c r="N591" s="17" t="s">
        <v>80</v>
      </c>
      <c r="O591" s="17" t="s">
        <v>104</v>
      </c>
      <c r="P591" s="17" t="s">
        <v>595</v>
      </c>
      <c r="Q591" s="17"/>
      <c r="R591" s="17"/>
      <c r="S591" s="17">
        <v>93.34</v>
      </c>
      <c r="T591" s="17">
        <v>100.57</v>
      </c>
      <c r="U591" s="20">
        <f t="shared" si="41"/>
        <v>1.0774587529462181</v>
      </c>
      <c r="V591" s="41">
        <f t="shared" si="44"/>
        <v>7.7458752946218068</v>
      </c>
      <c r="W591" s="17"/>
      <c r="X591" s="17" t="s">
        <v>58</v>
      </c>
      <c r="Y591" s="14">
        <v>35</v>
      </c>
      <c r="Z591" s="17" t="s">
        <v>56</v>
      </c>
      <c r="AA591" s="17"/>
      <c r="AB591" s="17" t="s">
        <v>57</v>
      </c>
      <c r="AC591" s="17">
        <v>2006</v>
      </c>
      <c r="AD591" s="17">
        <v>3</v>
      </c>
      <c r="AE591" s="17"/>
      <c r="AF591" s="17"/>
      <c r="AG591" s="17">
        <v>2003</v>
      </c>
      <c r="AH591" s="14">
        <f t="shared" si="42"/>
        <v>3</v>
      </c>
      <c r="AI591" s="17">
        <f t="shared" si="43"/>
        <v>6</v>
      </c>
      <c r="AJ591" s="17"/>
      <c r="AK591" s="17" t="s">
        <v>56</v>
      </c>
      <c r="AL591" s="16" t="s">
        <v>596</v>
      </c>
      <c r="AM591" s="15">
        <v>2012</v>
      </c>
      <c r="AN591" s="15" t="s">
        <v>183</v>
      </c>
      <c r="AO591" s="15" t="s">
        <v>56</v>
      </c>
      <c r="AP591" s="15"/>
      <c r="AQ591" s="15" t="s">
        <v>56</v>
      </c>
      <c r="AR591" s="15" t="s">
        <v>58</v>
      </c>
      <c r="AS591" s="15" t="s">
        <v>83</v>
      </c>
      <c r="AT591" s="15"/>
      <c r="AU591" s="45" t="s">
        <v>597</v>
      </c>
      <c r="AV591" s="15"/>
      <c r="AW591" s="12" t="str">
        <f>B591&amp;C591&amp;L591&amp;M591&amp;O591&amp;U591&amp;AL591&amp;AM591</f>
        <v>United StatesChannel Islands marine reserve networkPanulirus interruptusCalifornia Spiny Lobstersize1.07745875294622Kay2012</v>
      </c>
    </row>
    <row r="592" spans="1:49" ht="14.25" customHeight="1" x14ac:dyDescent="0.35">
      <c r="A592" s="12">
        <v>591</v>
      </c>
      <c r="B592" s="15" t="s">
        <v>75</v>
      </c>
      <c r="C592" s="59" t="s">
        <v>593</v>
      </c>
      <c r="D592" s="59" t="s">
        <v>77</v>
      </c>
      <c r="E592" s="12" t="s">
        <v>136</v>
      </c>
      <c r="F592" s="13" t="s">
        <v>50</v>
      </c>
      <c r="G592" s="13" t="s">
        <v>51</v>
      </c>
      <c r="H592" s="16" t="s">
        <v>78</v>
      </c>
      <c r="I592" s="16" t="s">
        <v>53</v>
      </c>
      <c r="K592" s="17">
        <v>372</v>
      </c>
      <c r="L592" s="17" t="s">
        <v>109</v>
      </c>
      <c r="M592" s="17" t="s">
        <v>594</v>
      </c>
      <c r="N592" s="17" t="s">
        <v>80</v>
      </c>
      <c r="O592" s="17" t="s">
        <v>598</v>
      </c>
      <c r="P592" s="17"/>
      <c r="Q592" s="17"/>
      <c r="R592" s="17"/>
      <c r="S592" s="17">
        <v>4.8849999999999996E-3</v>
      </c>
      <c r="T592" s="17">
        <v>2.3269999999999999E-2</v>
      </c>
      <c r="U592" s="19">
        <f t="shared" si="41"/>
        <v>4.7635619242579326</v>
      </c>
      <c r="V592" s="41">
        <f t="shared" si="44"/>
        <v>376.35619242579327</v>
      </c>
      <c r="W592" s="14"/>
      <c r="X592" s="17" t="s">
        <v>58</v>
      </c>
      <c r="Y592" s="14">
        <v>35</v>
      </c>
      <c r="Z592" s="17" t="s">
        <v>56</v>
      </c>
      <c r="AA592" s="17"/>
      <c r="AB592" s="17" t="s">
        <v>57</v>
      </c>
      <c r="AC592" s="17">
        <v>2006</v>
      </c>
      <c r="AD592" s="17">
        <v>3</v>
      </c>
      <c r="AE592" s="17"/>
      <c r="AF592" s="17"/>
      <c r="AG592" s="17">
        <v>2003</v>
      </c>
      <c r="AH592" s="14">
        <f t="shared" si="42"/>
        <v>3</v>
      </c>
      <c r="AI592" s="17">
        <f t="shared" si="43"/>
        <v>6</v>
      </c>
      <c r="AJ592" s="17"/>
      <c r="AK592" s="17" t="s">
        <v>56</v>
      </c>
      <c r="AL592" s="16" t="s">
        <v>596</v>
      </c>
      <c r="AM592" s="15">
        <v>2012</v>
      </c>
      <c r="AN592" s="12" t="s">
        <v>183</v>
      </c>
      <c r="AO592" s="15" t="s">
        <v>56</v>
      </c>
      <c r="AP592" s="15"/>
      <c r="AQ592" s="15" t="s">
        <v>56</v>
      </c>
      <c r="AR592" s="15" t="s">
        <v>58</v>
      </c>
      <c r="AS592" s="15" t="s">
        <v>83</v>
      </c>
      <c r="AT592" s="12"/>
      <c r="AU592" s="45" t="s">
        <v>597</v>
      </c>
      <c r="AV592" s="15"/>
      <c r="AW592" s="12" t="str">
        <f>B592&amp;C592&amp;L592&amp;M592&amp;O592&amp;U592&amp;AL592&amp;AM592</f>
        <v>United StatesChannel Islands marine reserve networkPanulirus interruptusCalifornia Spiny Lobsterdensity 4.76356192425793Kay2012</v>
      </c>
    </row>
    <row r="593" spans="1:49" ht="14.25" customHeight="1" x14ac:dyDescent="0.35">
      <c r="A593" s="12">
        <v>592</v>
      </c>
      <c r="B593" s="15" t="s">
        <v>254</v>
      </c>
      <c r="C593" s="15" t="s">
        <v>2710</v>
      </c>
      <c r="D593" s="15" t="s">
        <v>2710</v>
      </c>
      <c r="E593" s="12" t="s">
        <v>121</v>
      </c>
      <c r="F593" s="13" t="s">
        <v>50</v>
      </c>
      <c r="G593" s="13" t="s">
        <v>51</v>
      </c>
      <c r="H593" s="16" t="s">
        <v>78</v>
      </c>
      <c r="I593" s="16" t="s">
        <v>53</v>
      </c>
      <c r="J593" s="14">
        <v>2</v>
      </c>
      <c r="K593" s="17"/>
      <c r="L593" s="17" t="s">
        <v>1663</v>
      </c>
      <c r="M593" s="17" t="s">
        <v>1664</v>
      </c>
      <c r="N593" s="17" t="s">
        <v>85</v>
      </c>
      <c r="O593" s="17" t="s">
        <v>86</v>
      </c>
      <c r="P593" s="17"/>
      <c r="Q593" s="17">
        <v>4.8000000000000001E-2</v>
      </c>
      <c r="R593" s="17">
        <v>2.4E-2</v>
      </c>
      <c r="S593" s="17">
        <v>7.6800000000000002E-3</v>
      </c>
      <c r="T593" s="17">
        <v>1.6670000000000001E-2</v>
      </c>
      <c r="U593" s="19">
        <f t="shared" si="41"/>
        <v>4.341145833333333</v>
      </c>
      <c r="V593" s="41">
        <f t="shared" si="44"/>
        <v>334.11458333333331</v>
      </c>
      <c r="W593" s="14"/>
      <c r="X593" s="17" t="s">
        <v>58</v>
      </c>
      <c r="Y593" s="14">
        <v>5</v>
      </c>
      <c r="Z593" s="17" t="s">
        <v>56</v>
      </c>
      <c r="AA593" s="17"/>
      <c r="AB593" s="17" t="s">
        <v>111</v>
      </c>
      <c r="AC593" s="17">
        <v>2006</v>
      </c>
      <c r="AD593" s="17">
        <v>5</v>
      </c>
      <c r="AE593" s="17"/>
      <c r="AF593" s="17"/>
      <c r="AG593" s="17">
        <v>2006</v>
      </c>
      <c r="AH593" s="14">
        <f t="shared" si="42"/>
        <v>0</v>
      </c>
      <c r="AI593" s="17">
        <f t="shared" si="43"/>
        <v>5</v>
      </c>
      <c r="AJ593" s="17"/>
      <c r="AK593" s="17" t="s">
        <v>58</v>
      </c>
      <c r="AL593" s="16" t="s">
        <v>991</v>
      </c>
      <c r="AM593" s="15">
        <v>2012</v>
      </c>
      <c r="AN593" s="12" t="s">
        <v>150</v>
      </c>
      <c r="AO593" s="15" t="s">
        <v>56</v>
      </c>
      <c r="AP593" s="15"/>
      <c r="AQ593" s="15" t="s">
        <v>56</v>
      </c>
      <c r="AR593" s="15" t="s">
        <v>58</v>
      </c>
      <c r="AS593" s="15" t="s">
        <v>83</v>
      </c>
      <c r="AT593" s="12"/>
      <c r="AU593" s="45" t="s">
        <v>2869</v>
      </c>
      <c r="AV593" s="15"/>
      <c r="AW593" s="12" t="str">
        <f>B593&amp;C593&amp;L593&amp;M593&amp;O593&amp;U593&amp;AL593&amp;AM593</f>
        <v>MexicoPunta Prieta &amp; La Plana-Las Cuevas Marine reservesHaliotis corrugatapink abalonedensity4.34114583333333Micheli2012</v>
      </c>
    </row>
    <row r="594" spans="1:49" ht="14.25" customHeight="1" x14ac:dyDescent="0.35">
      <c r="A594" s="12">
        <v>593</v>
      </c>
      <c r="B594" s="12" t="s">
        <v>477</v>
      </c>
      <c r="C594" s="12" t="s">
        <v>1247</v>
      </c>
      <c r="D594" s="12" t="s">
        <v>1176</v>
      </c>
      <c r="E594" s="12" t="s">
        <v>1177</v>
      </c>
      <c r="F594" s="13" t="s">
        <v>50</v>
      </c>
      <c r="G594" s="13" t="s">
        <v>51</v>
      </c>
      <c r="H594" s="13" t="s">
        <v>481</v>
      </c>
      <c r="I594" s="13" t="s">
        <v>156</v>
      </c>
      <c r="J594" s="14">
        <v>5</v>
      </c>
      <c r="K594" s="14"/>
      <c r="L594" s="14"/>
      <c r="M594" s="14" t="s">
        <v>1178</v>
      </c>
      <c r="N594" s="53" t="s">
        <v>98</v>
      </c>
      <c r="O594" s="17" t="s">
        <v>70</v>
      </c>
      <c r="P594" s="14"/>
      <c r="Q594" s="14"/>
      <c r="R594" s="14"/>
      <c r="S594" s="14">
        <f>AVERAGE(351.79,143.32)</f>
        <v>247.55500000000001</v>
      </c>
      <c r="T594" s="14">
        <v>638.42999999999995</v>
      </c>
      <c r="U594" s="19">
        <f t="shared" si="41"/>
        <v>2.5789420532810889</v>
      </c>
      <c r="V594" s="41">
        <f t="shared" si="44"/>
        <v>157.89420532810888</v>
      </c>
      <c r="W594" s="14"/>
      <c r="X594" s="14" t="s">
        <v>56</v>
      </c>
      <c r="Y594" s="12"/>
      <c r="Z594" s="14" t="s">
        <v>56</v>
      </c>
      <c r="AA594" s="14"/>
      <c r="AB594" s="14" t="s">
        <v>57</v>
      </c>
      <c r="AC594" s="14">
        <v>2011</v>
      </c>
      <c r="AD594" s="14"/>
      <c r="AE594" s="14">
        <v>3</v>
      </c>
      <c r="AF594" s="14"/>
      <c r="AG594" s="14">
        <v>1997</v>
      </c>
      <c r="AH594" s="14">
        <f t="shared" si="42"/>
        <v>14</v>
      </c>
      <c r="AI594" s="17">
        <f t="shared" si="43"/>
        <v>14.25</v>
      </c>
      <c r="AJ594" s="14"/>
      <c r="AK594" s="14" t="s">
        <v>56</v>
      </c>
      <c r="AL594" s="13" t="s">
        <v>1179</v>
      </c>
      <c r="AM594" s="12">
        <v>2018</v>
      </c>
      <c r="AN594" s="12" t="s">
        <v>738</v>
      </c>
      <c r="AO594" s="12" t="s">
        <v>56</v>
      </c>
      <c r="AP594" s="12"/>
      <c r="AQ594" s="12" t="s">
        <v>56</v>
      </c>
      <c r="AR594" s="12" t="s">
        <v>58</v>
      </c>
      <c r="AS594" s="12" t="s">
        <v>163</v>
      </c>
      <c r="AT594" s="12"/>
      <c r="AU594" s="45" t="s">
        <v>2639</v>
      </c>
      <c r="AV594" s="15"/>
      <c r="AW594" s="12" t="str">
        <f>B594&amp;C594&amp;L594&amp;M594&amp;O594&amp;U594&amp;AL594&amp;AM594</f>
        <v>SpainLoma PeldaPelagic commercial spbiomassden2.57894205328109Felix-Hackradt2018</v>
      </c>
    </row>
    <row r="595" spans="1:49" ht="14.25" customHeight="1" x14ac:dyDescent="0.35">
      <c r="A595" s="12">
        <v>594</v>
      </c>
      <c r="B595" s="12" t="s">
        <v>477</v>
      </c>
      <c r="C595" s="12" t="s">
        <v>1175</v>
      </c>
      <c r="D595" s="12" t="s">
        <v>1176</v>
      </c>
      <c r="E595" s="12" t="s">
        <v>1177</v>
      </c>
      <c r="F595" s="13" t="s">
        <v>50</v>
      </c>
      <c r="G595" s="13" t="s">
        <v>51</v>
      </c>
      <c r="H595" s="13" t="s">
        <v>481</v>
      </c>
      <c r="I595" s="13" t="s">
        <v>156</v>
      </c>
      <c r="J595" s="14">
        <v>6</v>
      </c>
      <c r="K595" s="14"/>
      <c r="L595" s="14"/>
      <c r="M595" s="14" t="s">
        <v>1178</v>
      </c>
      <c r="N595" s="53" t="s">
        <v>98</v>
      </c>
      <c r="O595" s="17" t="s">
        <v>70</v>
      </c>
      <c r="P595" s="14"/>
      <c r="Q595" s="14"/>
      <c r="R595" s="14"/>
      <c r="S595" s="14">
        <f>AVERAGE(91.2,338.76)</f>
        <v>214.98</v>
      </c>
      <c r="T595" s="14">
        <v>2410.42</v>
      </c>
      <c r="U595" s="19">
        <f t="shared" si="41"/>
        <v>11.212298818494745</v>
      </c>
      <c r="V595" s="41">
        <f t="shared" si="44"/>
        <v>1021.2298818494744</v>
      </c>
      <c r="W595" s="14"/>
      <c r="X595" s="14" t="s">
        <v>56</v>
      </c>
      <c r="Y595" s="12"/>
      <c r="Z595" s="14" t="s">
        <v>56</v>
      </c>
      <c r="AA595" s="14"/>
      <c r="AB595" s="14" t="s">
        <v>57</v>
      </c>
      <c r="AC595" s="14">
        <v>2011</v>
      </c>
      <c r="AD595" s="14"/>
      <c r="AE595" s="14">
        <v>3</v>
      </c>
      <c r="AF595" s="14"/>
      <c r="AG595" s="14">
        <v>1997</v>
      </c>
      <c r="AH595" s="14">
        <f t="shared" si="42"/>
        <v>14</v>
      </c>
      <c r="AI595" s="17">
        <f t="shared" si="43"/>
        <v>14.25</v>
      </c>
      <c r="AJ595" s="14"/>
      <c r="AK595" s="14" t="s">
        <v>56</v>
      </c>
      <c r="AL595" s="13" t="s">
        <v>1179</v>
      </c>
      <c r="AM595" s="12">
        <v>2018</v>
      </c>
      <c r="AN595" s="12" t="s">
        <v>738</v>
      </c>
      <c r="AO595" s="12" t="s">
        <v>56</v>
      </c>
      <c r="AP595" s="12"/>
      <c r="AQ595" s="12" t="s">
        <v>56</v>
      </c>
      <c r="AR595" s="12" t="s">
        <v>58</v>
      </c>
      <c r="AS595" s="12" t="s">
        <v>163</v>
      </c>
      <c r="AT595" s="12"/>
      <c r="AU595" s="45" t="s">
        <v>2639</v>
      </c>
      <c r="AV595" s="15"/>
      <c r="AW595" s="12" t="str">
        <f>B595&amp;C595&amp;L595&amp;M595&amp;O595&amp;U595&amp;AL595&amp;AM595</f>
        <v>SpainLa PolacraPelagic commercial spbiomassden11.2122988184947Felix-Hackradt2018</v>
      </c>
    </row>
    <row r="596" spans="1:49" ht="14.25" customHeight="1" x14ac:dyDescent="0.35">
      <c r="A596" s="12">
        <v>595</v>
      </c>
      <c r="B596" s="12" t="s">
        <v>477</v>
      </c>
      <c r="C596" s="12" t="s">
        <v>1659</v>
      </c>
      <c r="D596" s="12" t="s">
        <v>1176</v>
      </c>
      <c r="E596" s="12" t="s">
        <v>1177</v>
      </c>
      <c r="F596" s="13" t="s">
        <v>50</v>
      </c>
      <c r="G596" s="13" t="s">
        <v>51</v>
      </c>
      <c r="H596" s="13" t="s">
        <v>481</v>
      </c>
      <c r="I596" s="13" t="s">
        <v>156</v>
      </c>
      <c r="J596" s="14">
        <v>6</v>
      </c>
      <c r="K596" s="17"/>
      <c r="L596" s="14"/>
      <c r="M596" s="14" t="s">
        <v>1178</v>
      </c>
      <c r="N596" s="53" t="s">
        <v>98</v>
      </c>
      <c r="O596" s="17" t="s">
        <v>70</v>
      </c>
      <c r="P596" s="14"/>
      <c r="Q596" s="14"/>
      <c r="R596" s="14"/>
      <c r="S596" s="14">
        <f>AVERAGE(247.56,91.21)</f>
        <v>169.38499999999999</v>
      </c>
      <c r="T596" s="14">
        <v>337.85</v>
      </c>
      <c r="U596" s="19">
        <f t="shared" si="41"/>
        <v>1.9945685863565252</v>
      </c>
      <c r="V596" s="41">
        <f t="shared" si="44"/>
        <v>99.456858635652523</v>
      </c>
      <c r="W596" s="14"/>
      <c r="X596" s="14" t="s">
        <v>56</v>
      </c>
      <c r="Z596" s="14" t="s">
        <v>56</v>
      </c>
      <c r="AA596" s="14"/>
      <c r="AB596" s="14" t="s">
        <v>57</v>
      </c>
      <c r="AC596" s="14">
        <v>2011</v>
      </c>
      <c r="AD596" s="14"/>
      <c r="AE596" s="14">
        <v>3</v>
      </c>
      <c r="AF596" s="14"/>
      <c r="AG596" s="14">
        <v>1997</v>
      </c>
      <c r="AH596" s="14">
        <f t="shared" si="42"/>
        <v>14</v>
      </c>
      <c r="AI596" s="17">
        <f t="shared" si="43"/>
        <v>14.25</v>
      </c>
      <c r="AJ596" s="14"/>
      <c r="AK596" s="14" t="s">
        <v>56</v>
      </c>
      <c r="AL596" s="13" t="s">
        <v>1179</v>
      </c>
      <c r="AM596" s="12">
        <v>2018</v>
      </c>
      <c r="AN596" s="12" t="s">
        <v>738</v>
      </c>
      <c r="AO596" s="12" t="s">
        <v>56</v>
      </c>
      <c r="AP596" s="12"/>
      <c r="AQ596" s="12" t="s">
        <v>56</v>
      </c>
      <c r="AR596" s="12" t="s">
        <v>58</v>
      </c>
      <c r="AS596" s="12" t="s">
        <v>163</v>
      </c>
      <c r="AT596" s="12"/>
      <c r="AU596" s="45" t="s">
        <v>2639</v>
      </c>
      <c r="AV596" s="15"/>
      <c r="AW596" s="12" t="str">
        <f>B596&amp;C596&amp;L596&amp;M596&amp;O596&amp;U596&amp;AL596&amp;AM596</f>
        <v>SpainPunta JavanaPelagic commercial spbiomassden1.99456858635653Felix-Hackradt2018</v>
      </c>
    </row>
    <row r="597" spans="1:49" ht="14.25" customHeight="1" x14ac:dyDescent="0.35">
      <c r="A597" s="12">
        <v>596</v>
      </c>
      <c r="B597" s="12" t="s">
        <v>477</v>
      </c>
      <c r="C597" s="12" t="s">
        <v>1247</v>
      </c>
      <c r="D597" s="12" t="s">
        <v>1176</v>
      </c>
      <c r="E597" s="12" t="s">
        <v>1177</v>
      </c>
      <c r="F597" s="13" t="s">
        <v>50</v>
      </c>
      <c r="G597" s="13" t="s">
        <v>51</v>
      </c>
      <c r="H597" s="13" t="s">
        <v>481</v>
      </c>
      <c r="I597" s="13" t="s">
        <v>156</v>
      </c>
      <c r="J597" s="14">
        <v>5</v>
      </c>
      <c r="K597" s="14"/>
      <c r="L597" s="14"/>
      <c r="M597" s="14" t="s">
        <v>1180</v>
      </c>
      <c r="N597" s="53" t="s">
        <v>98</v>
      </c>
      <c r="O597" s="17" t="s">
        <v>70</v>
      </c>
      <c r="P597" s="14"/>
      <c r="Q597" s="14"/>
      <c r="R597" s="14"/>
      <c r="S597" s="14">
        <f>AVERAGE(202.4,85.27)</f>
        <v>143.83500000000001</v>
      </c>
      <c r="T597" s="14">
        <v>143.84</v>
      </c>
      <c r="U597" s="19">
        <f t="shared" si="41"/>
        <v>1.0000347620537422</v>
      </c>
      <c r="V597" s="41">
        <f t="shared" si="44"/>
        <v>3.4762053742198873E-3</v>
      </c>
      <c r="W597" s="14"/>
      <c r="X597" s="14" t="s">
        <v>56</v>
      </c>
      <c r="Y597" s="12"/>
      <c r="Z597" s="14" t="s">
        <v>56</v>
      </c>
      <c r="AA597" s="14"/>
      <c r="AB597" s="14" t="s">
        <v>57</v>
      </c>
      <c r="AC597" s="14">
        <v>2011</v>
      </c>
      <c r="AD597" s="14"/>
      <c r="AE597" s="14">
        <v>3</v>
      </c>
      <c r="AF597" s="14"/>
      <c r="AG597" s="14">
        <v>1997</v>
      </c>
      <c r="AH597" s="14">
        <f t="shared" si="42"/>
        <v>14</v>
      </c>
      <c r="AI597" s="17">
        <f t="shared" si="43"/>
        <v>14.25</v>
      </c>
      <c r="AJ597" s="14"/>
      <c r="AK597" s="14" t="s">
        <v>56</v>
      </c>
      <c r="AL597" s="13" t="s">
        <v>1179</v>
      </c>
      <c r="AM597" s="12">
        <v>2018</v>
      </c>
      <c r="AN597" s="12" t="s">
        <v>738</v>
      </c>
      <c r="AO597" s="12" t="s">
        <v>56</v>
      </c>
      <c r="AP597" s="12"/>
      <c r="AQ597" s="12" t="s">
        <v>56</v>
      </c>
      <c r="AR597" s="12" t="s">
        <v>58</v>
      </c>
      <c r="AS597" s="12" t="s">
        <v>163</v>
      </c>
      <c r="AT597" s="12"/>
      <c r="AU597" s="45" t="s">
        <v>2639</v>
      </c>
      <c r="AV597" s="15"/>
      <c r="AW597" s="12" t="str">
        <f>B597&amp;C597&amp;L597&amp;M597&amp;O597&amp;U597&amp;AL597&amp;AM597</f>
        <v>SpainLoma PeldaPelagic non-commercialbiomassden1.00003476205374Felix-Hackradt2018</v>
      </c>
    </row>
    <row r="598" spans="1:49" ht="14.25" customHeight="1" x14ac:dyDescent="0.35">
      <c r="A598" s="12">
        <v>597</v>
      </c>
      <c r="B598" s="12" t="s">
        <v>477</v>
      </c>
      <c r="C598" s="12" t="s">
        <v>1175</v>
      </c>
      <c r="D598" s="12" t="s">
        <v>1176</v>
      </c>
      <c r="E598" s="12" t="s">
        <v>1177</v>
      </c>
      <c r="F598" s="13" t="s">
        <v>50</v>
      </c>
      <c r="G598" s="13" t="s">
        <v>51</v>
      </c>
      <c r="H598" s="13" t="s">
        <v>481</v>
      </c>
      <c r="I598" s="13" t="s">
        <v>156</v>
      </c>
      <c r="J598" s="14">
        <v>6</v>
      </c>
      <c r="K598" s="17"/>
      <c r="L598" s="14"/>
      <c r="M598" s="14" t="s">
        <v>1180</v>
      </c>
      <c r="N598" s="53" t="s">
        <v>98</v>
      </c>
      <c r="O598" s="17" t="s">
        <v>70</v>
      </c>
      <c r="P598" s="14"/>
      <c r="Q598" s="14"/>
      <c r="R598" s="14"/>
      <c r="S598" s="14">
        <f>AVERAGE(152.05,122.26)</f>
        <v>137.155</v>
      </c>
      <c r="T598" s="14">
        <v>91.44</v>
      </c>
      <c r="U598" s="19">
        <f t="shared" si="41"/>
        <v>0.66669097007035838</v>
      </c>
      <c r="V598" s="41">
        <f t="shared" si="44"/>
        <v>-33.330902992964162</v>
      </c>
      <c r="W598" s="14"/>
      <c r="X598" s="14" t="s">
        <v>56</v>
      </c>
      <c r="Y598" s="12"/>
      <c r="Z598" s="14" t="s">
        <v>56</v>
      </c>
      <c r="AA598" s="14"/>
      <c r="AB598" s="14" t="s">
        <v>57</v>
      </c>
      <c r="AC598" s="14">
        <v>2011</v>
      </c>
      <c r="AD598" s="14"/>
      <c r="AE598" s="14">
        <v>3</v>
      </c>
      <c r="AF598" s="14"/>
      <c r="AG598" s="14">
        <v>1997</v>
      </c>
      <c r="AH598" s="14">
        <f t="shared" si="42"/>
        <v>14</v>
      </c>
      <c r="AI598" s="17">
        <f t="shared" si="43"/>
        <v>14.25</v>
      </c>
      <c r="AJ598" s="14"/>
      <c r="AK598" s="14" t="s">
        <v>56</v>
      </c>
      <c r="AL598" s="13" t="s">
        <v>1179</v>
      </c>
      <c r="AM598" s="12">
        <v>2018</v>
      </c>
      <c r="AN598" s="12" t="s">
        <v>738</v>
      </c>
      <c r="AO598" s="12" t="s">
        <v>56</v>
      </c>
      <c r="AP598" s="12"/>
      <c r="AQ598" s="12" t="s">
        <v>56</v>
      </c>
      <c r="AR598" s="12" t="s">
        <v>58</v>
      </c>
      <c r="AS598" s="12" t="s">
        <v>163</v>
      </c>
      <c r="AT598" s="12"/>
      <c r="AU598" s="45" t="s">
        <v>2639</v>
      </c>
      <c r="AV598" s="15"/>
      <c r="AW598" s="12" t="str">
        <f>B598&amp;C598&amp;L598&amp;M598&amp;O598&amp;U598&amp;AL598&amp;AM598</f>
        <v>SpainLa PolacraPelagic non-commercialbiomassden0.666690970070358Felix-Hackradt2018</v>
      </c>
    </row>
    <row r="599" spans="1:49" ht="14.25" customHeight="1" x14ac:dyDescent="0.35">
      <c r="A599" s="12">
        <v>598</v>
      </c>
      <c r="B599" s="15" t="s">
        <v>477</v>
      </c>
      <c r="C599" s="15" t="s">
        <v>1659</v>
      </c>
      <c r="D599" s="12" t="s">
        <v>1176</v>
      </c>
      <c r="E599" s="15" t="s">
        <v>1177</v>
      </c>
      <c r="F599" s="16" t="s">
        <v>50</v>
      </c>
      <c r="G599" s="16" t="s">
        <v>51</v>
      </c>
      <c r="H599" s="13" t="s">
        <v>481</v>
      </c>
      <c r="I599" s="16" t="s">
        <v>156</v>
      </c>
      <c r="J599" s="14">
        <v>6</v>
      </c>
      <c r="K599" s="17"/>
      <c r="L599" s="17"/>
      <c r="M599" s="17" t="s">
        <v>1180</v>
      </c>
      <c r="N599" s="53" t="s">
        <v>98</v>
      </c>
      <c r="O599" s="17" t="s">
        <v>70</v>
      </c>
      <c r="P599" s="17"/>
      <c r="Q599" s="17"/>
      <c r="R599" s="17"/>
      <c r="S599" s="17">
        <f>AVERAGE(69.86,166.44)</f>
        <v>118.15</v>
      </c>
      <c r="T599" s="17">
        <v>159.25</v>
      </c>
      <c r="U599" s="20">
        <f t="shared" si="41"/>
        <v>1.3478628861616588</v>
      </c>
      <c r="V599" s="41">
        <f t="shared" si="44"/>
        <v>34.786288616165884</v>
      </c>
      <c r="W599" s="17"/>
      <c r="X599" s="17" t="s">
        <v>56</v>
      </c>
      <c r="Z599" s="17" t="s">
        <v>56</v>
      </c>
      <c r="AA599" s="17"/>
      <c r="AB599" s="17" t="s">
        <v>57</v>
      </c>
      <c r="AC599" s="17">
        <v>2011</v>
      </c>
      <c r="AD599" s="17"/>
      <c r="AE599" s="17">
        <v>3</v>
      </c>
      <c r="AF599" s="17"/>
      <c r="AG599" s="17">
        <v>1997</v>
      </c>
      <c r="AH599" s="14">
        <f t="shared" si="42"/>
        <v>14</v>
      </c>
      <c r="AI599" s="17">
        <f t="shared" si="43"/>
        <v>14.25</v>
      </c>
      <c r="AJ599" s="17"/>
      <c r="AK599" s="17" t="s">
        <v>56</v>
      </c>
      <c r="AL599" s="16" t="s">
        <v>1179</v>
      </c>
      <c r="AM599" s="15">
        <v>2018</v>
      </c>
      <c r="AN599" s="12" t="s">
        <v>738</v>
      </c>
      <c r="AO599" s="15" t="s">
        <v>56</v>
      </c>
      <c r="AP599" s="15"/>
      <c r="AQ599" s="15" t="s">
        <v>56</v>
      </c>
      <c r="AR599" s="15" t="s">
        <v>58</v>
      </c>
      <c r="AS599" s="15" t="s">
        <v>163</v>
      </c>
      <c r="AT599" s="15"/>
      <c r="AU599" s="45" t="s">
        <v>2639</v>
      </c>
      <c r="AV599" s="15"/>
      <c r="AW599" s="12" t="str">
        <f>B599&amp;C599&amp;L599&amp;M599&amp;O599&amp;U599&amp;AL599&amp;AM599</f>
        <v>SpainPunta JavanaPelagic non-commercialbiomassden1.34786288616166Felix-Hackradt2018</v>
      </c>
    </row>
    <row r="600" spans="1:49" ht="14.25" customHeight="1" x14ac:dyDescent="0.35">
      <c r="A600" s="12">
        <v>599</v>
      </c>
      <c r="B600" s="15" t="s">
        <v>477</v>
      </c>
      <c r="C600" s="15" t="s">
        <v>1247</v>
      </c>
      <c r="D600" s="15" t="s">
        <v>1176</v>
      </c>
      <c r="E600" s="15" t="s">
        <v>1177</v>
      </c>
      <c r="F600" s="16" t="s">
        <v>50</v>
      </c>
      <c r="G600" s="16" t="s">
        <v>51</v>
      </c>
      <c r="H600" s="16" t="s">
        <v>481</v>
      </c>
      <c r="I600" s="16" t="s">
        <v>156</v>
      </c>
      <c r="J600" s="17">
        <v>5</v>
      </c>
      <c r="K600" s="17"/>
      <c r="L600" s="17"/>
      <c r="M600" s="17" t="s">
        <v>1181</v>
      </c>
      <c r="N600" s="53" t="s">
        <v>98</v>
      </c>
      <c r="O600" s="17" t="s">
        <v>70</v>
      </c>
      <c r="P600" s="17"/>
      <c r="Q600" s="17"/>
      <c r="R600" s="17"/>
      <c r="S600" s="17">
        <f>AVERAGE(6385.54,2120.48)</f>
        <v>4253.01</v>
      </c>
      <c r="T600" s="17">
        <v>5662.65</v>
      </c>
      <c r="U600" s="20">
        <f t="shared" si="41"/>
        <v>1.3314452587696712</v>
      </c>
      <c r="V600" s="41">
        <f t="shared" si="44"/>
        <v>33.144525876967123</v>
      </c>
      <c r="W600" s="17"/>
      <c r="X600" s="17" t="s">
        <v>56</v>
      </c>
      <c r="Y600" s="12"/>
      <c r="Z600" s="17" t="s">
        <v>56</v>
      </c>
      <c r="AA600" s="17"/>
      <c r="AB600" s="17" t="s">
        <v>57</v>
      </c>
      <c r="AC600" s="17">
        <v>2011</v>
      </c>
      <c r="AD600" s="17"/>
      <c r="AE600" s="17">
        <v>3</v>
      </c>
      <c r="AF600" s="17"/>
      <c r="AG600" s="17">
        <v>1997</v>
      </c>
      <c r="AH600" s="14">
        <f t="shared" si="42"/>
        <v>14</v>
      </c>
      <c r="AI600" s="17">
        <f t="shared" si="43"/>
        <v>14.25</v>
      </c>
      <c r="AJ600" s="17"/>
      <c r="AK600" s="17" t="s">
        <v>56</v>
      </c>
      <c r="AL600" s="16" t="s">
        <v>1179</v>
      </c>
      <c r="AM600" s="15">
        <v>2018</v>
      </c>
      <c r="AN600" s="15" t="s">
        <v>738</v>
      </c>
      <c r="AO600" s="15" t="s">
        <v>56</v>
      </c>
      <c r="AP600" s="15"/>
      <c r="AQ600" s="15" t="s">
        <v>56</v>
      </c>
      <c r="AR600" s="15" t="s">
        <v>58</v>
      </c>
      <c r="AS600" s="15" t="s">
        <v>163</v>
      </c>
      <c r="AT600" s="15"/>
      <c r="AU600" s="45" t="s">
        <v>2639</v>
      </c>
      <c r="AV600" s="15"/>
      <c r="AW600" s="12" t="str">
        <f>B600&amp;C600&amp;L600&amp;M600&amp;O600&amp;U600&amp;AL600&amp;AM600</f>
        <v>SpainLoma PeldaDemersal Commercialbiomassden1.33144525876967Felix-Hackradt2018</v>
      </c>
    </row>
    <row r="601" spans="1:49" ht="14.25" customHeight="1" x14ac:dyDescent="0.35">
      <c r="A601" s="12">
        <v>600</v>
      </c>
      <c r="B601" s="15" t="s">
        <v>477</v>
      </c>
      <c r="C601" s="15" t="s">
        <v>1175</v>
      </c>
      <c r="D601" s="15" t="s">
        <v>1176</v>
      </c>
      <c r="E601" s="15" t="s">
        <v>1177</v>
      </c>
      <c r="F601" s="16" t="s">
        <v>50</v>
      </c>
      <c r="G601" s="16" t="s">
        <v>51</v>
      </c>
      <c r="H601" s="16" t="s">
        <v>481</v>
      </c>
      <c r="I601" s="16" t="s">
        <v>156</v>
      </c>
      <c r="J601" s="17">
        <v>6</v>
      </c>
      <c r="K601" s="17"/>
      <c r="L601" s="17"/>
      <c r="M601" s="17" t="s">
        <v>1181</v>
      </c>
      <c r="N601" s="53" t="s">
        <v>98</v>
      </c>
      <c r="O601" s="17" t="s">
        <v>70</v>
      </c>
      <c r="P601" s="17"/>
      <c r="Q601" s="17"/>
      <c r="R601" s="17"/>
      <c r="S601" s="17">
        <f>AVERAGE(867.47,3012.05)</f>
        <v>1939.7600000000002</v>
      </c>
      <c r="T601" s="17">
        <v>5831.33</v>
      </c>
      <c r="U601" s="20">
        <f t="shared" si="41"/>
        <v>3.0062121087144797</v>
      </c>
      <c r="V601" s="41">
        <f t="shared" si="44"/>
        <v>200.62121087144797</v>
      </c>
      <c r="W601" s="17"/>
      <c r="X601" s="17" t="s">
        <v>56</v>
      </c>
      <c r="Y601" s="12"/>
      <c r="Z601" s="17" t="s">
        <v>56</v>
      </c>
      <c r="AA601" s="17"/>
      <c r="AB601" s="17" t="s">
        <v>57</v>
      </c>
      <c r="AC601" s="17">
        <v>2011</v>
      </c>
      <c r="AD601" s="17"/>
      <c r="AE601" s="17">
        <v>3</v>
      </c>
      <c r="AF601" s="17"/>
      <c r="AG601" s="17">
        <v>1997</v>
      </c>
      <c r="AH601" s="14">
        <f t="shared" si="42"/>
        <v>14</v>
      </c>
      <c r="AI601" s="17">
        <f t="shared" si="43"/>
        <v>14.25</v>
      </c>
      <c r="AJ601" s="17"/>
      <c r="AK601" s="17" t="s">
        <v>56</v>
      </c>
      <c r="AL601" s="16" t="s">
        <v>1179</v>
      </c>
      <c r="AM601" s="15">
        <v>2018</v>
      </c>
      <c r="AN601" s="15" t="s">
        <v>738</v>
      </c>
      <c r="AO601" s="15" t="s">
        <v>56</v>
      </c>
      <c r="AP601" s="15"/>
      <c r="AQ601" s="15" t="s">
        <v>56</v>
      </c>
      <c r="AR601" s="15" t="s">
        <v>58</v>
      </c>
      <c r="AS601" s="15" t="s">
        <v>163</v>
      </c>
      <c r="AT601" s="15"/>
      <c r="AU601" s="45" t="s">
        <v>2639</v>
      </c>
      <c r="AV601" s="15"/>
      <c r="AW601" s="12" t="str">
        <f>B601&amp;C601&amp;L601&amp;M601&amp;O601&amp;U601&amp;AL601&amp;AM601</f>
        <v>SpainLa PolacraDemersal Commercialbiomassden3.00621210871448Felix-Hackradt2018</v>
      </c>
    </row>
    <row r="602" spans="1:49" ht="14.25" customHeight="1" x14ac:dyDescent="0.35">
      <c r="A602" s="12">
        <v>601</v>
      </c>
      <c r="B602" s="12" t="s">
        <v>477</v>
      </c>
      <c r="C602" s="12" t="s">
        <v>1659</v>
      </c>
      <c r="D602" s="15" t="s">
        <v>1176</v>
      </c>
      <c r="E602" s="12" t="s">
        <v>1177</v>
      </c>
      <c r="F602" s="13" t="s">
        <v>50</v>
      </c>
      <c r="G602" s="13" t="s">
        <v>51</v>
      </c>
      <c r="H602" s="13" t="s">
        <v>481</v>
      </c>
      <c r="I602" s="13" t="s">
        <v>156</v>
      </c>
      <c r="J602" s="17">
        <v>6</v>
      </c>
      <c r="K602" s="17"/>
      <c r="L602" s="14"/>
      <c r="M602" s="14" t="s">
        <v>1181</v>
      </c>
      <c r="N602" s="53" t="s">
        <v>98</v>
      </c>
      <c r="O602" s="17" t="s">
        <v>70</v>
      </c>
      <c r="P602" s="14"/>
      <c r="Q602" s="14"/>
      <c r="R602" s="14"/>
      <c r="S602" s="14">
        <f>AVERAGE(1542.17,1542.17)</f>
        <v>1542.17</v>
      </c>
      <c r="T602" s="14">
        <v>4000</v>
      </c>
      <c r="U602" s="19">
        <f t="shared" si="41"/>
        <v>2.593747770998009</v>
      </c>
      <c r="V602" s="41">
        <f t="shared" si="44"/>
        <v>159.37477709980089</v>
      </c>
      <c r="W602" s="14"/>
      <c r="X602" s="14" t="s">
        <v>56</v>
      </c>
      <c r="Z602" s="14" t="s">
        <v>56</v>
      </c>
      <c r="AA602" s="14"/>
      <c r="AB602" s="14" t="s">
        <v>57</v>
      </c>
      <c r="AC602" s="14">
        <v>2011</v>
      </c>
      <c r="AD602" s="14"/>
      <c r="AE602" s="14">
        <v>3</v>
      </c>
      <c r="AF602" s="14"/>
      <c r="AG602" s="14">
        <v>1997</v>
      </c>
      <c r="AH602" s="14">
        <f t="shared" si="42"/>
        <v>14</v>
      </c>
      <c r="AI602" s="17">
        <f t="shared" si="43"/>
        <v>14.25</v>
      </c>
      <c r="AJ602" s="14"/>
      <c r="AK602" s="14" t="s">
        <v>56</v>
      </c>
      <c r="AL602" s="13" t="s">
        <v>1179</v>
      </c>
      <c r="AM602" s="12">
        <v>2018</v>
      </c>
      <c r="AN602" s="12" t="s">
        <v>738</v>
      </c>
      <c r="AO602" s="12" t="s">
        <v>56</v>
      </c>
      <c r="AP602" s="12"/>
      <c r="AQ602" s="12" t="s">
        <v>56</v>
      </c>
      <c r="AR602" s="12" t="s">
        <v>58</v>
      </c>
      <c r="AS602" s="12" t="s">
        <v>163</v>
      </c>
      <c r="AT602" s="12"/>
      <c r="AU602" s="45" t="s">
        <v>2639</v>
      </c>
      <c r="AV602" s="15"/>
      <c r="AW602" s="12" t="str">
        <f>B602&amp;C602&amp;L602&amp;M602&amp;O602&amp;U602&amp;AL602&amp;AM602</f>
        <v>SpainPunta JavanaDemersal Commercialbiomassden2.59374777099801Felix-Hackradt2018</v>
      </c>
    </row>
    <row r="603" spans="1:49" ht="14.25" customHeight="1" x14ac:dyDescent="0.35">
      <c r="A603" s="12">
        <v>602</v>
      </c>
      <c r="B603" s="15" t="s">
        <v>477</v>
      </c>
      <c r="C603" s="15" t="s">
        <v>1247</v>
      </c>
      <c r="D603" s="15" t="s">
        <v>1176</v>
      </c>
      <c r="E603" s="12" t="s">
        <v>1177</v>
      </c>
      <c r="F603" s="13" t="s">
        <v>50</v>
      </c>
      <c r="G603" s="13" t="s">
        <v>51</v>
      </c>
      <c r="H603" s="16" t="s">
        <v>481</v>
      </c>
      <c r="I603" s="16" t="s">
        <v>156</v>
      </c>
      <c r="J603" s="17">
        <v>5</v>
      </c>
      <c r="K603" s="17"/>
      <c r="L603" s="17"/>
      <c r="M603" s="17" t="s">
        <v>1182</v>
      </c>
      <c r="N603" s="53" t="s">
        <v>98</v>
      </c>
      <c r="O603" s="17" t="s">
        <v>70</v>
      </c>
      <c r="P603" s="17"/>
      <c r="Q603" s="17"/>
      <c r="R603" s="17"/>
      <c r="S603" s="17">
        <f>AVERAGE(4145.21,6072.61)</f>
        <v>5108.91</v>
      </c>
      <c r="T603" s="17">
        <v>2666.67</v>
      </c>
      <c r="U603" s="19">
        <f t="shared" si="41"/>
        <v>0.52196456778451772</v>
      </c>
      <c r="V603" s="41">
        <f t="shared" si="44"/>
        <v>-47.803543221548225</v>
      </c>
      <c r="W603" s="14"/>
      <c r="X603" s="17" t="s">
        <v>56</v>
      </c>
      <c r="Y603" s="12"/>
      <c r="Z603" s="17" t="s">
        <v>56</v>
      </c>
      <c r="AA603" s="17"/>
      <c r="AB603" s="17" t="s">
        <v>57</v>
      </c>
      <c r="AC603" s="17">
        <v>2011</v>
      </c>
      <c r="AD603" s="17"/>
      <c r="AE603" s="17">
        <v>3</v>
      </c>
      <c r="AF603" s="17"/>
      <c r="AG603" s="17">
        <v>1997</v>
      </c>
      <c r="AH603" s="14">
        <f t="shared" si="42"/>
        <v>14</v>
      </c>
      <c r="AI603" s="17">
        <f t="shared" si="43"/>
        <v>14.25</v>
      </c>
      <c r="AJ603" s="17"/>
      <c r="AK603" s="17" t="s">
        <v>56</v>
      </c>
      <c r="AL603" s="16" t="s">
        <v>1179</v>
      </c>
      <c r="AM603" s="15">
        <v>2018</v>
      </c>
      <c r="AN603" s="12" t="s">
        <v>738</v>
      </c>
      <c r="AO603" s="15" t="s">
        <v>56</v>
      </c>
      <c r="AP603" s="15"/>
      <c r="AQ603" s="15" t="s">
        <v>56</v>
      </c>
      <c r="AR603" s="15" t="s">
        <v>58</v>
      </c>
      <c r="AS603" s="15" t="s">
        <v>163</v>
      </c>
      <c r="AT603" s="12"/>
      <c r="AU603" s="45" t="s">
        <v>2639</v>
      </c>
      <c r="AV603" s="15"/>
      <c r="AW603" s="12" t="str">
        <f>B603&amp;C603&amp;L603&amp;M603&amp;O603&amp;U603&amp;AL603&amp;AM603</f>
        <v>SpainLoma PeldaDemersal non-commercialbiomassden0.521964567784518Felix-Hackradt2018</v>
      </c>
    </row>
    <row r="604" spans="1:49" ht="14.25" customHeight="1" x14ac:dyDescent="0.35">
      <c r="A604" s="12">
        <v>603</v>
      </c>
      <c r="B604" s="15" t="s">
        <v>477</v>
      </c>
      <c r="C604" s="15" t="s">
        <v>1175</v>
      </c>
      <c r="D604" s="15" t="s">
        <v>1176</v>
      </c>
      <c r="E604" s="12" t="s">
        <v>1177</v>
      </c>
      <c r="F604" s="13" t="s">
        <v>50</v>
      </c>
      <c r="G604" s="13" t="s">
        <v>51</v>
      </c>
      <c r="H604" s="16" t="s">
        <v>481</v>
      </c>
      <c r="I604" s="16" t="s">
        <v>156</v>
      </c>
      <c r="J604" s="17">
        <v>6</v>
      </c>
      <c r="K604" s="17"/>
      <c r="L604" s="17"/>
      <c r="M604" s="17" t="s">
        <v>1182</v>
      </c>
      <c r="N604" s="53" t="s">
        <v>98</v>
      </c>
      <c r="O604" s="17" t="s">
        <v>70</v>
      </c>
      <c r="P604" s="17"/>
      <c r="Q604" s="17"/>
      <c r="R604" s="17"/>
      <c r="S604" s="17">
        <f>AVERAGE(2613.86,3300.33)</f>
        <v>2957.0950000000003</v>
      </c>
      <c r="T604" s="17">
        <v>1214.52</v>
      </c>
      <c r="U604" s="19">
        <f t="shared" si="41"/>
        <v>0.41071389319585605</v>
      </c>
      <c r="V604" s="41">
        <f t="shared" si="44"/>
        <v>-58.928610680414394</v>
      </c>
      <c r="W604" s="14"/>
      <c r="X604" s="17" t="s">
        <v>56</v>
      </c>
      <c r="Y604" s="15"/>
      <c r="Z604" s="17" t="s">
        <v>56</v>
      </c>
      <c r="AA604" s="17"/>
      <c r="AB604" s="17" t="s">
        <v>57</v>
      </c>
      <c r="AC604" s="17">
        <v>2011</v>
      </c>
      <c r="AD604" s="17"/>
      <c r="AE604" s="17">
        <v>3</v>
      </c>
      <c r="AF604" s="17"/>
      <c r="AG604" s="17">
        <v>1997</v>
      </c>
      <c r="AH604" s="14">
        <f t="shared" si="42"/>
        <v>14</v>
      </c>
      <c r="AI604" s="17">
        <f t="shared" si="43"/>
        <v>14.25</v>
      </c>
      <c r="AJ604" s="17"/>
      <c r="AK604" s="17" t="s">
        <v>56</v>
      </c>
      <c r="AL604" s="16" t="s">
        <v>1179</v>
      </c>
      <c r="AM604" s="15">
        <v>2018</v>
      </c>
      <c r="AN604" s="15" t="s">
        <v>738</v>
      </c>
      <c r="AO604" s="15" t="s">
        <v>56</v>
      </c>
      <c r="AP604" s="15"/>
      <c r="AQ604" s="15" t="s">
        <v>56</v>
      </c>
      <c r="AR604" s="15" t="s">
        <v>58</v>
      </c>
      <c r="AS604" s="15" t="s">
        <v>163</v>
      </c>
      <c r="AT604" s="12"/>
      <c r="AU604" s="45" t="s">
        <v>2639</v>
      </c>
      <c r="AV604" s="15"/>
      <c r="AW604" s="12" t="str">
        <f>B604&amp;C604&amp;L604&amp;M604&amp;O604&amp;U604&amp;AL604&amp;AM604</f>
        <v>SpainLa PolacraDemersal non-commercialbiomassden0.410713893195856Felix-Hackradt2018</v>
      </c>
    </row>
    <row r="605" spans="1:49" ht="14.25" customHeight="1" x14ac:dyDescent="0.35">
      <c r="A605" s="12">
        <v>604</v>
      </c>
      <c r="B605" s="15" t="s">
        <v>477</v>
      </c>
      <c r="C605" s="15" t="s">
        <v>1659</v>
      </c>
      <c r="D605" s="15" t="s">
        <v>1176</v>
      </c>
      <c r="E605" s="12" t="s">
        <v>1177</v>
      </c>
      <c r="F605" s="13" t="s">
        <v>50</v>
      </c>
      <c r="G605" s="13" t="s">
        <v>51</v>
      </c>
      <c r="H605" s="16" t="s">
        <v>481</v>
      </c>
      <c r="I605" s="16" t="s">
        <v>156</v>
      </c>
      <c r="J605" s="17">
        <v>6</v>
      </c>
      <c r="K605" s="17"/>
      <c r="L605" s="17"/>
      <c r="M605" s="17" t="s">
        <v>1182</v>
      </c>
      <c r="N605" s="53" t="s">
        <v>98</v>
      </c>
      <c r="O605" s="17" t="s">
        <v>70</v>
      </c>
      <c r="P605" s="17"/>
      <c r="Q605" s="17"/>
      <c r="R605" s="17"/>
      <c r="S605" s="17">
        <f>AVERAGE(4488.45,2719.47)</f>
        <v>3603.96</v>
      </c>
      <c r="T605" s="17">
        <v>2930.69</v>
      </c>
      <c r="U605" s="19">
        <f t="shared" si="41"/>
        <v>0.81318605089956608</v>
      </c>
      <c r="V605" s="41">
        <f t="shared" si="44"/>
        <v>-18.681394910043391</v>
      </c>
      <c r="W605" s="14"/>
      <c r="X605" s="17" t="s">
        <v>56</v>
      </c>
      <c r="Y605" s="17"/>
      <c r="Z605" s="17" t="s">
        <v>56</v>
      </c>
      <c r="AA605" s="17"/>
      <c r="AB605" s="17" t="s">
        <v>57</v>
      </c>
      <c r="AC605" s="17">
        <v>2011</v>
      </c>
      <c r="AD605" s="17"/>
      <c r="AE605" s="17">
        <v>3</v>
      </c>
      <c r="AF605" s="17"/>
      <c r="AG605" s="17">
        <v>1997</v>
      </c>
      <c r="AH605" s="14">
        <f t="shared" si="42"/>
        <v>14</v>
      </c>
      <c r="AI605" s="17">
        <f t="shared" si="43"/>
        <v>14.25</v>
      </c>
      <c r="AJ605" s="17"/>
      <c r="AK605" s="17" t="s">
        <v>56</v>
      </c>
      <c r="AL605" s="16" t="s">
        <v>1179</v>
      </c>
      <c r="AM605" s="15">
        <v>2018</v>
      </c>
      <c r="AN605" s="15" t="s">
        <v>738</v>
      </c>
      <c r="AO605" s="15" t="s">
        <v>56</v>
      </c>
      <c r="AP605" s="15"/>
      <c r="AQ605" s="15" t="s">
        <v>56</v>
      </c>
      <c r="AR605" s="15" t="s">
        <v>58</v>
      </c>
      <c r="AS605" s="15" t="s">
        <v>163</v>
      </c>
      <c r="AT605" s="12"/>
      <c r="AU605" s="45" t="s">
        <v>2639</v>
      </c>
      <c r="AV605" s="15"/>
      <c r="AW605" s="12" t="str">
        <f>B605&amp;C605&amp;L605&amp;M605&amp;O605&amp;U605&amp;AL605&amp;AM605</f>
        <v>SpainPunta JavanaDemersal non-commercialbiomassden0.813186050899566Felix-Hackradt2018</v>
      </c>
    </row>
    <row r="606" spans="1:49" ht="14.25" customHeight="1" x14ac:dyDescent="0.35">
      <c r="A606" s="12">
        <v>605</v>
      </c>
      <c r="B606" s="12" t="s">
        <v>271</v>
      </c>
      <c r="C606" s="12" t="s">
        <v>843</v>
      </c>
      <c r="D606" s="76" t="s">
        <v>2571</v>
      </c>
      <c r="E606" s="12" t="s">
        <v>844</v>
      </c>
      <c r="F606" s="13" t="s">
        <v>274</v>
      </c>
      <c r="G606" s="13" t="s">
        <v>51</v>
      </c>
      <c r="H606" s="13" t="s">
        <v>108</v>
      </c>
      <c r="I606" s="13" t="s">
        <v>53</v>
      </c>
      <c r="J606" s="17">
        <v>360</v>
      </c>
      <c r="K606" s="14"/>
      <c r="L606" s="14"/>
      <c r="M606" s="14" t="s">
        <v>852</v>
      </c>
      <c r="N606" s="42" t="s">
        <v>98</v>
      </c>
      <c r="O606" s="17" t="s">
        <v>55</v>
      </c>
      <c r="P606" s="14"/>
      <c r="Q606" s="14"/>
      <c r="R606" s="14"/>
      <c r="S606" s="14">
        <v>11</v>
      </c>
      <c r="T606" s="14">
        <v>9</v>
      </c>
      <c r="U606" s="19">
        <f t="shared" si="41"/>
        <v>0.81818181818181823</v>
      </c>
      <c r="V606" s="41">
        <f t="shared" si="44"/>
        <v>-18.181818181818176</v>
      </c>
      <c r="W606" s="14"/>
      <c r="X606" s="14" t="s">
        <v>56</v>
      </c>
      <c r="Z606" s="14" t="s">
        <v>56</v>
      </c>
      <c r="AA606" s="14"/>
      <c r="AB606" s="14" t="s">
        <v>57</v>
      </c>
      <c r="AC606" s="14">
        <v>2006</v>
      </c>
      <c r="AD606" s="14">
        <v>3</v>
      </c>
      <c r="AE606" s="14"/>
      <c r="AF606" s="14"/>
      <c r="AG606" s="14">
        <v>2006</v>
      </c>
      <c r="AH606" s="14">
        <f t="shared" si="42"/>
        <v>0</v>
      </c>
      <c r="AI606" s="17">
        <f t="shared" si="43"/>
        <v>3</v>
      </c>
      <c r="AJ606" s="14"/>
      <c r="AK606" s="14" t="s">
        <v>58</v>
      </c>
      <c r="AL606" s="13" t="s">
        <v>847</v>
      </c>
      <c r="AM606" s="12">
        <v>2013</v>
      </c>
      <c r="AN606" s="12" t="s">
        <v>848</v>
      </c>
      <c r="AO606" s="12" t="s">
        <v>56</v>
      </c>
      <c r="AP606" s="12"/>
      <c r="AQ606" s="12" t="s">
        <v>56</v>
      </c>
      <c r="AR606" s="12" t="s">
        <v>58</v>
      </c>
      <c r="AS606" s="12" t="s">
        <v>258</v>
      </c>
      <c r="AT606" s="12"/>
      <c r="AU606" s="45" t="s">
        <v>849</v>
      </c>
      <c r="AV606" s="15"/>
      <c r="AW606" s="12" t="str">
        <f>B606&amp;C606&amp;L606&amp;M606&amp;O606&amp;U606&amp;AL606&amp;AM606</f>
        <v>SwedenGotska Sandöndemersal fishrichness0.818181818181818Florin2013</v>
      </c>
    </row>
    <row r="607" spans="1:49" ht="14.25" customHeight="1" x14ac:dyDescent="0.35">
      <c r="A607" s="12">
        <v>606</v>
      </c>
      <c r="B607" s="12" t="s">
        <v>271</v>
      </c>
      <c r="C607" s="12" t="s">
        <v>843</v>
      </c>
      <c r="D607" s="77" t="s">
        <v>2571</v>
      </c>
      <c r="E607" s="12" t="s">
        <v>844</v>
      </c>
      <c r="F607" s="13" t="s">
        <v>274</v>
      </c>
      <c r="G607" s="13" t="s">
        <v>51</v>
      </c>
      <c r="H607" s="13" t="s">
        <v>108</v>
      </c>
      <c r="I607" s="13" t="s">
        <v>53</v>
      </c>
      <c r="J607" s="17">
        <v>360</v>
      </c>
      <c r="K607" s="14"/>
      <c r="L607" s="14" t="s">
        <v>845</v>
      </c>
      <c r="M607" s="14" t="s">
        <v>846</v>
      </c>
      <c r="N607" s="14" t="s">
        <v>85</v>
      </c>
      <c r="O607" s="17" t="s">
        <v>86</v>
      </c>
      <c r="P607" s="14"/>
      <c r="Q607" s="14">
        <f>(0.68+3.17)/2</f>
        <v>1.925</v>
      </c>
      <c r="R607" s="14">
        <f>(0.69+3.13)/2</f>
        <v>1.91</v>
      </c>
      <c r="S607" s="14">
        <f>(0.68+2.49)/2</f>
        <v>1.5850000000000002</v>
      </c>
      <c r="T607" s="14">
        <f>(1.26+3.63)/2</f>
        <v>2.4449999999999998</v>
      </c>
      <c r="U607" s="19">
        <f t="shared" si="41"/>
        <v>1.554701306423109</v>
      </c>
      <c r="V607" s="41">
        <f t="shared" si="44"/>
        <v>55.470130642310899</v>
      </c>
      <c r="W607" s="14"/>
      <c r="X607" s="14" t="s">
        <v>56</v>
      </c>
      <c r="Z607" s="14" t="s">
        <v>56</v>
      </c>
      <c r="AA607" s="14"/>
      <c r="AB607" s="14" t="s">
        <v>111</v>
      </c>
      <c r="AC607" s="14">
        <v>2006</v>
      </c>
      <c r="AD607" s="14">
        <v>3</v>
      </c>
      <c r="AE607" s="14"/>
      <c r="AF607" s="14"/>
      <c r="AG607" s="14">
        <v>2006</v>
      </c>
      <c r="AH607" s="14">
        <f t="shared" si="42"/>
        <v>0</v>
      </c>
      <c r="AI607" s="17">
        <f t="shared" si="43"/>
        <v>3</v>
      </c>
      <c r="AJ607" s="14"/>
      <c r="AK607" s="14" t="s">
        <v>58</v>
      </c>
      <c r="AL607" s="13" t="s">
        <v>847</v>
      </c>
      <c r="AM607" s="12">
        <v>2013</v>
      </c>
      <c r="AN607" s="12" t="s">
        <v>848</v>
      </c>
      <c r="AO607" s="12" t="s">
        <v>56</v>
      </c>
      <c r="AP607" s="12"/>
      <c r="AQ607" s="12" t="s">
        <v>56</v>
      </c>
      <c r="AR607" s="12" t="s">
        <v>58</v>
      </c>
      <c r="AS607" s="12" t="s">
        <v>258</v>
      </c>
      <c r="AT607" s="12"/>
      <c r="AU607" s="45" t="s">
        <v>849</v>
      </c>
      <c r="AV607" s="15"/>
      <c r="AW607" s="12" t="str">
        <f>B607&amp;C607&amp;L607&amp;M607&amp;O607&amp;U607&amp;AL607&amp;AM607</f>
        <v>SwedenGotska SandönScophthalmus maximusturbotdensity1.55470130642311Florin2013</v>
      </c>
    </row>
    <row r="608" spans="1:49" ht="14.25" customHeight="1" x14ac:dyDescent="0.35">
      <c r="A608" s="12">
        <v>607</v>
      </c>
      <c r="B608" s="15" t="s">
        <v>271</v>
      </c>
      <c r="C608" s="12" t="s">
        <v>843</v>
      </c>
      <c r="D608" s="77" t="s">
        <v>2571</v>
      </c>
      <c r="E608" s="15" t="s">
        <v>844</v>
      </c>
      <c r="F608" s="13" t="s">
        <v>274</v>
      </c>
      <c r="G608" s="16" t="s">
        <v>51</v>
      </c>
      <c r="H608" s="16" t="s">
        <v>108</v>
      </c>
      <c r="I608" s="16" t="s">
        <v>53</v>
      </c>
      <c r="J608" s="17">
        <v>360</v>
      </c>
      <c r="K608" s="17"/>
      <c r="L608" s="17" t="s">
        <v>850</v>
      </c>
      <c r="M608" s="17" t="s">
        <v>851</v>
      </c>
      <c r="N608" s="17" t="s">
        <v>85</v>
      </c>
      <c r="O608" s="17" t="s">
        <v>86</v>
      </c>
      <c r="P608" s="17"/>
      <c r="Q608" s="17">
        <f>(1.05+2.06)/2</f>
        <v>1.5550000000000002</v>
      </c>
      <c r="R608" s="17">
        <f>(1.86+2.06)/2</f>
        <v>1.96</v>
      </c>
      <c r="S608" s="17">
        <f>(1.27+1.32)/2</f>
        <v>1.2949999999999999</v>
      </c>
      <c r="T608" s="17">
        <f>(1.91+2.74)/2</f>
        <v>2.3250000000000002</v>
      </c>
      <c r="U608" s="20">
        <f t="shared" si="41"/>
        <v>1.4243853912221263</v>
      </c>
      <c r="V608" s="41">
        <f t="shared" si="44"/>
        <v>42.438539122212624</v>
      </c>
      <c r="W608" s="17"/>
      <c r="X608" s="17" t="s">
        <v>56</v>
      </c>
      <c r="Z608" s="14" t="s">
        <v>56</v>
      </c>
      <c r="AA608" s="14"/>
      <c r="AB608" s="17" t="s">
        <v>111</v>
      </c>
      <c r="AC608" s="17">
        <v>2006</v>
      </c>
      <c r="AD608" s="17">
        <v>3</v>
      </c>
      <c r="AE608" s="17"/>
      <c r="AF608" s="17"/>
      <c r="AG608" s="17">
        <v>2006</v>
      </c>
      <c r="AH608" s="14">
        <f t="shared" si="42"/>
        <v>0</v>
      </c>
      <c r="AI608" s="17">
        <f t="shared" si="43"/>
        <v>3</v>
      </c>
      <c r="AJ608" s="17"/>
      <c r="AK608" s="17" t="s">
        <v>58</v>
      </c>
      <c r="AL608" s="16" t="s">
        <v>847</v>
      </c>
      <c r="AM608" s="15">
        <v>2013</v>
      </c>
      <c r="AN608" s="15" t="s">
        <v>848</v>
      </c>
      <c r="AO608" s="15" t="s">
        <v>56</v>
      </c>
      <c r="AP608" s="15"/>
      <c r="AQ608" s="15" t="s">
        <v>56</v>
      </c>
      <c r="AR608" s="15" t="s">
        <v>58</v>
      </c>
      <c r="AS608" s="15" t="s">
        <v>258</v>
      </c>
      <c r="AT608" s="15"/>
      <c r="AU608" s="45" t="s">
        <v>849</v>
      </c>
      <c r="AV608" s="15"/>
      <c r="AW608" s="12" t="str">
        <f>B608&amp;C608&amp;L608&amp;M608&amp;O608&amp;U608&amp;AL608&amp;AM608</f>
        <v>SwedenGotska SandönPlatichthys flesusflounderdensity1.42438539122213Florin2013</v>
      </c>
    </row>
    <row r="609" spans="1:49" ht="14.25" customHeight="1" x14ac:dyDescent="0.35">
      <c r="A609" s="12">
        <v>608</v>
      </c>
      <c r="B609" s="12" t="s">
        <v>796</v>
      </c>
      <c r="C609" s="12" t="s">
        <v>739</v>
      </c>
      <c r="D609" s="12" t="s">
        <v>739</v>
      </c>
      <c r="E609" s="12" t="s">
        <v>743</v>
      </c>
      <c r="F609" s="13" t="s">
        <v>50</v>
      </c>
      <c r="G609" s="13" t="s">
        <v>51</v>
      </c>
      <c r="H609" s="13" t="s">
        <v>108</v>
      </c>
      <c r="I609" s="13" t="s">
        <v>156</v>
      </c>
      <c r="J609" s="14">
        <v>442</v>
      </c>
      <c r="K609" s="17"/>
      <c r="L609" s="14" t="s">
        <v>744</v>
      </c>
      <c r="M609" s="14" t="s">
        <v>745</v>
      </c>
      <c r="N609" s="14" t="s">
        <v>85</v>
      </c>
      <c r="O609" s="17" t="s">
        <v>70</v>
      </c>
      <c r="P609" s="14"/>
      <c r="Q609" s="14"/>
      <c r="R609" s="14"/>
      <c r="S609" s="14">
        <v>851.71400000000006</v>
      </c>
      <c r="T609" s="14">
        <v>2444.9</v>
      </c>
      <c r="U609" s="19">
        <f t="shared" si="41"/>
        <v>2.8705645322256061</v>
      </c>
      <c r="V609" s="41">
        <f t="shared" si="44"/>
        <v>187.05645322256061</v>
      </c>
      <c r="W609" s="14"/>
      <c r="X609" s="14" t="s">
        <v>56</v>
      </c>
      <c r="Z609" s="14" t="s">
        <v>56</v>
      </c>
      <c r="AA609" s="14"/>
      <c r="AB609" s="14" t="s">
        <v>57</v>
      </c>
      <c r="AC609" s="14">
        <v>2004</v>
      </c>
      <c r="AD609" s="17">
        <v>0</v>
      </c>
      <c r="AE609" s="14"/>
      <c r="AF609" s="14"/>
      <c r="AG609" s="14">
        <v>1958</v>
      </c>
      <c r="AH609" s="14">
        <f t="shared" si="42"/>
        <v>46</v>
      </c>
      <c r="AI609" s="17">
        <f t="shared" si="43"/>
        <v>46</v>
      </c>
      <c r="AJ609" s="14"/>
      <c r="AK609" s="14" t="s">
        <v>56</v>
      </c>
      <c r="AL609" s="13" t="s">
        <v>746</v>
      </c>
      <c r="AM609" s="12">
        <v>2008</v>
      </c>
      <c r="AN609" s="15" t="s">
        <v>747</v>
      </c>
      <c r="AO609" s="12" t="s">
        <v>56</v>
      </c>
      <c r="AP609" s="12"/>
      <c r="AQ609" s="12" t="s">
        <v>56</v>
      </c>
      <c r="AR609" s="12" t="s">
        <v>58</v>
      </c>
      <c r="AS609" s="12" t="s">
        <v>94</v>
      </c>
      <c r="AT609" s="12"/>
      <c r="AU609" s="45"/>
      <c r="AV609" s="15"/>
      <c r="AW609" s="12" t="str">
        <f>B609&amp;C609&amp;L609&amp;M609&amp;O609&amp;U609&amp;AL609&amp;AM609</f>
        <v>The BahamasExuma Cays Land and Sea ParkEpinephelus striatusnassau grouperbiomassden2.87056453222561Harborne2008</v>
      </c>
    </row>
    <row r="610" spans="1:49" ht="14.25" customHeight="1" x14ac:dyDescent="0.35">
      <c r="A610" s="12">
        <v>609</v>
      </c>
      <c r="B610" s="15" t="s">
        <v>796</v>
      </c>
      <c r="C610" s="12" t="s">
        <v>739</v>
      </c>
      <c r="D610" s="12" t="s">
        <v>739</v>
      </c>
      <c r="E610" s="15" t="s">
        <v>743</v>
      </c>
      <c r="F610" s="16" t="s">
        <v>50</v>
      </c>
      <c r="G610" s="16" t="s">
        <v>51</v>
      </c>
      <c r="H610" s="16" t="s">
        <v>108</v>
      </c>
      <c r="I610" s="16" t="s">
        <v>156</v>
      </c>
      <c r="J610" s="17">
        <v>442</v>
      </c>
      <c r="K610" s="17"/>
      <c r="L610" s="17" t="s">
        <v>748</v>
      </c>
      <c r="M610" s="17" t="s">
        <v>749</v>
      </c>
      <c r="N610" s="17" t="s">
        <v>85</v>
      </c>
      <c r="O610" s="17" t="s">
        <v>70</v>
      </c>
      <c r="P610" s="17"/>
      <c r="Q610" s="17"/>
      <c r="R610" s="17"/>
      <c r="S610" s="17">
        <v>166.83</v>
      </c>
      <c r="T610" s="17">
        <v>1512.9</v>
      </c>
      <c r="U610" s="20">
        <f t="shared" si="41"/>
        <v>9.0685128573997478</v>
      </c>
      <c r="V610" s="41">
        <f t="shared" si="44"/>
        <v>806.85128573997474</v>
      </c>
      <c r="W610" s="17"/>
      <c r="X610" s="17" t="s">
        <v>56</v>
      </c>
      <c r="Z610" s="14" t="s">
        <v>56</v>
      </c>
      <c r="AA610" s="14"/>
      <c r="AB610" s="17" t="s">
        <v>57</v>
      </c>
      <c r="AC610" s="17">
        <v>2004</v>
      </c>
      <c r="AD610" s="17">
        <v>0</v>
      </c>
      <c r="AE610" s="17"/>
      <c r="AF610" s="17"/>
      <c r="AG610" s="17">
        <v>1958</v>
      </c>
      <c r="AH610" s="14">
        <f t="shared" si="42"/>
        <v>46</v>
      </c>
      <c r="AI610" s="17">
        <f t="shared" si="43"/>
        <v>46</v>
      </c>
      <c r="AJ610" s="17"/>
      <c r="AK610" s="17" t="s">
        <v>56</v>
      </c>
      <c r="AL610" s="16" t="s">
        <v>746</v>
      </c>
      <c r="AM610" s="15">
        <v>2008</v>
      </c>
      <c r="AN610" s="15" t="s">
        <v>747</v>
      </c>
      <c r="AO610" s="15" t="s">
        <v>56</v>
      </c>
      <c r="AP610" s="15"/>
      <c r="AQ610" s="15" t="s">
        <v>56</v>
      </c>
      <c r="AR610" s="15" t="s">
        <v>58</v>
      </c>
      <c r="AS610" s="15" t="s">
        <v>94</v>
      </c>
      <c r="AT610" s="15"/>
      <c r="AU610" s="45"/>
      <c r="AV610" s="15"/>
      <c r="AW610" s="12" t="str">
        <f>B610&amp;C610&amp;L610&amp;M610&amp;O610&amp;U610&amp;AL610&amp;AM610</f>
        <v>The BahamasExuma Cays Land and Sea ParkMycteroperca tigristiger grouperbiomassden9.06851285739975Harborne2008</v>
      </c>
    </row>
    <row r="611" spans="1:49" ht="14.25" customHeight="1" x14ac:dyDescent="0.35">
      <c r="A611" s="12">
        <v>610</v>
      </c>
      <c r="B611" s="12" t="s">
        <v>796</v>
      </c>
      <c r="C611" s="12" t="s">
        <v>739</v>
      </c>
      <c r="D611" s="12" t="s">
        <v>739</v>
      </c>
      <c r="E611" s="12" t="s">
        <v>743</v>
      </c>
      <c r="F611" s="13" t="s">
        <v>50</v>
      </c>
      <c r="G611" s="13" t="s">
        <v>51</v>
      </c>
      <c r="H611" s="13" t="s">
        <v>108</v>
      </c>
      <c r="I611" s="13" t="s">
        <v>156</v>
      </c>
      <c r="J611" s="14">
        <v>442</v>
      </c>
      <c r="K611" s="17"/>
      <c r="L611" s="14" t="s">
        <v>750</v>
      </c>
      <c r="M611" s="14" t="s">
        <v>751</v>
      </c>
      <c r="N611" s="14" t="s">
        <v>85</v>
      </c>
      <c r="O611" s="17" t="s">
        <v>70</v>
      </c>
      <c r="P611" s="14"/>
      <c r="Q611" s="14"/>
      <c r="R611" s="14"/>
      <c r="S611" s="14">
        <v>0</v>
      </c>
      <c r="T611" s="14">
        <v>753.6</v>
      </c>
      <c r="U611" s="19" t="str">
        <f t="shared" si="41"/>
        <v>N/A</v>
      </c>
      <c r="V611" s="41" t="str">
        <f t="shared" si="44"/>
        <v>N/A</v>
      </c>
      <c r="W611" s="14"/>
      <c r="X611" s="14" t="s">
        <v>56</v>
      </c>
      <c r="Z611" s="14" t="s">
        <v>56</v>
      </c>
      <c r="AA611" s="14"/>
      <c r="AB611" s="14" t="s">
        <v>57</v>
      </c>
      <c r="AC611" s="14">
        <v>2004</v>
      </c>
      <c r="AD611" s="17">
        <v>0</v>
      </c>
      <c r="AE611" s="14"/>
      <c r="AF611" s="14"/>
      <c r="AG611" s="14">
        <v>1958</v>
      </c>
      <c r="AH611" s="14">
        <f t="shared" si="42"/>
        <v>46</v>
      </c>
      <c r="AI611" s="17">
        <f t="shared" si="43"/>
        <v>46</v>
      </c>
      <c r="AJ611" s="14"/>
      <c r="AK611" s="14" t="s">
        <v>56</v>
      </c>
      <c r="AL611" s="13" t="s">
        <v>746</v>
      </c>
      <c r="AM611" s="12">
        <v>2008</v>
      </c>
      <c r="AN611" s="15" t="s">
        <v>747</v>
      </c>
      <c r="AO611" s="12" t="s">
        <v>56</v>
      </c>
      <c r="AP611" s="12"/>
      <c r="AQ611" s="12" t="s">
        <v>56</v>
      </c>
      <c r="AR611" s="12" t="s">
        <v>58</v>
      </c>
      <c r="AS611" s="12" t="s">
        <v>94</v>
      </c>
      <c r="AT611" s="12"/>
      <c r="AU611" s="45"/>
      <c r="AV611" s="15"/>
      <c r="AW611" s="12" t="str">
        <f>B611&amp;C611&amp;L611&amp;M611&amp;O611&amp;U611&amp;AL611&amp;AM611</f>
        <v>The BahamasExuma Cays Land and Sea Park Mycteroperca venenosayellowfin grouperbiomassdenN/AHarborne2008</v>
      </c>
    </row>
    <row r="612" spans="1:49" ht="14.25" customHeight="1" x14ac:dyDescent="0.35">
      <c r="A612" s="12">
        <v>611</v>
      </c>
      <c r="B612" s="15" t="s">
        <v>796</v>
      </c>
      <c r="C612" s="12" t="s">
        <v>739</v>
      </c>
      <c r="D612" s="12" t="s">
        <v>739</v>
      </c>
      <c r="E612" s="15" t="s">
        <v>743</v>
      </c>
      <c r="F612" s="16" t="s">
        <v>50</v>
      </c>
      <c r="G612" s="16" t="s">
        <v>51</v>
      </c>
      <c r="H612" s="16" t="s">
        <v>108</v>
      </c>
      <c r="I612" s="16" t="s">
        <v>156</v>
      </c>
      <c r="J612" s="17">
        <v>442</v>
      </c>
      <c r="K612" s="17"/>
      <c r="L612" s="17" t="s">
        <v>752</v>
      </c>
      <c r="M612" s="17" t="s">
        <v>753</v>
      </c>
      <c r="N612" s="17" t="s">
        <v>85</v>
      </c>
      <c r="O612" s="17" t="s">
        <v>70</v>
      </c>
      <c r="P612" s="17"/>
      <c r="Q612" s="17"/>
      <c r="R612" s="17"/>
      <c r="S612" s="17">
        <v>0</v>
      </c>
      <c r="T612" s="17">
        <v>51.774000000000001</v>
      </c>
      <c r="U612" s="20" t="str">
        <f t="shared" si="41"/>
        <v>N/A</v>
      </c>
      <c r="V612" s="41" t="str">
        <f t="shared" si="44"/>
        <v>N/A</v>
      </c>
      <c r="W612" s="17"/>
      <c r="X612" s="17" t="s">
        <v>56</v>
      </c>
      <c r="Y612" s="17"/>
      <c r="Z612" s="14" t="s">
        <v>56</v>
      </c>
      <c r="AA612" s="14"/>
      <c r="AB612" s="17" t="s">
        <v>57</v>
      </c>
      <c r="AC612" s="17">
        <v>2004</v>
      </c>
      <c r="AD612" s="17">
        <v>0</v>
      </c>
      <c r="AE612" s="17"/>
      <c r="AF612" s="17"/>
      <c r="AG612" s="17">
        <v>1958</v>
      </c>
      <c r="AH612" s="14">
        <f t="shared" si="42"/>
        <v>46</v>
      </c>
      <c r="AI612" s="17">
        <f t="shared" si="43"/>
        <v>46</v>
      </c>
      <c r="AJ612" s="17"/>
      <c r="AK612" s="17" t="s">
        <v>56</v>
      </c>
      <c r="AL612" s="16" t="s">
        <v>746</v>
      </c>
      <c r="AM612" s="15">
        <v>2008</v>
      </c>
      <c r="AN612" s="15" t="s">
        <v>747</v>
      </c>
      <c r="AO612" s="15" t="s">
        <v>56</v>
      </c>
      <c r="AP612" s="15"/>
      <c r="AQ612" s="15" t="s">
        <v>56</v>
      </c>
      <c r="AR612" s="15" t="s">
        <v>58</v>
      </c>
      <c r="AS612" s="15" t="s">
        <v>94</v>
      </c>
      <c r="AT612" s="15"/>
      <c r="AU612" s="45"/>
      <c r="AV612" s="15"/>
      <c r="AW612" s="12" t="str">
        <f>B612&amp;C612&amp;L612&amp;M612&amp;O612&amp;U612&amp;AL612&amp;AM612</f>
        <v>The BahamasExuma Cays Land and Sea ParkMycteroperca bonaciblack grouperbiomassdenN/AHarborne2008</v>
      </c>
    </row>
    <row r="613" spans="1:49" ht="14.25" customHeight="1" x14ac:dyDescent="0.35">
      <c r="A613" s="12">
        <v>612</v>
      </c>
      <c r="B613" s="15" t="s">
        <v>796</v>
      </c>
      <c r="C613" s="12" t="s">
        <v>739</v>
      </c>
      <c r="D613" s="12" t="s">
        <v>739</v>
      </c>
      <c r="E613" s="15" t="s">
        <v>743</v>
      </c>
      <c r="F613" s="13" t="s">
        <v>50</v>
      </c>
      <c r="G613" s="13" t="s">
        <v>51</v>
      </c>
      <c r="H613" s="16" t="s">
        <v>108</v>
      </c>
      <c r="I613" s="16" t="s">
        <v>156</v>
      </c>
      <c r="J613" s="17">
        <v>442</v>
      </c>
      <c r="K613" s="17"/>
      <c r="L613" s="17" t="s">
        <v>754</v>
      </c>
      <c r="M613" s="17" t="s">
        <v>755</v>
      </c>
      <c r="N613" s="17" t="s">
        <v>85</v>
      </c>
      <c r="O613" s="17" t="s">
        <v>70</v>
      </c>
      <c r="P613" s="17"/>
      <c r="Q613" s="17"/>
      <c r="R613" s="17"/>
      <c r="S613" s="17">
        <v>0</v>
      </c>
      <c r="T613" s="17">
        <v>40.268000000000001</v>
      </c>
      <c r="U613" s="20" t="str">
        <f t="shared" si="41"/>
        <v>N/A</v>
      </c>
      <c r="V613" s="41" t="str">
        <f t="shared" si="44"/>
        <v>N/A</v>
      </c>
      <c r="W613" s="17"/>
      <c r="X613" s="17" t="s">
        <v>56</v>
      </c>
      <c r="Y613" s="17"/>
      <c r="Z613" s="17" t="s">
        <v>56</v>
      </c>
      <c r="AA613" s="17"/>
      <c r="AB613" s="17" t="s">
        <v>57</v>
      </c>
      <c r="AC613" s="17">
        <v>2004</v>
      </c>
      <c r="AD613" s="17">
        <v>0</v>
      </c>
      <c r="AE613" s="17"/>
      <c r="AF613" s="17"/>
      <c r="AG613" s="17">
        <v>1958</v>
      </c>
      <c r="AH613" s="14">
        <f t="shared" si="42"/>
        <v>46</v>
      </c>
      <c r="AI613" s="17">
        <f t="shared" si="43"/>
        <v>46</v>
      </c>
      <c r="AJ613" s="17"/>
      <c r="AK613" s="17" t="s">
        <v>56</v>
      </c>
      <c r="AL613" s="16" t="s">
        <v>746</v>
      </c>
      <c r="AM613" s="15">
        <v>2008</v>
      </c>
      <c r="AN613" s="15" t="s">
        <v>747</v>
      </c>
      <c r="AO613" s="15" t="s">
        <v>56</v>
      </c>
      <c r="AP613" s="15"/>
      <c r="AQ613" s="15" t="s">
        <v>56</v>
      </c>
      <c r="AR613" s="15" t="s">
        <v>58</v>
      </c>
      <c r="AS613" s="15" t="s">
        <v>94</v>
      </c>
      <c r="AT613" s="15"/>
      <c r="AU613" s="45"/>
      <c r="AV613" s="15"/>
      <c r="AW613" s="12" t="str">
        <f>B613&amp;C613&amp;L613&amp;M613&amp;O613&amp;U613&amp;AL613&amp;AM613</f>
        <v>The BahamasExuma Cays Land and Sea ParkMycteroperca interstitialisyellowmouth grouperbiomassdenN/AHarborne2008</v>
      </c>
    </row>
    <row r="614" spans="1:49" ht="14.25" customHeight="1" x14ac:dyDescent="0.35">
      <c r="A614" s="12">
        <v>613</v>
      </c>
      <c r="B614" s="15" t="s">
        <v>1624</v>
      </c>
      <c r="C614" s="44" t="s">
        <v>2725</v>
      </c>
      <c r="D614" s="44" t="s">
        <v>2725</v>
      </c>
      <c r="E614" s="15" t="s">
        <v>2836</v>
      </c>
      <c r="F614" s="13" t="s">
        <v>480</v>
      </c>
      <c r="G614" s="13" t="s">
        <v>51</v>
      </c>
      <c r="H614" s="16" t="s">
        <v>984</v>
      </c>
      <c r="I614" s="16" t="s">
        <v>53</v>
      </c>
      <c r="J614" s="17"/>
      <c r="K614" s="17">
        <v>500</v>
      </c>
      <c r="L614" s="17" t="s">
        <v>1883</v>
      </c>
      <c r="M614" s="17" t="s">
        <v>1884</v>
      </c>
      <c r="N614" s="17" t="s">
        <v>85</v>
      </c>
      <c r="O614" s="17" t="s">
        <v>104</v>
      </c>
      <c r="P614" s="17" t="s">
        <v>1885</v>
      </c>
      <c r="Q614" s="17">
        <v>3780</v>
      </c>
      <c r="R614" s="17">
        <v>3500</v>
      </c>
      <c r="S614" s="17">
        <v>3080</v>
      </c>
      <c r="T614" s="17">
        <v>3000</v>
      </c>
      <c r="U614" s="20">
        <f t="shared" si="41"/>
        <v>1.051948051948052</v>
      </c>
      <c r="V614" s="41">
        <f t="shared" si="44"/>
        <v>5.1948051948051965</v>
      </c>
      <c r="W614" s="17"/>
      <c r="X614" s="17" t="s">
        <v>56</v>
      </c>
      <c r="Y614" s="17"/>
      <c r="Z614" s="17" t="s">
        <v>56</v>
      </c>
      <c r="AA614" s="17"/>
      <c r="AB614" s="17" t="s">
        <v>111</v>
      </c>
      <c r="AC614" s="17">
        <v>2008</v>
      </c>
      <c r="AD614" s="17">
        <v>2</v>
      </c>
      <c r="AE614" s="17"/>
      <c r="AF614" s="17"/>
      <c r="AG614" s="17">
        <v>2009</v>
      </c>
      <c r="AH614" s="14">
        <f t="shared" si="42"/>
        <v>-1</v>
      </c>
      <c r="AI614" s="17">
        <f t="shared" si="43"/>
        <v>1</v>
      </c>
      <c r="AJ614" s="17"/>
      <c r="AK614" s="17" t="s">
        <v>58</v>
      </c>
      <c r="AL614" s="16" t="s">
        <v>1886</v>
      </c>
      <c r="AM614" s="15">
        <v>2012</v>
      </c>
      <c r="AN614" s="15" t="s">
        <v>263</v>
      </c>
      <c r="AO614" s="15" t="s">
        <v>56</v>
      </c>
      <c r="AP614" s="15"/>
      <c r="AQ614" s="15" t="s">
        <v>56</v>
      </c>
      <c r="AR614" s="15" t="s">
        <v>58</v>
      </c>
      <c r="AS614" s="15" t="s">
        <v>94</v>
      </c>
      <c r="AT614" s="15" t="s">
        <v>2724</v>
      </c>
      <c r="AU614" s="45"/>
      <c r="AV614" s="15"/>
      <c r="AW614" s="12" t="str">
        <f>B614&amp;C614&amp;L614&amp;M614&amp;O614&amp;U614&amp;AL614&amp;AM614</f>
        <v>South AfricaSt. Croix Island Temp ReserveSpheniscus demersusAfrican penguinssize1.05194805194805Pichegru2012</v>
      </c>
    </row>
    <row r="615" spans="1:49" ht="14.25" customHeight="1" x14ac:dyDescent="0.35">
      <c r="A615" s="12">
        <v>614</v>
      </c>
      <c r="B615" s="15" t="s">
        <v>1624</v>
      </c>
      <c r="C615" s="44" t="s">
        <v>2725</v>
      </c>
      <c r="D615" s="44" t="s">
        <v>2725</v>
      </c>
      <c r="E615" s="12" t="s">
        <v>2836</v>
      </c>
      <c r="F615" s="13" t="s">
        <v>480</v>
      </c>
      <c r="G615" s="13" t="s">
        <v>51</v>
      </c>
      <c r="H615" s="16" t="s">
        <v>984</v>
      </c>
      <c r="I615" s="16" t="s">
        <v>53</v>
      </c>
      <c r="J615" s="17"/>
      <c r="K615" s="17">
        <v>500</v>
      </c>
      <c r="L615" s="17" t="s">
        <v>1883</v>
      </c>
      <c r="M615" s="17" t="s">
        <v>1884</v>
      </c>
      <c r="N615" s="17" t="s">
        <v>85</v>
      </c>
      <c r="O615" s="17" t="s">
        <v>86</v>
      </c>
      <c r="P615" s="17"/>
      <c r="Q615" s="17">
        <v>30</v>
      </c>
      <c r="R615" s="17">
        <v>18</v>
      </c>
      <c r="S615" s="17">
        <v>31</v>
      </c>
      <c r="T615" s="17">
        <v>21</v>
      </c>
      <c r="U615" s="19">
        <f t="shared" si="41"/>
        <v>1.129032258064516</v>
      </c>
      <c r="V615" s="41">
        <f t="shared" si="44"/>
        <v>12.903225806451601</v>
      </c>
      <c r="W615" s="14"/>
      <c r="X615" s="17" t="s">
        <v>56</v>
      </c>
      <c r="Y615" s="17"/>
      <c r="Z615" s="17" t="s">
        <v>56</v>
      </c>
      <c r="AA615" s="17"/>
      <c r="AB615" s="17" t="s">
        <v>111</v>
      </c>
      <c r="AC615" s="17">
        <v>2008</v>
      </c>
      <c r="AD615" s="17">
        <v>2</v>
      </c>
      <c r="AE615" s="17"/>
      <c r="AF615" s="17"/>
      <c r="AG615" s="17">
        <v>2009</v>
      </c>
      <c r="AH615" s="14">
        <f t="shared" si="42"/>
        <v>-1</v>
      </c>
      <c r="AI615" s="17">
        <f t="shared" si="43"/>
        <v>1</v>
      </c>
      <c r="AJ615" s="17"/>
      <c r="AK615" s="17" t="s">
        <v>58</v>
      </c>
      <c r="AL615" s="16" t="s">
        <v>1886</v>
      </c>
      <c r="AM615" s="15">
        <v>2012</v>
      </c>
      <c r="AN615" s="15" t="s">
        <v>263</v>
      </c>
      <c r="AO615" s="15" t="s">
        <v>56</v>
      </c>
      <c r="AP615" s="15"/>
      <c r="AQ615" s="15" t="s">
        <v>56</v>
      </c>
      <c r="AR615" s="15" t="s">
        <v>58</v>
      </c>
      <c r="AS615" s="15" t="s">
        <v>94</v>
      </c>
      <c r="AT615" s="12" t="s">
        <v>2724</v>
      </c>
      <c r="AU615" s="45"/>
      <c r="AV615" s="15"/>
      <c r="AW615" s="12" t="str">
        <f>B615&amp;C615&amp;L615&amp;M615&amp;O615&amp;U615&amp;AL615&amp;AM615</f>
        <v>South AfricaSt. Croix Island Temp ReserveSpheniscus demersusAfrican penguinsdensity1.12903225806452Pichegru2012</v>
      </c>
    </row>
    <row r="616" spans="1:49" ht="14" customHeight="1" x14ac:dyDescent="0.35">
      <c r="A616" s="12">
        <v>615</v>
      </c>
      <c r="B616" s="15" t="s">
        <v>1519</v>
      </c>
      <c r="C616" s="12" t="s">
        <v>2693</v>
      </c>
      <c r="D616" s="12" t="s">
        <v>1520</v>
      </c>
      <c r="E616" s="12"/>
      <c r="F616" s="16" t="s">
        <v>274</v>
      </c>
      <c r="G616" s="16" t="s">
        <v>428</v>
      </c>
      <c r="H616" s="16" t="s">
        <v>984</v>
      </c>
      <c r="I616" s="16" t="s">
        <v>53</v>
      </c>
      <c r="J616" s="17">
        <v>28000</v>
      </c>
      <c r="K616" s="17"/>
      <c r="L616" s="17"/>
      <c r="M616" s="17" t="s">
        <v>69</v>
      </c>
      <c r="N616" s="53" t="s">
        <v>98</v>
      </c>
      <c r="O616" s="17" t="s">
        <v>86</v>
      </c>
      <c r="P616" s="17"/>
      <c r="Q616" s="17">
        <v>0.61985000000000001</v>
      </c>
      <c r="R616" s="17">
        <v>0.59236999999999995</v>
      </c>
      <c r="S616" s="17">
        <v>0.81221500000000002</v>
      </c>
      <c r="T616" s="17">
        <v>1.0748</v>
      </c>
      <c r="U616" s="19">
        <f t="shared" si="41"/>
        <v>1.384682493701533</v>
      </c>
      <c r="V616" s="41">
        <f t="shared" si="44"/>
        <v>38.468249370153295</v>
      </c>
      <c r="W616" s="14"/>
      <c r="X616" s="17" t="s">
        <v>56</v>
      </c>
      <c r="Y616" s="17"/>
      <c r="Z616" s="17" t="s">
        <v>56</v>
      </c>
      <c r="AA616" s="17"/>
      <c r="AB616" s="17" t="s">
        <v>111</v>
      </c>
      <c r="AC616" s="17">
        <v>1996</v>
      </c>
      <c r="AD616" s="17">
        <v>9</v>
      </c>
      <c r="AE616" s="17"/>
      <c r="AF616" s="17"/>
      <c r="AG616" s="17">
        <v>1997</v>
      </c>
      <c r="AH616" s="14">
        <f t="shared" si="42"/>
        <v>-1</v>
      </c>
      <c r="AI616" s="17">
        <f t="shared" si="43"/>
        <v>8</v>
      </c>
      <c r="AJ616" s="17"/>
      <c r="AK616" s="17" t="s">
        <v>58</v>
      </c>
      <c r="AL616" s="16" t="s">
        <v>1521</v>
      </c>
      <c r="AM616" s="15">
        <v>2013</v>
      </c>
      <c r="AN616" s="12" t="s">
        <v>1193</v>
      </c>
      <c r="AO616" s="15" t="s">
        <v>56</v>
      </c>
      <c r="AP616" s="15"/>
      <c r="AQ616" s="15" t="s">
        <v>56</v>
      </c>
      <c r="AR616" s="15" t="s">
        <v>58</v>
      </c>
      <c r="AS616" s="15" t="s">
        <v>94</v>
      </c>
      <c r="AT616" s="12"/>
      <c r="AU616" s="45"/>
      <c r="AV616" s="15"/>
      <c r="AW616" s="12" t="str">
        <f>B616&amp;C616&amp;L616&amp;M616&amp;O616&amp;U616&amp;AL616&amp;AM616</f>
        <v>ArgentinaPatagonian MPAfishdensity1.38468249370153Alemany2013</v>
      </c>
    </row>
    <row r="617" spans="1:49" ht="14.25" customHeight="1" x14ac:dyDescent="0.35">
      <c r="A617" s="12">
        <v>616</v>
      </c>
      <c r="B617" s="15" t="s">
        <v>1519</v>
      </c>
      <c r="C617" s="12" t="s">
        <v>2693</v>
      </c>
      <c r="D617" s="12" t="s">
        <v>1520</v>
      </c>
      <c r="E617" s="12"/>
      <c r="F617" s="16" t="s">
        <v>274</v>
      </c>
      <c r="G617" s="16" t="s">
        <v>428</v>
      </c>
      <c r="H617" s="16" t="s">
        <v>984</v>
      </c>
      <c r="I617" s="16" t="s">
        <v>53</v>
      </c>
      <c r="J617" s="17">
        <v>28000</v>
      </c>
      <c r="K617" s="17"/>
      <c r="L617" s="17" t="s">
        <v>1522</v>
      </c>
      <c r="M617" s="17" t="s">
        <v>1523</v>
      </c>
      <c r="N617" s="17" t="s">
        <v>85</v>
      </c>
      <c r="O617" s="17" t="s">
        <v>86</v>
      </c>
      <c r="P617" s="17"/>
      <c r="Q617" s="17">
        <v>0.44615500000000002</v>
      </c>
      <c r="R617" s="17">
        <v>0.53846000000000005</v>
      </c>
      <c r="S617" s="17">
        <v>0.48461500000000002</v>
      </c>
      <c r="T617" s="17">
        <v>0.89231000000000005</v>
      </c>
      <c r="U617" s="19">
        <f t="shared" si="41"/>
        <v>1.5256370437156797</v>
      </c>
      <c r="V617" s="41">
        <f t="shared" si="44"/>
        <v>52.563704371567965</v>
      </c>
      <c r="W617" s="14"/>
      <c r="X617" s="17" t="s">
        <v>56</v>
      </c>
      <c r="Y617" s="17"/>
      <c r="Z617" s="17" t="s">
        <v>56</v>
      </c>
      <c r="AA617" s="17"/>
      <c r="AB617" s="17" t="s">
        <v>111</v>
      </c>
      <c r="AC617" s="17">
        <v>1996</v>
      </c>
      <c r="AD617" s="17">
        <v>9</v>
      </c>
      <c r="AE617" s="17"/>
      <c r="AF617" s="17"/>
      <c r="AG617" s="17">
        <v>1997</v>
      </c>
      <c r="AH617" s="14">
        <f t="shared" si="42"/>
        <v>-1</v>
      </c>
      <c r="AI617" s="17">
        <f t="shared" si="43"/>
        <v>8</v>
      </c>
      <c r="AJ617" s="17"/>
      <c r="AK617" s="17" t="s">
        <v>58</v>
      </c>
      <c r="AL617" s="16" t="s">
        <v>1521</v>
      </c>
      <c r="AM617" s="15">
        <v>2013</v>
      </c>
      <c r="AN617" s="12" t="s">
        <v>1193</v>
      </c>
      <c r="AO617" s="15" t="s">
        <v>56</v>
      </c>
      <c r="AP617" s="15"/>
      <c r="AQ617" s="15" t="s">
        <v>56</v>
      </c>
      <c r="AR617" s="15" t="s">
        <v>58</v>
      </c>
      <c r="AS617" s="15" t="s">
        <v>94</v>
      </c>
      <c r="AT617" s="12"/>
      <c r="AU617" s="45"/>
      <c r="AV617" s="15"/>
      <c r="AW617" s="12" t="str">
        <f>B617&amp;C617&amp;L617&amp;M617&amp;O617&amp;U617&amp;AL617&amp;AM617</f>
        <v>ArgentinaPatagonian MPAMerluccius hubbsiArgenine hakedensity1.52563704371568Alemany2013</v>
      </c>
    </row>
    <row r="618" spans="1:49" ht="14.25" customHeight="1" x14ac:dyDescent="0.35">
      <c r="A618" s="12">
        <v>617</v>
      </c>
      <c r="B618" s="15" t="s">
        <v>1519</v>
      </c>
      <c r="C618" s="12" t="s">
        <v>2693</v>
      </c>
      <c r="D618" s="12" t="s">
        <v>1520</v>
      </c>
      <c r="E618" s="15"/>
      <c r="F618" s="16" t="s">
        <v>274</v>
      </c>
      <c r="G618" s="16" t="s">
        <v>428</v>
      </c>
      <c r="H618" s="16" t="s">
        <v>984</v>
      </c>
      <c r="I618" s="16" t="s">
        <v>53</v>
      </c>
      <c r="J618" s="17">
        <v>28000</v>
      </c>
      <c r="K618" s="17"/>
      <c r="L618" s="17"/>
      <c r="M618" s="17" t="s">
        <v>1524</v>
      </c>
      <c r="N618" s="53" t="s">
        <v>98</v>
      </c>
      <c r="O618" s="17" t="s">
        <v>86</v>
      </c>
      <c r="P618" s="17"/>
      <c r="Q618" s="17">
        <v>0.16861999999999999</v>
      </c>
      <c r="R618" s="17">
        <v>4.4964999999999998E-2</v>
      </c>
      <c r="S618" s="17">
        <v>0.32037500000000002</v>
      </c>
      <c r="T618" s="17">
        <v>0.17705000000000001</v>
      </c>
      <c r="U618" s="20">
        <f t="shared" si="41"/>
        <v>2.0723914846154892</v>
      </c>
      <c r="V618" s="41">
        <f t="shared" si="44"/>
        <v>107.23914846154892</v>
      </c>
      <c r="W618" s="17"/>
      <c r="X618" s="17" t="s">
        <v>56</v>
      </c>
      <c r="Y618" s="17"/>
      <c r="Z618" s="17" t="s">
        <v>56</v>
      </c>
      <c r="AA618" s="17"/>
      <c r="AB618" s="17" t="s">
        <v>111</v>
      </c>
      <c r="AC618" s="17">
        <v>1996</v>
      </c>
      <c r="AD618" s="17">
        <v>9</v>
      </c>
      <c r="AE618" s="17"/>
      <c r="AF618" s="17"/>
      <c r="AG618" s="17">
        <v>1997</v>
      </c>
      <c r="AH618" s="14">
        <f t="shared" si="42"/>
        <v>-1</v>
      </c>
      <c r="AI618" s="17">
        <f t="shared" si="43"/>
        <v>8</v>
      </c>
      <c r="AJ618" s="17"/>
      <c r="AK618" s="17" t="s">
        <v>58</v>
      </c>
      <c r="AL618" s="16" t="s">
        <v>1521</v>
      </c>
      <c r="AM618" s="15">
        <v>2013</v>
      </c>
      <c r="AN618" s="15" t="s">
        <v>1193</v>
      </c>
      <c r="AO618" s="15" t="s">
        <v>56</v>
      </c>
      <c r="AP618" s="15"/>
      <c r="AQ618" s="15" t="s">
        <v>56</v>
      </c>
      <c r="AR618" s="15" t="s">
        <v>58</v>
      </c>
      <c r="AS618" s="15" t="s">
        <v>94</v>
      </c>
      <c r="AT618" s="15"/>
      <c r="AU618" s="45"/>
      <c r="AV618" s="15"/>
      <c r="AW618" s="12" t="str">
        <f>B618&amp;C618&amp;L618&amp;M618&amp;O618&amp;U618&amp;AL618&amp;AM618</f>
        <v>ArgentinaPatagonian MPAnon-target speciesdensity2.07239148461549Alemany2013</v>
      </c>
    </row>
    <row r="619" spans="1:49" ht="14.25" customHeight="1" x14ac:dyDescent="0.35">
      <c r="A619" s="12">
        <v>618</v>
      </c>
      <c r="B619" s="15" t="s">
        <v>1519</v>
      </c>
      <c r="C619" s="12" t="s">
        <v>2693</v>
      </c>
      <c r="D619" s="12" t="s">
        <v>1520</v>
      </c>
      <c r="E619" s="12"/>
      <c r="F619" s="13" t="s">
        <v>274</v>
      </c>
      <c r="G619" s="16" t="s">
        <v>428</v>
      </c>
      <c r="H619" s="16" t="s">
        <v>984</v>
      </c>
      <c r="I619" s="16" t="s">
        <v>53</v>
      </c>
      <c r="J619" s="17">
        <v>28000</v>
      </c>
      <c r="K619" s="17"/>
      <c r="L619" s="17" t="s">
        <v>1522</v>
      </c>
      <c r="M619" s="17" t="s">
        <v>1525</v>
      </c>
      <c r="N619" s="17" t="s">
        <v>85</v>
      </c>
      <c r="O619" s="17" t="s">
        <v>104</v>
      </c>
      <c r="P619" s="17" t="s">
        <v>105</v>
      </c>
      <c r="Q619" s="17">
        <v>42.224499999999999</v>
      </c>
      <c r="R619" s="17">
        <v>44.917999999999999</v>
      </c>
      <c r="S619" s="17">
        <v>40.939</v>
      </c>
      <c r="T619" s="17">
        <v>40.265000000000001</v>
      </c>
      <c r="U619" s="19">
        <f t="shared" si="41"/>
        <v>0.92455888834012678</v>
      </c>
      <c r="V619" s="41">
        <f t="shared" si="44"/>
        <v>-7.5441111659873217</v>
      </c>
      <c r="W619" s="14"/>
      <c r="X619" s="17" t="s">
        <v>56</v>
      </c>
      <c r="Y619" s="17"/>
      <c r="Z619" s="17" t="s">
        <v>56</v>
      </c>
      <c r="AA619" s="17"/>
      <c r="AB619" s="17" t="s">
        <v>111</v>
      </c>
      <c r="AC619" s="17">
        <v>1996</v>
      </c>
      <c r="AD619" s="17">
        <v>9</v>
      </c>
      <c r="AE619" s="17"/>
      <c r="AF619" s="17"/>
      <c r="AG619" s="17">
        <v>1997</v>
      </c>
      <c r="AH619" s="14">
        <f t="shared" si="42"/>
        <v>-1</v>
      </c>
      <c r="AI619" s="17">
        <f t="shared" si="43"/>
        <v>8</v>
      </c>
      <c r="AJ619" s="17"/>
      <c r="AK619" s="17" t="s">
        <v>58</v>
      </c>
      <c r="AL619" s="16" t="s">
        <v>1521</v>
      </c>
      <c r="AM619" s="15">
        <v>2013</v>
      </c>
      <c r="AN619" s="12" t="s">
        <v>1193</v>
      </c>
      <c r="AO619" s="15" t="s">
        <v>56</v>
      </c>
      <c r="AP619" s="15"/>
      <c r="AQ619" s="15" t="s">
        <v>56</v>
      </c>
      <c r="AR619" s="15" t="s">
        <v>58</v>
      </c>
      <c r="AS619" s="15" t="s">
        <v>94</v>
      </c>
      <c r="AT619" s="12"/>
      <c r="AU619" s="45"/>
      <c r="AV619" s="15"/>
      <c r="AW619" s="12" t="str">
        <f>B619&amp;C619&amp;L619&amp;M619&amp;O619&amp;U619&amp;AL619&amp;AM619</f>
        <v>ArgentinaPatagonian MPAMerluccius hubbsiArgenine hake, adultsize0.924558888340127Alemany2013</v>
      </c>
    </row>
    <row r="620" spans="1:49" ht="14.25" customHeight="1" x14ac:dyDescent="0.35">
      <c r="A620" s="12">
        <v>619</v>
      </c>
      <c r="B620" s="15" t="s">
        <v>1519</v>
      </c>
      <c r="C620" s="12" t="s">
        <v>2693</v>
      </c>
      <c r="D620" s="12" t="s">
        <v>1520</v>
      </c>
      <c r="E620" s="15"/>
      <c r="F620" s="13" t="s">
        <v>274</v>
      </c>
      <c r="G620" s="13" t="s">
        <v>428</v>
      </c>
      <c r="H620" s="16" t="s">
        <v>984</v>
      </c>
      <c r="I620" s="16" t="s">
        <v>53</v>
      </c>
      <c r="J620" s="17">
        <v>28000</v>
      </c>
      <c r="K620" s="17"/>
      <c r="L620" s="17" t="s">
        <v>1522</v>
      </c>
      <c r="M620" s="17" t="s">
        <v>1526</v>
      </c>
      <c r="N620" s="17" t="s">
        <v>85</v>
      </c>
      <c r="O620" s="17" t="s">
        <v>104</v>
      </c>
      <c r="P620" s="17" t="s">
        <v>105</v>
      </c>
      <c r="Q620" s="17">
        <v>30.485499999999998</v>
      </c>
      <c r="R620" s="17">
        <v>25.864999999999998</v>
      </c>
      <c r="S620" s="17">
        <v>31.09</v>
      </c>
      <c r="T620" s="17">
        <v>28.922000000000001</v>
      </c>
      <c r="U620" s="20">
        <f t="shared" si="41"/>
        <v>1.096449009028682</v>
      </c>
      <c r="V620" s="41">
        <f t="shared" si="44"/>
        <v>9.6449009028682031</v>
      </c>
      <c r="W620" s="17"/>
      <c r="X620" s="17" t="s">
        <v>56</v>
      </c>
      <c r="Y620" s="17"/>
      <c r="Z620" s="17" t="s">
        <v>56</v>
      </c>
      <c r="AA620" s="17"/>
      <c r="AB620" s="17" t="s">
        <v>111</v>
      </c>
      <c r="AC620" s="17">
        <v>1996</v>
      </c>
      <c r="AD620" s="17">
        <v>9</v>
      </c>
      <c r="AE620" s="17"/>
      <c r="AF620" s="17"/>
      <c r="AG620" s="17">
        <v>1997</v>
      </c>
      <c r="AH620" s="14">
        <f t="shared" si="42"/>
        <v>-1</v>
      </c>
      <c r="AI620" s="17">
        <f t="shared" si="43"/>
        <v>8</v>
      </c>
      <c r="AJ620" s="17"/>
      <c r="AK620" s="17" t="s">
        <v>58</v>
      </c>
      <c r="AL620" s="16" t="s">
        <v>1521</v>
      </c>
      <c r="AM620" s="15">
        <v>2013</v>
      </c>
      <c r="AN620" s="15" t="s">
        <v>1193</v>
      </c>
      <c r="AO620" s="15" t="s">
        <v>56</v>
      </c>
      <c r="AP620" s="15"/>
      <c r="AQ620" s="15" t="s">
        <v>56</v>
      </c>
      <c r="AR620" s="15" t="s">
        <v>58</v>
      </c>
      <c r="AS620" s="15" t="s">
        <v>94</v>
      </c>
      <c r="AT620" s="15"/>
      <c r="AU620" s="45"/>
      <c r="AV620" s="15"/>
      <c r="AW620" s="12" t="str">
        <f>B620&amp;C620&amp;L620&amp;M620&amp;O620&amp;U620&amp;AL620&amp;AM620</f>
        <v>ArgentinaPatagonian MPAMerluccius hubbsiArgenine hake, juvenilesize1.09644900902868Alemany2013</v>
      </c>
    </row>
    <row r="621" spans="1:49" ht="14.25" customHeight="1" x14ac:dyDescent="0.35">
      <c r="A621" s="12">
        <v>620</v>
      </c>
      <c r="B621" s="15" t="s">
        <v>66</v>
      </c>
      <c r="C621" s="44" t="s">
        <v>2814</v>
      </c>
      <c r="D621" s="12" t="s">
        <v>1862</v>
      </c>
      <c r="E621" s="12" t="s">
        <v>136</v>
      </c>
      <c r="F621" s="13" t="s">
        <v>50</v>
      </c>
      <c r="G621" s="13" t="s">
        <v>51</v>
      </c>
      <c r="H621" s="16" t="s">
        <v>52</v>
      </c>
      <c r="I621" s="16" t="s">
        <v>2050</v>
      </c>
      <c r="J621" s="17">
        <v>86</v>
      </c>
      <c r="K621" s="17"/>
      <c r="L621" s="17" t="s">
        <v>440</v>
      </c>
      <c r="M621" s="17" t="s">
        <v>941</v>
      </c>
      <c r="N621" s="17" t="s">
        <v>85</v>
      </c>
      <c r="O621" s="17" t="s">
        <v>86</v>
      </c>
      <c r="P621" s="17"/>
      <c r="Q621" s="17">
        <v>0.08</v>
      </c>
      <c r="R621" s="17">
        <v>0.04</v>
      </c>
      <c r="S621" s="17">
        <v>0.17</v>
      </c>
      <c r="T621" s="17">
        <v>0.38</v>
      </c>
      <c r="U621" s="19">
        <f t="shared" si="41"/>
        <v>4.4705882352941178</v>
      </c>
      <c r="V621" s="41">
        <f t="shared" si="44"/>
        <v>347.05882352941177</v>
      </c>
      <c r="W621" s="14"/>
      <c r="X621" s="17" t="s">
        <v>58</v>
      </c>
      <c r="Y621" s="17">
        <v>80</v>
      </c>
      <c r="Z621" s="17" t="s">
        <v>56</v>
      </c>
      <c r="AA621" s="17"/>
      <c r="AB621" s="17" t="s">
        <v>111</v>
      </c>
      <c r="AC621" s="17">
        <v>2002</v>
      </c>
      <c r="AD621" s="17">
        <v>10</v>
      </c>
      <c r="AE621" s="17"/>
      <c r="AF621" s="17"/>
      <c r="AG621" s="17">
        <v>2002</v>
      </c>
      <c r="AH621" s="14">
        <f t="shared" si="42"/>
        <v>0</v>
      </c>
      <c r="AI621" s="17">
        <f t="shared" si="43"/>
        <v>10</v>
      </c>
      <c r="AJ621" s="17"/>
      <c r="AK621" s="17" t="s">
        <v>58</v>
      </c>
      <c r="AL621" s="16" t="s">
        <v>1864</v>
      </c>
      <c r="AM621" s="15">
        <v>2016</v>
      </c>
      <c r="AN621" s="15" t="s">
        <v>685</v>
      </c>
      <c r="AO621" s="15" t="s">
        <v>56</v>
      </c>
      <c r="AP621" s="15"/>
      <c r="AQ621" s="15" t="s">
        <v>56</v>
      </c>
      <c r="AR621" s="15" t="s">
        <v>58</v>
      </c>
      <c r="AS621" s="15" t="s">
        <v>258</v>
      </c>
      <c r="AT621" s="12"/>
      <c r="AU621" s="45"/>
      <c r="AV621" s="15"/>
      <c r="AW621" s="12" t="str">
        <f>B621&amp;C621&amp;L621&amp;M621&amp;O621&amp;U621&amp;AL621&amp;AM621</f>
        <v>AustraliaSolitary Islands Marine Park (young/large reserves)Achoerodus viridisblue groperdensity4.47058823529412Malcolm2016</v>
      </c>
    </row>
    <row r="622" spans="1:49" ht="14.25" customHeight="1" x14ac:dyDescent="0.35">
      <c r="A622" s="12">
        <v>621</v>
      </c>
      <c r="B622" s="15" t="s">
        <v>66</v>
      </c>
      <c r="C622" s="44" t="s">
        <v>2814</v>
      </c>
      <c r="D622" s="12" t="s">
        <v>1862</v>
      </c>
      <c r="E622" s="12" t="s">
        <v>136</v>
      </c>
      <c r="F622" s="13" t="s">
        <v>50</v>
      </c>
      <c r="G622" s="13" t="s">
        <v>51</v>
      </c>
      <c r="H622" s="16" t="s">
        <v>52</v>
      </c>
      <c r="I622" s="16" t="s">
        <v>2050</v>
      </c>
      <c r="J622" s="17">
        <v>86</v>
      </c>
      <c r="K622" s="17"/>
      <c r="L622" s="17" t="s">
        <v>2052</v>
      </c>
      <c r="M622" s="17" t="s">
        <v>2053</v>
      </c>
      <c r="N622" s="17" t="s">
        <v>85</v>
      </c>
      <c r="O622" s="17" t="s">
        <v>86</v>
      </c>
      <c r="P622" s="17"/>
      <c r="Q622" s="17">
        <v>0.13</v>
      </c>
      <c r="R622" s="17">
        <v>0.17</v>
      </c>
      <c r="S622" s="17">
        <v>0.2</v>
      </c>
      <c r="T622" s="17">
        <v>0.38</v>
      </c>
      <c r="U622" s="19">
        <f t="shared" si="41"/>
        <v>1.4529411764705882</v>
      </c>
      <c r="V622" s="41">
        <f t="shared" si="44"/>
        <v>45.294117647058819</v>
      </c>
      <c r="W622" s="14"/>
      <c r="X622" s="17" t="s">
        <v>58</v>
      </c>
      <c r="Y622" s="17">
        <v>80</v>
      </c>
      <c r="Z622" s="17" t="s">
        <v>56</v>
      </c>
      <c r="AA622" s="17"/>
      <c r="AB622" s="17" t="s">
        <v>111</v>
      </c>
      <c r="AC622" s="17">
        <v>2002</v>
      </c>
      <c r="AD622" s="17">
        <v>10</v>
      </c>
      <c r="AE622" s="17"/>
      <c r="AF622" s="17"/>
      <c r="AG622" s="17">
        <v>2002</v>
      </c>
      <c r="AH622" s="14">
        <f t="shared" si="42"/>
        <v>0</v>
      </c>
      <c r="AI622" s="17">
        <f t="shared" si="43"/>
        <v>10</v>
      </c>
      <c r="AJ622" s="17"/>
      <c r="AK622" s="17" t="s">
        <v>58</v>
      </c>
      <c r="AL622" s="16" t="s">
        <v>1864</v>
      </c>
      <c r="AM622" s="15">
        <v>2016</v>
      </c>
      <c r="AN622" s="15" t="s">
        <v>685</v>
      </c>
      <c r="AO622" s="15" t="s">
        <v>56</v>
      </c>
      <c r="AP622" s="15"/>
      <c r="AQ622" s="15" t="s">
        <v>56</v>
      </c>
      <c r="AR622" s="15" t="s">
        <v>58</v>
      </c>
      <c r="AS622" s="15" t="s">
        <v>258</v>
      </c>
      <c r="AT622" s="12"/>
      <c r="AU622" s="45" t="s">
        <v>2051</v>
      </c>
      <c r="AV622" s="15"/>
      <c r="AW622" s="12" t="str">
        <f>B622&amp;C622&amp;L622&amp;M622&amp;O622&amp;U622&amp;AL622&amp;AM622</f>
        <v>AustraliaSolitary Islands Marine Park (young/large reserves)Orectolobus spp.wobbegongdensity1.45294117647059Malcolm2016</v>
      </c>
    </row>
    <row r="623" spans="1:49" ht="14.25" customHeight="1" x14ac:dyDescent="0.35">
      <c r="A623" s="12">
        <v>622</v>
      </c>
      <c r="B623" s="15" t="s">
        <v>66</v>
      </c>
      <c r="C623" s="44" t="s">
        <v>2814</v>
      </c>
      <c r="D623" s="12" t="s">
        <v>1862</v>
      </c>
      <c r="E623" s="15" t="s">
        <v>136</v>
      </c>
      <c r="F623" s="16" t="s">
        <v>50</v>
      </c>
      <c r="G623" s="16" t="s">
        <v>51</v>
      </c>
      <c r="H623" s="16" t="s">
        <v>52</v>
      </c>
      <c r="I623" s="16" t="s">
        <v>2050</v>
      </c>
      <c r="J623" s="17">
        <v>86</v>
      </c>
      <c r="K623" s="17"/>
      <c r="L623" s="51" t="s">
        <v>439</v>
      </c>
      <c r="M623" s="17" t="s">
        <v>938</v>
      </c>
      <c r="N623" s="17" t="s">
        <v>85</v>
      </c>
      <c r="O623" s="17" t="s">
        <v>86</v>
      </c>
      <c r="P623" s="17"/>
      <c r="Q623" s="14">
        <v>0.11</v>
      </c>
      <c r="R623" s="14">
        <v>0.55000000000000004</v>
      </c>
      <c r="S623" s="14">
        <v>0.04</v>
      </c>
      <c r="T623" s="14">
        <v>0.92</v>
      </c>
      <c r="U623" s="20">
        <f t="shared" si="41"/>
        <v>4.5999999999999996</v>
      </c>
      <c r="V623" s="41">
        <f t="shared" si="44"/>
        <v>359.99999999999994</v>
      </c>
      <c r="W623" s="17"/>
      <c r="X623" s="17" t="s">
        <v>58</v>
      </c>
      <c r="Y623" s="17">
        <v>80</v>
      </c>
      <c r="Z623" s="17" t="s">
        <v>56</v>
      </c>
      <c r="AA623" s="17"/>
      <c r="AB623" s="17" t="s">
        <v>111</v>
      </c>
      <c r="AC623" s="17">
        <v>2002</v>
      </c>
      <c r="AD623" s="17">
        <v>10</v>
      </c>
      <c r="AE623" s="17"/>
      <c r="AF623" s="17"/>
      <c r="AG623" s="17">
        <v>2002</v>
      </c>
      <c r="AH623" s="14">
        <f t="shared" si="42"/>
        <v>0</v>
      </c>
      <c r="AI623" s="17">
        <f t="shared" si="43"/>
        <v>10</v>
      </c>
      <c r="AJ623" s="17"/>
      <c r="AK623" s="17" t="s">
        <v>58</v>
      </c>
      <c r="AL623" s="16" t="s">
        <v>1864</v>
      </c>
      <c r="AM623" s="15">
        <v>2016</v>
      </c>
      <c r="AN623" s="15" t="s">
        <v>685</v>
      </c>
      <c r="AO623" s="15" t="s">
        <v>56</v>
      </c>
      <c r="AP623" s="15"/>
      <c r="AQ623" s="15" t="s">
        <v>56</v>
      </c>
      <c r="AR623" s="15" t="s">
        <v>58</v>
      </c>
      <c r="AS623" s="15" t="s">
        <v>258</v>
      </c>
      <c r="AT623" s="15"/>
      <c r="AU623" s="45"/>
      <c r="AV623" s="15"/>
      <c r="AW623" s="12" t="str">
        <f>B623&amp;C623&amp;L623&amp;M623&amp;O623&amp;U623&amp;AL623&amp;AM623</f>
        <v>AustraliaSolitary Islands Marine Park (young/large reserves)Cheilodactylus fuscusred morwongdensity4.6Malcolm2016</v>
      </c>
    </row>
    <row r="624" spans="1:49" ht="14.25" customHeight="1" x14ac:dyDescent="0.35">
      <c r="A624" s="12">
        <v>623</v>
      </c>
      <c r="B624" s="15" t="s">
        <v>66</v>
      </c>
      <c r="C624" s="44" t="s">
        <v>2814</v>
      </c>
      <c r="D624" s="12" t="s">
        <v>1862</v>
      </c>
      <c r="E624" s="15" t="s">
        <v>136</v>
      </c>
      <c r="F624" s="13" t="s">
        <v>50</v>
      </c>
      <c r="G624" s="13" t="s">
        <v>51</v>
      </c>
      <c r="H624" s="16" t="s">
        <v>52</v>
      </c>
      <c r="I624" s="16" t="s">
        <v>2050</v>
      </c>
      <c r="J624" s="17">
        <v>86</v>
      </c>
      <c r="K624" s="17"/>
      <c r="L624" s="17" t="s">
        <v>455</v>
      </c>
      <c r="M624" s="17" t="s">
        <v>2054</v>
      </c>
      <c r="N624" s="17" t="s">
        <v>85</v>
      </c>
      <c r="O624" s="17" t="s">
        <v>86</v>
      </c>
      <c r="P624" s="17"/>
      <c r="Q624" s="14">
        <v>0</v>
      </c>
      <c r="R624" s="14">
        <v>0</v>
      </c>
      <c r="S624" s="14">
        <v>7.0000000000000007E-2</v>
      </c>
      <c r="T624" s="14">
        <v>0.48</v>
      </c>
      <c r="U624" s="20" t="str">
        <f t="shared" si="41"/>
        <v>N/A</v>
      </c>
      <c r="V624" s="41" t="str">
        <f t="shared" si="44"/>
        <v>N/A</v>
      </c>
      <c r="W624" s="17"/>
      <c r="X624" s="17" t="s">
        <v>58</v>
      </c>
      <c r="Y624" s="17">
        <v>80</v>
      </c>
      <c r="Z624" s="17" t="s">
        <v>56</v>
      </c>
      <c r="AA624" s="17"/>
      <c r="AB624" s="17" t="s">
        <v>111</v>
      </c>
      <c r="AC624" s="17">
        <v>2002</v>
      </c>
      <c r="AD624" s="17">
        <v>10</v>
      </c>
      <c r="AE624" s="17"/>
      <c r="AF624" s="17"/>
      <c r="AG624" s="17">
        <v>2002</v>
      </c>
      <c r="AH624" s="14">
        <f t="shared" si="42"/>
        <v>0</v>
      </c>
      <c r="AI624" s="17">
        <f t="shared" si="43"/>
        <v>10</v>
      </c>
      <c r="AJ624" s="17"/>
      <c r="AK624" s="17" t="s">
        <v>58</v>
      </c>
      <c r="AL624" s="16" t="s">
        <v>1864</v>
      </c>
      <c r="AM624" s="15">
        <v>2016</v>
      </c>
      <c r="AN624" s="15" t="s">
        <v>685</v>
      </c>
      <c r="AO624" s="15" t="s">
        <v>56</v>
      </c>
      <c r="AP624" s="15"/>
      <c r="AQ624" s="15" t="s">
        <v>56</v>
      </c>
      <c r="AR624" s="15" t="s">
        <v>58</v>
      </c>
      <c r="AS624" s="15" t="s">
        <v>258</v>
      </c>
      <c r="AT624" s="15"/>
      <c r="AU624" s="45"/>
      <c r="AV624" s="15"/>
      <c r="AW624" s="12" t="str">
        <f>B624&amp;C624&amp;L624&amp;M624&amp;O624&amp;U624&amp;AL624&amp;AM624</f>
        <v>AustraliaSolitary Islands Marine Park (young/large reserves)Chrysophrys auratussnapperdensityN/AMalcolm2016</v>
      </c>
    </row>
    <row r="625" spans="1:49" ht="14.25" customHeight="1" x14ac:dyDescent="0.35">
      <c r="A625" s="12">
        <v>624</v>
      </c>
      <c r="B625" s="15" t="s">
        <v>66</v>
      </c>
      <c r="C625" s="44" t="s">
        <v>2814</v>
      </c>
      <c r="D625" s="12" t="s">
        <v>1862</v>
      </c>
      <c r="E625" s="12" t="s">
        <v>136</v>
      </c>
      <c r="F625" s="13" t="s">
        <v>50</v>
      </c>
      <c r="G625" s="13" t="s">
        <v>51</v>
      </c>
      <c r="H625" s="16" t="s">
        <v>52</v>
      </c>
      <c r="I625" s="16" t="s">
        <v>2050</v>
      </c>
      <c r="J625" s="17">
        <v>86</v>
      </c>
      <c r="K625" s="17"/>
      <c r="L625" s="17" t="s">
        <v>2055</v>
      </c>
      <c r="M625" s="17" t="s">
        <v>2056</v>
      </c>
      <c r="N625" s="17" t="s">
        <v>170</v>
      </c>
      <c r="O625" s="17" t="s">
        <v>86</v>
      </c>
      <c r="P625" s="17"/>
      <c r="Q625" s="17">
        <v>0.05</v>
      </c>
      <c r="R625" s="17">
        <v>0.18</v>
      </c>
      <c r="S625" s="17">
        <v>0.27</v>
      </c>
      <c r="T625" s="17">
        <v>0.3</v>
      </c>
      <c r="U625" s="19">
        <f t="shared" si="41"/>
        <v>0.30864197530864196</v>
      </c>
      <c r="V625" s="41">
        <f t="shared" si="44"/>
        <v>-69.135802469135797</v>
      </c>
      <c r="W625" s="14"/>
      <c r="X625" s="17" t="s">
        <v>58</v>
      </c>
      <c r="Y625" s="17">
        <v>80</v>
      </c>
      <c r="Z625" s="17" t="s">
        <v>56</v>
      </c>
      <c r="AA625" s="17"/>
      <c r="AB625" s="17" t="s">
        <v>111</v>
      </c>
      <c r="AC625" s="17">
        <v>2002</v>
      </c>
      <c r="AD625" s="17">
        <v>10</v>
      </c>
      <c r="AE625" s="17"/>
      <c r="AF625" s="17"/>
      <c r="AG625" s="17">
        <v>2002</v>
      </c>
      <c r="AH625" s="14">
        <f t="shared" si="42"/>
        <v>0</v>
      </c>
      <c r="AI625" s="17">
        <f t="shared" si="43"/>
        <v>10</v>
      </c>
      <c r="AJ625" s="17"/>
      <c r="AK625" s="17" t="s">
        <v>58</v>
      </c>
      <c r="AL625" s="16" t="s">
        <v>1864</v>
      </c>
      <c r="AM625" s="15">
        <v>2016</v>
      </c>
      <c r="AN625" s="15" t="s">
        <v>685</v>
      </c>
      <c r="AO625" s="15" t="s">
        <v>56</v>
      </c>
      <c r="AP625" s="15"/>
      <c r="AQ625" s="15" t="s">
        <v>56</v>
      </c>
      <c r="AR625" s="15" t="s">
        <v>58</v>
      </c>
      <c r="AS625" s="15" t="s">
        <v>258</v>
      </c>
      <c r="AT625" s="12"/>
      <c r="AU625" s="45" t="s">
        <v>2051</v>
      </c>
      <c r="AV625" s="15"/>
      <c r="AW625" s="12" t="str">
        <f>B625&amp;C625&amp;L625&amp;M625&amp;O625&amp;U625&amp;AL625&amp;AM625</f>
        <v>AustraliaSolitary Islands Marine Park (young/large reserves)Lutjanidae/Lethrinidae/ Haemulidaetropical seaperchesdensity0.308641975308642Malcolm2016</v>
      </c>
    </row>
    <row r="626" spans="1:49" ht="14.25" customHeight="1" x14ac:dyDescent="0.35">
      <c r="A626" s="12">
        <v>625</v>
      </c>
      <c r="B626" s="15" t="s">
        <v>66</v>
      </c>
      <c r="C626" s="44" t="s">
        <v>2814</v>
      </c>
      <c r="D626" s="12" t="s">
        <v>1862</v>
      </c>
      <c r="E626" s="12" t="s">
        <v>136</v>
      </c>
      <c r="F626" s="13" t="s">
        <v>50</v>
      </c>
      <c r="G626" s="13" t="s">
        <v>51</v>
      </c>
      <c r="H626" s="16" t="s">
        <v>52</v>
      </c>
      <c r="I626" s="16" t="s">
        <v>2050</v>
      </c>
      <c r="J626" s="17">
        <v>86</v>
      </c>
      <c r="K626" s="17"/>
      <c r="L626" s="17" t="s">
        <v>2057</v>
      </c>
      <c r="M626" s="17" t="s">
        <v>2058</v>
      </c>
      <c r="N626" s="17" t="s">
        <v>85</v>
      </c>
      <c r="O626" s="17" t="s">
        <v>86</v>
      </c>
      <c r="P626" s="17"/>
      <c r="Q626" s="5">
        <v>0.01</v>
      </c>
      <c r="R626" s="5">
        <v>0.08</v>
      </c>
      <c r="S626" s="5">
        <v>3.7999999999999999E-2</v>
      </c>
      <c r="T626" s="5">
        <v>0.2</v>
      </c>
      <c r="U626" s="19">
        <f t="shared" si="41"/>
        <v>0.65789473684210531</v>
      </c>
      <c r="V626" s="41">
        <f t="shared" si="44"/>
        <v>-34.210526315789465</v>
      </c>
      <c r="W626" s="14"/>
      <c r="X626" s="17" t="s">
        <v>58</v>
      </c>
      <c r="Y626" s="17">
        <v>80</v>
      </c>
      <c r="Z626" s="17" t="s">
        <v>56</v>
      </c>
      <c r="AA626" s="17"/>
      <c r="AB626" s="17" t="s">
        <v>111</v>
      </c>
      <c r="AC626" s="17">
        <v>2002</v>
      </c>
      <c r="AD626" s="17">
        <v>10</v>
      </c>
      <c r="AE626" s="17"/>
      <c r="AF626" s="17"/>
      <c r="AG626" s="17">
        <v>2002</v>
      </c>
      <c r="AH626" s="14">
        <f t="shared" si="42"/>
        <v>0</v>
      </c>
      <c r="AI626" s="17">
        <f t="shared" si="43"/>
        <v>10</v>
      </c>
      <c r="AJ626" s="17"/>
      <c r="AK626" s="17" t="s">
        <v>58</v>
      </c>
      <c r="AL626" s="16" t="s">
        <v>1864</v>
      </c>
      <c r="AM626" s="15">
        <v>2016</v>
      </c>
      <c r="AN626" s="12" t="s">
        <v>685</v>
      </c>
      <c r="AO626" s="15" t="s">
        <v>56</v>
      </c>
      <c r="AP626" s="15"/>
      <c r="AQ626" s="15" t="s">
        <v>56</v>
      </c>
      <c r="AR626" s="15" t="s">
        <v>58</v>
      </c>
      <c r="AS626" s="15" t="s">
        <v>258</v>
      </c>
      <c r="AT626" s="12"/>
      <c r="AU626" s="45"/>
      <c r="AV626" s="15"/>
      <c r="AW626" s="12" t="str">
        <f>B626&amp;C626&amp;L626&amp;M626&amp;O626&amp;U626&amp;AL626&amp;AM626</f>
        <v>AustraliaSolitary Islands Marine Park (young/large reserves)Parupeneus spilurusblackspot goatfishdensity0.657894736842105Malcolm2016</v>
      </c>
    </row>
    <row r="627" spans="1:49" ht="14.25" customHeight="1" x14ac:dyDescent="0.35">
      <c r="A627" s="12">
        <v>626</v>
      </c>
      <c r="B627" s="15" t="s">
        <v>66</v>
      </c>
      <c r="C627" s="44" t="s">
        <v>2814</v>
      </c>
      <c r="D627" s="15" t="s">
        <v>1862</v>
      </c>
      <c r="E627" s="12" t="s">
        <v>136</v>
      </c>
      <c r="F627" s="13" t="s">
        <v>50</v>
      </c>
      <c r="G627" s="13" t="s">
        <v>51</v>
      </c>
      <c r="H627" s="16" t="s">
        <v>52</v>
      </c>
      <c r="I627" s="16" t="s">
        <v>2050</v>
      </c>
      <c r="J627" s="17">
        <v>86</v>
      </c>
      <c r="K627" s="17"/>
      <c r="L627" s="17" t="s">
        <v>2059</v>
      </c>
      <c r="M627" s="17" t="s">
        <v>1430</v>
      </c>
      <c r="N627" s="17" t="s">
        <v>85</v>
      </c>
      <c r="O627" s="17" t="s">
        <v>86</v>
      </c>
      <c r="P627" s="17"/>
      <c r="Q627" s="5">
        <v>1</v>
      </c>
      <c r="R627" s="5">
        <v>0.04</v>
      </c>
      <c r="S627" s="5">
        <v>2.8</v>
      </c>
      <c r="T627" s="5">
        <v>2.2999999999999998</v>
      </c>
      <c r="U627" s="19">
        <f t="shared" si="41"/>
        <v>20.535714285714285</v>
      </c>
      <c r="V627" s="41">
        <f t="shared" si="44"/>
        <v>1953.5714285714284</v>
      </c>
      <c r="W627" s="14"/>
      <c r="X627" s="17" t="s">
        <v>58</v>
      </c>
      <c r="Y627" s="17">
        <v>80</v>
      </c>
      <c r="Z627" s="17" t="s">
        <v>56</v>
      </c>
      <c r="AA627" s="17"/>
      <c r="AB627" s="17" t="s">
        <v>111</v>
      </c>
      <c r="AC627" s="17">
        <v>2002</v>
      </c>
      <c r="AD627" s="17">
        <v>10</v>
      </c>
      <c r="AE627" s="17"/>
      <c r="AF627" s="17"/>
      <c r="AG627" s="17">
        <v>2002</v>
      </c>
      <c r="AH627" s="14">
        <f t="shared" si="42"/>
        <v>0</v>
      </c>
      <c r="AI627" s="17">
        <f t="shared" si="43"/>
        <v>10</v>
      </c>
      <c r="AJ627" s="17"/>
      <c r="AK627" s="17" t="s">
        <v>58</v>
      </c>
      <c r="AL627" s="16" t="s">
        <v>1864</v>
      </c>
      <c r="AM627" s="15">
        <v>2016</v>
      </c>
      <c r="AN627" s="12" t="s">
        <v>685</v>
      </c>
      <c r="AO627" s="15" t="s">
        <v>56</v>
      </c>
      <c r="AP627" s="15"/>
      <c r="AQ627" s="15" t="s">
        <v>56</v>
      </c>
      <c r="AR627" s="15" t="s">
        <v>58</v>
      </c>
      <c r="AS627" s="15" t="s">
        <v>258</v>
      </c>
      <c r="AT627" s="12"/>
      <c r="AU627" s="45"/>
      <c r="AV627" s="15"/>
      <c r="AW627" s="12" t="str">
        <f>B627&amp;C627&amp;L627&amp;M627&amp;O627&amp;U627&amp;AL627&amp;AM627</f>
        <v>AustraliaSolitary Islands Marine Park (young/large reserves)Acanthopagrus australisbreamdensity20.5357142857143Malcolm2016</v>
      </c>
    </row>
    <row r="628" spans="1:49" ht="14" customHeight="1" x14ac:dyDescent="0.35">
      <c r="A628" s="12">
        <v>627</v>
      </c>
      <c r="B628" s="15" t="s">
        <v>66</v>
      </c>
      <c r="C628" s="44" t="s">
        <v>2814</v>
      </c>
      <c r="D628" s="15" t="s">
        <v>1862</v>
      </c>
      <c r="E628" s="12" t="s">
        <v>136</v>
      </c>
      <c r="F628" s="13" t="s">
        <v>50</v>
      </c>
      <c r="G628" s="13" t="s">
        <v>51</v>
      </c>
      <c r="H628" s="16" t="s">
        <v>52</v>
      </c>
      <c r="I628" s="16" t="s">
        <v>2050</v>
      </c>
      <c r="J628" s="17">
        <v>86</v>
      </c>
      <c r="K628" s="17"/>
      <c r="L628" s="17" t="s">
        <v>2060</v>
      </c>
      <c r="M628" s="17" t="s">
        <v>2061</v>
      </c>
      <c r="N628" s="17" t="s">
        <v>85</v>
      </c>
      <c r="O628" s="17" t="s">
        <v>86</v>
      </c>
      <c r="P628" s="17"/>
      <c r="Q628" s="5">
        <v>0.13</v>
      </c>
      <c r="R628" s="5">
        <v>0</v>
      </c>
      <c r="S628" s="5">
        <v>0.06</v>
      </c>
      <c r="T628" s="5">
        <v>0.51</v>
      </c>
      <c r="U628" s="19" t="str">
        <f t="shared" si="41"/>
        <v>N/A</v>
      </c>
      <c r="V628" s="41" t="str">
        <f t="shared" si="44"/>
        <v>N/A</v>
      </c>
      <c r="W628" s="14"/>
      <c r="X628" s="17" t="s">
        <v>58</v>
      </c>
      <c r="Y628" s="17">
        <v>80</v>
      </c>
      <c r="Z628" s="17" t="s">
        <v>56</v>
      </c>
      <c r="AA628" s="17"/>
      <c r="AB628" s="17" t="s">
        <v>111</v>
      </c>
      <c r="AC628" s="17">
        <v>2002</v>
      </c>
      <c r="AD628" s="17">
        <v>10</v>
      </c>
      <c r="AE628" s="17"/>
      <c r="AF628" s="17"/>
      <c r="AG628" s="17">
        <v>2002</v>
      </c>
      <c r="AH628" s="14">
        <f t="shared" si="42"/>
        <v>0</v>
      </c>
      <c r="AI628" s="17">
        <f t="shared" si="43"/>
        <v>10</v>
      </c>
      <c r="AJ628" s="17"/>
      <c r="AK628" s="17" t="s">
        <v>58</v>
      </c>
      <c r="AL628" s="16" t="s">
        <v>1864</v>
      </c>
      <c r="AM628" s="15">
        <v>2016</v>
      </c>
      <c r="AN628" s="12" t="s">
        <v>685</v>
      </c>
      <c r="AO628" s="15" t="s">
        <v>56</v>
      </c>
      <c r="AP628" s="15"/>
      <c r="AQ628" s="15" t="s">
        <v>56</v>
      </c>
      <c r="AR628" s="15" t="s">
        <v>58</v>
      </c>
      <c r="AS628" s="15" t="s">
        <v>258</v>
      </c>
      <c r="AT628" s="12"/>
      <c r="AU628" s="45"/>
      <c r="AV628" s="15"/>
      <c r="AW628" s="12" t="str">
        <f>B628&amp;C628&amp;L628&amp;M628&amp;O628&amp;U628&amp;AL628&amp;AM628</f>
        <v>AustraliaSolitary Islands Marine Park (young/large reserves)Rhabdosargus sarbatarwhinedensityN/AMalcolm2016</v>
      </c>
    </row>
    <row r="629" spans="1:49" ht="14.25" customHeight="1" x14ac:dyDescent="0.35">
      <c r="A629" s="12">
        <v>628</v>
      </c>
      <c r="B629" s="15" t="s">
        <v>66</v>
      </c>
      <c r="C629" s="44" t="s">
        <v>2814</v>
      </c>
      <c r="D629" s="15" t="s">
        <v>1862</v>
      </c>
      <c r="E629" s="15" t="s">
        <v>136</v>
      </c>
      <c r="F629" s="16" t="s">
        <v>50</v>
      </c>
      <c r="G629" s="16" t="s">
        <v>51</v>
      </c>
      <c r="H629" s="16" t="s">
        <v>52</v>
      </c>
      <c r="I629" s="16" t="s">
        <v>2050</v>
      </c>
      <c r="J629" s="17">
        <v>86</v>
      </c>
      <c r="K629" s="17"/>
      <c r="L629" s="17" t="s">
        <v>269</v>
      </c>
      <c r="M629" s="17" t="s">
        <v>2062</v>
      </c>
      <c r="N629" s="17" t="s">
        <v>120</v>
      </c>
      <c r="O629" s="17" t="s">
        <v>86</v>
      </c>
      <c r="P629" s="17"/>
      <c r="Q629" s="17"/>
      <c r="R629" s="17"/>
      <c r="S629" s="17" t="e">
        <f>4.49*#REF!</f>
        <v>#REF!</v>
      </c>
      <c r="T629" s="17" t="e">
        <f>6.27*#REF!</f>
        <v>#REF!</v>
      </c>
      <c r="U629" s="20" t="str">
        <f t="shared" si="41"/>
        <v>N/A</v>
      </c>
      <c r="V629" s="41" t="str">
        <f t="shared" si="44"/>
        <v>N/A</v>
      </c>
      <c r="W629" s="17"/>
      <c r="X629" s="17" t="s">
        <v>58</v>
      </c>
      <c r="Y629" s="17">
        <v>80</v>
      </c>
      <c r="Z629" s="17" t="s">
        <v>56</v>
      </c>
      <c r="AA629" s="17"/>
      <c r="AB629" s="17" t="s">
        <v>57</v>
      </c>
      <c r="AC629" s="17">
        <v>2002</v>
      </c>
      <c r="AD629" s="17">
        <v>10</v>
      </c>
      <c r="AE629" s="17"/>
      <c r="AF629" s="17"/>
      <c r="AG629" s="17">
        <v>2002</v>
      </c>
      <c r="AH629" s="14">
        <f t="shared" si="42"/>
        <v>0</v>
      </c>
      <c r="AI629" s="17">
        <f t="shared" si="43"/>
        <v>10</v>
      </c>
      <c r="AJ629" s="17"/>
      <c r="AK629" s="17" t="s">
        <v>58</v>
      </c>
      <c r="AL629" s="16" t="s">
        <v>1864</v>
      </c>
      <c r="AM629" s="15">
        <v>2016</v>
      </c>
      <c r="AN629" s="15" t="s">
        <v>685</v>
      </c>
      <c r="AO629" s="15" t="s">
        <v>56</v>
      </c>
      <c r="AP629" s="15"/>
      <c r="AQ629" s="15" t="s">
        <v>56</v>
      </c>
      <c r="AR629" s="15" t="s">
        <v>58</v>
      </c>
      <c r="AS629" s="15" t="s">
        <v>258</v>
      </c>
      <c r="AT629" s="15"/>
      <c r="AU629" s="45" t="s">
        <v>2051</v>
      </c>
      <c r="AV629" s="15"/>
      <c r="AW629" s="12" t="str">
        <f>B629&amp;C629&amp;L629&amp;M629&amp;O629&amp;U629&amp;AL629&amp;AM629</f>
        <v>AustraliaSolitary Islands Marine Park (young/large reserves)PomacentridaeDamselfishesdensityN/AMalcolm2016</v>
      </c>
    </row>
    <row r="630" spans="1:49" ht="14.25" customHeight="1" x14ac:dyDescent="0.35">
      <c r="A630" s="12">
        <v>629</v>
      </c>
      <c r="B630" s="12" t="s">
        <v>66</v>
      </c>
      <c r="C630" s="44" t="s">
        <v>2814</v>
      </c>
      <c r="D630" s="15" t="s">
        <v>1862</v>
      </c>
      <c r="E630" s="12" t="s">
        <v>136</v>
      </c>
      <c r="F630" s="13" t="s">
        <v>50</v>
      </c>
      <c r="G630" s="13" t="s">
        <v>51</v>
      </c>
      <c r="H630" s="13" t="s">
        <v>52</v>
      </c>
      <c r="I630" s="13" t="s">
        <v>2050</v>
      </c>
      <c r="J630" s="17">
        <v>86</v>
      </c>
      <c r="K630" s="17"/>
      <c r="L630" s="17" t="s">
        <v>265</v>
      </c>
      <c r="M630" s="14" t="s">
        <v>266</v>
      </c>
      <c r="N630" s="14" t="s">
        <v>120</v>
      </c>
      <c r="O630" s="17" t="s">
        <v>86</v>
      </c>
      <c r="P630" s="14"/>
      <c r="Q630" s="14"/>
      <c r="R630" s="14"/>
      <c r="S630" s="14" t="e">
        <f>4.69*#REF!</f>
        <v>#REF!</v>
      </c>
      <c r="T630" s="14" t="e">
        <f>6.313*#REF!</f>
        <v>#REF!</v>
      </c>
      <c r="U630" s="19" t="str">
        <f t="shared" si="41"/>
        <v>N/A</v>
      </c>
      <c r="V630" s="41" t="str">
        <f t="shared" si="44"/>
        <v>N/A</v>
      </c>
      <c r="W630" s="14"/>
      <c r="X630" s="14" t="s">
        <v>58</v>
      </c>
      <c r="Y630" s="17">
        <v>80</v>
      </c>
      <c r="Z630" s="14" t="s">
        <v>56</v>
      </c>
      <c r="AA630" s="14"/>
      <c r="AB630" s="14" t="s">
        <v>57</v>
      </c>
      <c r="AC630" s="14">
        <v>2002</v>
      </c>
      <c r="AD630" s="14">
        <v>10</v>
      </c>
      <c r="AE630" s="14"/>
      <c r="AF630" s="14"/>
      <c r="AG630" s="17">
        <v>2002</v>
      </c>
      <c r="AH630" s="14">
        <f t="shared" si="42"/>
        <v>0</v>
      </c>
      <c r="AI630" s="17">
        <f t="shared" si="43"/>
        <v>10</v>
      </c>
      <c r="AJ630" s="14"/>
      <c r="AK630" s="14" t="s">
        <v>58</v>
      </c>
      <c r="AL630" s="13" t="s">
        <v>1864</v>
      </c>
      <c r="AM630" s="15">
        <v>2016</v>
      </c>
      <c r="AN630" s="12" t="s">
        <v>685</v>
      </c>
      <c r="AO630" s="12" t="s">
        <v>56</v>
      </c>
      <c r="AP630" s="12"/>
      <c r="AQ630" s="12" t="s">
        <v>56</v>
      </c>
      <c r="AR630" s="12" t="s">
        <v>58</v>
      </c>
      <c r="AS630" s="12" t="s">
        <v>258</v>
      </c>
      <c r="AT630" s="12"/>
      <c r="AU630" s="45" t="s">
        <v>2051</v>
      </c>
      <c r="AV630" s="15"/>
      <c r="AW630" s="12" t="str">
        <f>B630&amp;C630&amp;L630&amp;M630&amp;O630&amp;U630&amp;AL630&amp;AM630</f>
        <v>AustraliaSolitary Islands Marine Park (young/large reserves)LabridaewrassesdensityN/AMalcolm2016</v>
      </c>
    </row>
    <row r="631" spans="1:49" ht="14.25" customHeight="1" x14ac:dyDescent="0.35">
      <c r="A631" s="12">
        <v>630</v>
      </c>
      <c r="B631" s="15" t="s">
        <v>66</v>
      </c>
      <c r="C631" s="44" t="s">
        <v>2813</v>
      </c>
      <c r="D631" s="12" t="s">
        <v>1862</v>
      </c>
      <c r="E631" s="15" t="s">
        <v>136</v>
      </c>
      <c r="F631" s="16" t="s">
        <v>50</v>
      </c>
      <c r="G631" s="16" t="s">
        <v>51</v>
      </c>
      <c r="H631" s="16" t="s">
        <v>52</v>
      </c>
      <c r="I631" s="16" t="s">
        <v>2050</v>
      </c>
      <c r="J631" s="17">
        <v>86</v>
      </c>
      <c r="K631" s="17"/>
      <c r="L631" s="17" t="s">
        <v>440</v>
      </c>
      <c r="M631" s="17" t="s">
        <v>941</v>
      </c>
      <c r="N631" s="17" t="s">
        <v>85</v>
      </c>
      <c r="O631" s="17" t="s">
        <v>86</v>
      </c>
      <c r="P631" s="17"/>
      <c r="Q631" s="17"/>
      <c r="R631" s="17"/>
      <c r="S631" s="17" t="e">
        <f>0.17*#REF!</f>
        <v>#REF!</v>
      </c>
      <c r="T631" s="17" t="e">
        <f>0.04*#REF!</f>
        <v>#REF!</v>
      </c>
      <c r="U631" s="20" t="str">
        <f t="shared" si="41"/>
        <v>N/A</v>
      </c>
      <c r="V631" s="41" t="str">
        <f t="shared" si="44"/>
        <v>N/A</v>
      </c>
      <c r="W631" s="17"/>
      <c r="X631" s="17" t="s">
        <v>58</v>
      </c>
      <c r="Y631" s="17">
        <v>80</v>
      </c>
      <c r="Z631" s="17" t="s">
        <v>56</v>
      </c>
      <c r="AA631" s="17"/>
      <c r="AB631" s="17" t="s">
        <v>57</v>
      </c>
      <c r="AC631" s="17">
        <v>2002</v>
      </c>
      <c r="AD631" s="17">
        <v>10</v>
      </c>
      <c r="AE631" s="17"/>
      <c r="AF631" s="17"/>
      <c r="AG631" s="17">
        <v>1991</v>
      </c>
      <c r="AH631" s="14">
        <f t="shared" si="42"/>
        <v>11</v>
      </c>
      <c r="AI631" s="17">
        <f t="shared" si="43"/>
        <v>21</v>
      </c>
      <c r="AJ631" s="17"/>
      <c r="AK631" s="17" t="s">
        <v>58</v>
      </c>
      <c r="AL631" s="16" t="s">
        <v>1864</v>
      </c>
      <c r="AM631" s="15">
        <v>2016</v>
      </c>
      <c r="AN631" s="15" t="s">
        <v>685</v>
      </c>
      <c r="AO631" s="15" t="s">
        <v>56</v>
      </c>
      <c r="AP631" s="15"/>
      <c r="AQ631" s="15" t="s">
        <v>56</v>
      </c>
      <c r="AR631" s="15" t="s">
        <v>58</v>
      </c>
      <c r="AS631" s="15" t="s">
        <v>258</v>
      </c>
      <c r="AT631" s="15"/>
      <c r="AU631" s="45" t="s">
        <v>2051</v>
      </c>
      <c r="AV631" s="15"/>
      <c r="AW631" s="12" t="str">
        <f>B631&amp;C631&amp;L631&amp;M631&amp;O631&amp;U631&amp;AL631&amp;AM631</f>
        <v>AustraliaSolitary Islands Marine Park (old/small reserves)Achoerodus viridisblue groperdensityN/AMalcolm2016</v>
      </c>
    </row>
    <row r="632" spans="1:49" ht="14.25" customHeight="1" x14ac:dyDescent="0.35">
      <c r="A632" s="12">
        <v>631</v>
      </c>
      <c r="B632" s="15" t="s">
        <v>66</v>
      </c>
      <c r="C632" s="44" t="s">
        <v>2813</v>
      </c>
      <c r="D632" s="15" t="s">
        <v>1862</v>
      </c>
      <c r="E632" s="15" t="s">
        <v>136</v>
      </c>
      <c r="F632" s="16" t="s">
        <v>50</v>
      </c>
      <c r="G632" s="16" t="s">
        <v>51</v>
      </c>
      <c r="H632" s="16" t="s">
        <v>52</v>
      </c>
      <c r="I632" s="16" t="s">
        <v>2050</v>
      </c>
      <c r="J632" s="17">
        <v>86</v>
      </c>
      <c r="K632" s="17"/>
      <c r="L632" s="17" t="s">
        <v>2052</v>
      </c>
      <c r="M632" s="17" t="s">
        <v>2053</v>
      </c>
      <c r="N632" s="17" t="s">
        <v>85</v>
      </c>
      <c r="O632" s="17" t="s">
        <v>86</v>
      </c>
      <c r="P632" s="17"/>
      <c r="Q632" s="17"/>
      <c r="R632" s="17"/>
      <c r="S632" s="17" t="e">
        <f>0.208*#REF!</f>
        <v>#REF!</v>
      </c>
      <c r="T632" s="17" t="e">
        <f>0.168*#REF!</f>
        <v>#REF!</v>
      </c>
      <c r="U632" s="20" t="str">
        <f t="shared" ref="U632:U660" si="45">IFERROR(IF(AND(Q632="",R632="",S632="",T632=""),"",IF(AND(Q632&lt;&gt;"",R632&lt;&gt;"",S632&lt;&gt;"",T632&lt;&gt;""),(T632/R632)/(S632/Q632),IF(AND(Q632&lt;&gt;"",R632&lt;&gt;""),R632/Q632,IF(AND(S632&lt;&gt;"",T632&lt;&gt;""),T632/S632,IF(AND(Q632&lt;&gt;"",S632&lt;&gt;""),Q632/S632,IF(AND(R632&lt;&gt;"",T632&lt;&gt;""),T632/R632)))))), "N/A")</f>
        <v>N/A</v>
      </c>
      <c r="V632" s="41" t="str">
        <f t="shared" si="44"/>
        <v>N/A</v>
      </c>
      <c r="W632" s="17"/>
      <c r="X632" s="17" t="s">
        <v>58</v>
      </c>
      <c r="Y632" s="14">
        <v>80</v>
      </c>
      <c r="Z632" s="17" t="s">
        <v>56</v>
      </c>
      <c r="AA632" s="17"/>
      <c r="AB632" s="17" t="s">
        <v>57</v>
      </c>
      <c r="AC632" s="17">
        <v>2002</v>
      </c>
      <c r="AD632" s="17">
        <v>10</v>
      </c>
      <c r="AE632" s="17"/>
      <c r="AF632" s="17"/>
      <c r="AG632" s="17">
        <v>1991</v>
      </c>
      <c r="AH632" s="14">
        <f t="shared" si="42"/>
        <v>11</v>
      </c>
      <c r="AI632" s="17">
        <f t="shared" si="43"/>
        <v>21</v>
      </c>
      <c r="AJ632" s="17"/>
      <c r="AK632" s="17" t="s">
        <v>58</v>
      </c>
      <c r="AL632" s="16" t="s">
        <v>1864</v>
      </c>
      <c r="AM632" s="15">
        <v>2016</v>
      </c>
      <c r="AN632" s="15" t="s">
        <v>685</v>
      </c>
      <c r="AO632" s="15" t="s">
        <v>56</v>
      </c>
      <c r="AP632" s="15"/>
      <c r="AQ632" s="15" t="s">
        <v>56</v>
      </c>
      <c r="AR632" s="15" t="s">
        <v>58</v>
      </c>
      <c r="AS632" s="15" t="s">
        <v>258</v>
      </c>
      <c r="AT632" s="15"/>
      <c r="AU632" s="45" t="s">
        <v>2051</v>
      </c>
      <c r="AV632" s="15"/>
      <c r="AW632" s="12" t="str">
        <f>B632&amp;C632&amp;L632&amp;M632&amp;O632&amp;U632&amp;AL632&amp;AM632</f>
        <v>AustraliaSolitary Islands Marine Park (old/small reserves)Orectolobus spp.wobbegongdensityN/AMalcolm2016</v>
      </c>
    </row>
    <row r="633" spans="1:49" ht="14.25" customHeight="1" x14ac:dyDescent="0.35">
      <c r="A633" s="12">
        <v>632</v>
      </c>
      <c r="B633" s="15" t="s">
        <v>66</v>
      </c>
      <c r="C633" s="44" t="s">
        <v>2813</v>
      </c>
      <c r="D633" s="15" t="s">
        <v>1862</v>
      </c>
      <c r="E633" s="15" t="s">
        <v>136</v>
      </c>
      <c r="F633" s="16" t="s">
        <v>50</v>
      </c>
      <c r="G633" s="16" t="s">
        <v>51</v>
      </c>
      <c r="H633" s="16" t="s">
        <v>52</v>
      </c>
      <c r="I633" s="16" t="s">
        <v>2050</v>
      </c>
      <c r="J633" s="17">
        <v>86</v>
      </c>
      <c r="K633" s="17"/>
      <c r="L633" s="17" t="s">
        <v>2063</v>
      </c>
      <c r="M633" s="17" t="s">
        <v>938</v>
      </c>
      <c r="N633" s="17" t="s">
        <v>85</v>
      </c>
      <c r="O633" s="17" t="s">
        <v>86</v>
      </c>
      <c r="P633" s="17"/>
      <c r="Q633" s="17"/>
      <c r="R633" s="17"/>
      <c r="S633" s="17" t="e">
        <f>0.023*#REF!</f>
        <v>#REF!</v>
      </c>
      <c r="T633" s="17" t="e">
        <f>2.08*#REF!</f>
        <v>#REF!</v>
      </c>
      <c r="U633" s="20" t="str">
        <f t="shared" si="45"/>
        <v>N/A</v>
      </c>
      <c r="V633" s="41" t="str">
        <f t="shared" si="44"/>
        <v>N/A</v>
      </c>
      <c r="W633" s="17"/>
      <c r="X633" s="17" t="s">
        <v>58</v>
      </c>
      <c r="Y633" s="14">
        <v>80</v>
      </c>
      <c r="Z633" s="17" t="s">
        <v>56</v>
      </c>
      <c r="AA633" s="17"/>
      <c r="AB633" s="17" t="s">
        <v>57</v>
      </c>
      <c r="AC633" s="17">
        <v>2002</v>
      </c>
      <c r="AD633" s="17">
        <v>10</v>
      </c>
      <c r="AE633" s="17"/>
      <c r="AF633" s="17"/>
      <c r="AG633" s="17">
        <v>1991</v>
      </c>
      <c r="AH633" s="14">
        <f t="shared" si="42"/>
        <v>11</v>
      </c>
      <c r="AI633" s="17">
        <f t="shared" si="43"/>
        <v>21</v>
      </c>
      <c r="AJ633" s="17"/>
      <c r="AK633" s="17" t="s">
        <v>58</v>
      </c>
      <c r="AL633" s="16" t="s">
        <v>1864</v>
      </c>
      <c r="AM633" s="15">
        <v>2016</v>
      </c>
      <c r="AN633" s="15" t="s">
        <v>685</v>
      </c>
      <c r="AO633" s="15" t="s">
        <v>56</v>
      </c>
      <c r="AP633" s="15"/>
      <c r="AQ633" s="15" t="s">
        <v>56</v>
      </c>
      <c r="AR633" s="15" t="s">
        <v>58</v>
      </c>
      <c r="AS633" s="15" t="s">
        <v>258</v>
      </c>
      <c r="AT633" s="15"/>
      <c r="AU633" s="45" t="s">
        <v>2051</v>
      </c>
      <c r="AV633" s="15"/>
      <c r="AW633" s="12" t="str">
        <f>B633&amp;C633&amp;L633&amp;M633&amp;O633&amp;U633&amp;AL633&amp;AM633</f>
        <v>AustraliaSolitary Islands Marine Park (old/small reserves) Cheilodactylus fuscusred morwongdensityN/AMalcolm2016</v>
      </c>
    </row>
    <row r="634" spans="1:49" ht="14.25" customHeight="1" x14ac:dyDescent="0.35">
      <c r="A634" s="12">
        <v>633</v>
      </c>
      <c r="B634" s="15" t="s">
        <v>66</v>
      </c>
      <c r="C634" s="44" t="s">
        <v>2813</v>
      </c>
      <c r="D634" s="15" t="s">
        <v>1862</v>
      </c>
      <c r="E634" s="15" t="s">
        <v>136</v>
      </c>
      <c r="F634" s="16" t="s">
        <v>50</v>
      </c>
      <c r="G634" s="16" t="s">
        <v>51</v>
      </c>
      <c r="H634" s="16" t="s">
        <v>52</v>
      </c>
      <c r="I634" s="16" t="s">
        <v>2050</v>
      </c>
      <c r="J634" s="17">
        <v>86</v>
      </c>
      <c r="K634" s="17"/>
      <c r="L634" s="17" t="s">
        <v>455</v>
      </c>
      <c r="M634" s="17" t="s">
        <v>2054</v>
      </c>
      <c r="N634" s="17" t="s">
        <v>85</v>
      </c>
      <c r="O634" s="17" t="s">
        <v>86</v>
      </c>
      <c r="P634" s="17"/>
      <c r="Q634" s="17"/>
      <c r="R634" s="17"/>
      <c r="S634" s="17" t="e">
        <f>0.085*#REF!</f>
        <v>#REF!</v>
      </c>
      <c r="T634" s="17" t="e">
        <f>0.238*#REF!</f>
        <v>#REF!</v>
      </c>
      <c r="U634" s="20" t="str">
        <f t="shared" si="45"/>
        <v>N/A</v>
      </c>
      <c r="V634" s="41" t="str">
        <f t="shared" si="44"/>
        <v>N/A</v>
      </c>
      <c r="W634" s="17"/>
      <c r="X634" s="17" t="s">
        <v>58</v>
      </c>
      <c r="Y634" s="14">
        <v>80</v>
      </c>
      <c r="Z634" s="17" t="s">
        <v>56</v>
      </c>
      <c r="AA634" s="17"/>
      <c r="AB634" s="17" t="s">
        <v>57</v>
      </c>
      <c r="AC634" s="17">
        <v>2002</v>
      </c>
      <c r="AD634" s="17">
        <v>10</v>
      </c>
      <c r="AE634" s="17"/>
      <c r="AF634" s="17"/>
      <c r="AG634" s="17">
        <v>1991</v>
      </c>
      <c r="AH634" s="14">
        <f t="shared" si="42"/>
        <v>11</v>
      </c>
      <c r="AI634" s="17">
        <f t="shared" si="43"/>
        <v>21</v>
      </c>
      <c r="AJ634" s="17"/>
      <c r="AK634" s="17" t="s">
        <v>58</v>
      </c>
      <c r="AL634" s="16" t="s">
        <v>1864</v>
      </c>
      <c r="AM634" s="15">
        <v>2016</v>
      </c>
      <c r="AN634" s="15" t="s">
        <v>685</v>
      </c>
      <c r="AO634" s="15" t="s">
        <v>56</v>
      </c>
      <c r="AP634" s="15"/>
      <c r="AQ634" s="15" t="s">
        <v>56</v>
      </c>
      <c r="AR634" s="15" t="s">
        <v>58</v>
      </c>
      <c r="AS634" s="15" t="s">
        <v>258</v>
      </c>
      <c r="AT634" s="15"/>
      <c r="AU634" s="45" t="s">
        <v>2051</v>
      </c>
      <c r="AV634" s="15"/>
      <c r="AW634" s="12" t="str">
        <f>B634&amp;C634&amp;L634&amp;M634&amp;O634&amp;U634&amp;AL634&amp;AM634</f>
        <v>AustraliaSolitary Islands Marine Park (old/small reserves)Chrysophrys auratussnapperdensityN/AMalcolm2016</v>
      </c>
    </row>
    <row r="635" spans="1:49" ht="14.25" customHeight="1" x14ac:dyDescent="0.35">
      <c r="A635" s="12">
        <v>634</v>
      </c>
      <c r="B635" s="12" t="s">
        <v>66</v>
      </c>
      <c r="C635" s="44" t="s">
        <v>2813</v>
      </c>
      <c r="D635" s="15" t="s">
        <v>1862</v>
      </c>
      <c r="E635" s="12" t="s">
        <v>136</v>
      </c>
      <c r="F635" s="13" t="s">
        <v>50</v>
      </c>
      <c r="G635" s="13" t="s">
        <v>51</v>
      </c>
      <c r="H635" s="13" t="s">
        <v>52</v>
      </c>
      <c r="I635" s="13" t="s">
        <v>2050</v>
      </c>
      <c r="J635" s="17">
        <v>86</v>
      </c>
      <c r="K635" s="17"/>
      <c r="L635" s="14" t="s">
        <v>2055</v>
      </c>
      <c r="M635" s="14" t="s">
        <v>2056</v>
      </c>
      <c r="N635" s="14" t="s">
        <v>170</v>
      </c>
      <c r="O635" s="17" t="s">
        <v>86</v>
      </c>
      <c r="P635" s="14"/>
      <c r="Q635" s="14"/>
      <c r="R635" s="14"/>
      <c r="S635" s="14" t="e">
        <f>0.276*#REF!</f>
        <v>#REF!</v>
      </c>
      <c r="T635" s="14" t="e">
        <f>0.243*#REF!</f>
        <v>#REF!</v>
      </c>
      <c r="U635" s="19" t="str">
        <f t="shared" si="45"/>
        <v>N/A</v>
      </c>
      <c r="V635" s="41" t="str">
        <f t="shared" si="44"/>
        <v>N/A</v>
      </c>
      <c r="W635" s="14"/>
      <c r="X635" s="14" t="s">
        <v>58</v>
      </c>
      <c r="Y635" s="14">
        <v>80</v>
      </c>
      <c r="Z635" s="14" t="s">
        <v>56</v>
      </c>
      <c r="AA635" s="14"/>
      <c r="AB635" s="14" t="s">
        <v>57</v>
      </c>
      <c r="AC635" s="14">
        <v>2002</v>
      </c>
      <c r="AD635" s="14">
        <v>10</v>
      </c>
      <c r="AE635" s="14"/>
      <c r="AF635" s="14"/>
      <c r="AG635" s="17">
        <v>1991</v>
      </c>
      <c r="AH635" s="14">
        <f t="shared" si="42"/>
        <v>11</v>
      </c>
      <c r="AI635" s="17">
        <f t="shared" si="43"/>
        <v>21</v>
      </c>
      <c r="AJ635" s="14"/>
      <c r="AK635" s="14" t="s">
        <v>58</v>
      </c>
      <c r="AL635" s="13" t="s">
        <v>1864</v>
      </c>
      <c r="AM635" s="12">
        <v>2016</v>
      </c>
      <c r="AN635" s="12" t="s">
        <v>685</v>
      </c>
      <c r="AO635" s="12" t="s">
        <v>56</v>
      </c>
      <c r="AP635" s="12"/>
      <c r="AQ635" s="12" t="s">
        <v>56</v>
      </c>
      <c r="AR635" s="12" t="s">
        <v>58</v>
      </c>
      <c r="AS635" s="12" t="s">
        <v>258</v>
      </c>
      <c r="AT635" s="12"/>
      <c r="AU635" s="45" t="s">
        <v>2051</v>
      </c>
      <c r="AV635" s="15"/>
      <c r="AW635" s="12" t="str">
        <f>B635&amp;C635&amp;L635&amp;M635&amp;O635&amp;U635&amp;AL635&amp;AM635</f>
        <v>AustraliaSolitary Islands Marine Park (old/small reserves)Lutjanidae/Lethrinidae/ Haemulidaetropical seaperchesdensityN/AMalcolm2016</v>
      </c>
    </row>
    <row r="636" spans="1:49" ht="14.25" customHeight="1" x14ac:dyDescent="0.35">
      <c r="A636" s="12">
        <v>635</v>
      </c>
      <c r="B636" s="15" t="s">
        <v>66</v>
      </c>
      <c r="C636" s="44" t="s">
        <v>2813</v>
      </c>
      <c r="D636" s="15" t="s">
        <v>1862</v>
      </c>
      <c r="E636" s="15" t="s">
        <v>136</v>
      </c>
      <c r="F636" s="16" t="s">
        <v>50</v>
      </c>
      <c r="G636" s="16" t="s">
        <v>51</v>
      </c>
      <c r="H636" s="16" t="s">
        <v>52</v>
      </c>
      <c r="I636" s="16" t="s">
        <v>2050</v>
      </c>
      <c r="J636" s="17">
        <v>86</v>
      </c>
      <c r="K636" s="17"/>
      <c r="L636" s="17" t="s">
        <v>2057</v>
      </c>
      <c r="M636" s="17" t="s">
        <v>2058</v>
      </c>
      <c r="N636" s="17" t="s">
        <v>85</v>
      </c>
      <c r="O636" s="17" t="s">
        <v>86</v>
      </c>
      <c r="P636" s="17"/>
      <c r="Q636" s="17"/>
      <c r="R636" s="17"/>
      <c r="S636" s="17" t="e">
        <f>0.055*#REF!</f>
        <v>#REF!</v>
      </c>
      <c r="T636" s="17" t="e">
        <f>0.055*#REF!</f>
        <v>#REF!</v>
      </c>
      <c r="U636" s="20" t="str">
        <f t="shared" si="45"/>
        <v>N/A</v>
      </c>
      <c r="V636" s="41" t="str">
        <f t="shared" si="44"/>
        <v>N/A</v>
      </c>
      <c r="W636" s="17"/>
      <c r="X636" s="17" t="s">
        <v>58</v>
      </c>
      <c r="Y636" s="14">
        <v>80</v>
      </c>
      <c r="Z636" s="17" t="s">
        <v>56</v>
      </c>
      <c r="AA636" s="17"/>
      <c r="AB636" s="17" t="s">
        <v>57</v>
      </c>
      <c r="AC636" s="17">
        <v>2002</v>
      </c>
      <c r="AD636" s="17">
        <v>10</v>
      </c>
      <c r="AE636" s="17"/>
      <c r="AF636" s="17"/>
      <c r="AG636" s="17">
        <v>1991</v>
      </c>
      <c r="AH636" s="14">
        <f t="shared" si="42"/>
        <v>11</v>
      </c>
      <c r="AI636" s="17">
        <f t="shared" si="43"/>
        <v>21</v>
      </c>
      <c r="AJ636" s="17"/>
      <c r="AK636" s="17" t="s">
        <v>58</v>
      </c>
      <c r="AL636" s="16" t="s">
        <v>1864</v>
      </c>
      <c r="AM636" s="15">
        <v>2016</v>
      </c>
      <c r="AN636" s="12" t="s">
        <v>685</v>
      </c>
      <c r="AO636" s="15" t="s">
        <v>56</v>
      </c>
      <c r="AP636" s="15"/>
      <c r="AQ636" s="15" t="s">
        <v>56</v>
      </c>
      <c r="AR636" s="15" t="s">
        <v>58</v>
      </c>
      <c r="AS636" s="15" t="s">
        <v>258</v>
      </c>
      <c r="AT636" s="15"/>
      <c r="AU636" s="45" t="s">
        <v>2051</v>
      </c>
      <c r="AV636" s="15"/>
      <c r="AW636" s="12" t="str">
        <f>B636&amp;C636&amp;L636&amp;M636&amp;O636&amp;U636&amp;AL636&amp;AM636</f>
        <v>AustraliaSolitary Islands Marine Park (old/small reserves)Parupeneus spilurusblackspot goatfishdensityN/AMalcolm2016</v>
      </c>
    </row>
    <row r="637" spans="1:49" ht="14.25" customHeight="1" x14ac:dyDescent="0.35">
      <c r="A637" s="12">
        <v>636</v>
      </c>
      <c r="B637" s="12" t="s">
        <v>66</v>
      </c>
      <c r="C637" s="44" t="s">
        <v>2813</v>
      </c>
      <c r="D637" s="12" t="s">
        <v>1862</v>
      </c>
      <c r="E637" s="12" t="s">
        <v>136</v>
      </c>
      <c r="F637" s="13" t="s">
        <v>50</v>
      </c>
      <c r="G637" s="13" t="s">
        <v>51</v>
      </c>
      <c r="H637" s="13" t="s">
        <v>52</v>
      </c>
      <c r="I637" s="13" t="s">
        <v>2050</v>
      </c>
      <c r="J637" s="17">
        <v>86</v>
      </c>
      <c r="K637" s="17"/>
      <c r="L637" s="14" t="s">
        <v>2059</v>
      </c>
      <c r="M637" s="14" t="s">
        <v>1430</v>
      </c>
      <c r="N637" s="14" t="s">
        <v>85</v>
      </c>
      <c r="O637" s="17" t="s">
        <v>86</v>
      </c>
      <c r="P637" s="14"/>
      <c r="Q637" s="14"/>
      <c r="R637" s="14"/>
      <c r="S637" s="14" t="e">
        <f>2.77*#REF!</f>
        <v>#REF!</v>
      </c>
      <c r="T637" s="14" t="e">
        <f>0.409*#REF!</f>
        <v>#REF!</v>
      </c>
      <c r="U637" s="19" t="str">
        <f t="shared" si="45"/>
        <v>N/A</v>
      </c>
      <c r="V637" s="41" t="str">
        <f t="shared" si="44"/>
        <v>N/A</v>
      </c>
      <c r="W637" s="14"/>
      <c r="X637" s="14" t="s">
        <v>58</v>
      </c>
      <c r="Y637" s="14">
        <v>80</v>
      </c>
      <c r="Z637" s="14" t="s">
        <v>56</v>
      </c>
      <c r="AA637" s="14"/>
      <c r="AB637" s="14" t="s">
        <v>57</v>
      </c>
      <c r="AC637" s="14">
        <v>2002</v>
      </c>
      <c r="AD637" s="14">
        <v>10</v>
      </c>
      <c r="AE637" s="14"/>
      <c r="AF637" s="14"/>
      <c r="AG637" s="17">
        <v>1991</v>
      </c>
      <c r="AH637" s="14">
        <f t="shared" si="42"/>
        <v>11</v>
      </c>
      <c r="AI637" s="17">
        <f t="shared" si="43"/>
        <v>21</v>
      </c>
      <c r="AJ637" s="14"/>
      <c r="AK637" s="14" t="s">
        <v>58</v>
      </c>
      <c r="AL637" s="13" t="s">
        <v>1864</v>
      </c>
      <c r="AM637" s="12">
        <v>2016</v>
      </c>
      <c r="AN637" s="12" t="s">
        <v>685</v>
      </c>
      <c r="AO637" s="12" t="s">
        <v>56</v>
      </c>
      <c r="AP637" s="12"/>
      <c r="AQ637" s="12" t="s">
        <v>56</v>
      </c>
      <c r="AR637" s="12" t="s">
        <v>58</v>
      </c>
      <c r="AS637" s="12" t="s">
        <v>258</v>
      </c>
      <c r="AT637" s="12"/>
      <c r="AU637" s="45" t="s">
        <v>2051</v>
      </c>
      <c r="AV637" s="15"/>
      <c r="AW637" s="12" t="str">
        <f>B637&amp;C637&amp;L637&amp;M637&amp;O637&amp;U637&amp;AL637&amp;AM637</f>
        <v>AustraliaSolitary Islands Marine Park (old/small reserves)Acanthopagrus australisbreamdensityN/AMalcolm2016</v>
      </c>
    </row>
    <row r="638" spans="1:49" ht="14.25" customHeight="1" x14ac:dyDescent="0.35">
      <c r="A638" s="12">
        <v>637</v>
      </c>
      <c r="B638" s="12" t="s">
        <v>66</v>
      </c>
      <c r="C638" s="44" t="s">
        <v>2813</v>
      </c>
      <c r="D638" s="15" t="s">
        <v>1862</v>
      </c>
      <c r="E638" s="12" t="s">
        <v>136</v>
      </c>
      <c r="F638" s="13" t="s">
        <v>50</v>
      </c>
      <c r="G638" s="13" t="s">
        <v>51</v>
      </c>
      <c r="H638" s="13" t="s">
        <v>52</v>
      </c>
      <c r="I638" s="13" t="s">
        <v>2050</v>
      </c>
      <c r="J638" s="14">
        <v>86</v>
      </c>
      <c r="K638" s="17"/>
      <c r="L638" s="17" t="s">
        <v>2060</v>
      </c>
      <c r="M638" s="14" t="s">
        <v>2061</v>
      </c>
      <c r="N638" s="14" t="s">
        <v>85</v>
      </c>
      <c r="O638" s="17" t="s">
        <v>86</v>
      </c>
      <c r="P638" s="14"/>
      <c r="Q638" s="14"/>
      <c r="R638" s="14"/>
      <c r="S638" s="14" t="e">
        <f>0.07*#REF!</f>
        <v>#REF!</v>
      </c>
      <c r="T638" s="14">
        <v>0</v>
      </c>
      <c r="U638" s="19" t="str">
        <f t="shared" si="45"/>
        <v>N/A</v>
      </c>
      <c r="V638" s="41" t="str">
        <f t="shared" si="44"/>
        <v>N/A</v>
      </c>
      <c r="W638" s="14"/>
      <c r="X638" s="14" t="s">
        <v>58</v>
      </c>
      <c r="Y638" s="14">
        <v>80</v>
      </c>
      <c r="Z638" s="14" t="s">
        <v>56</v>
      </c>
      <c r="AA638" s="14"/>
      <c r="AB638" s="14" t="s">
        <v>57</v>
      </c>
      <c r="AC638" s="14">
        <v>2002</v>
      </c>
      <c r="AD638" s="14">
        <v>10</v>
      </c>
      <c r="AE638" s="14"/>
      <c r="AF638" s="14"/>
      <c r="AG638" s="14">
        <v>1991</v>
      </c>
      <c r="AH638" s="14">
        <f t="shared" si="42"/>
        <v>11</v>
      </c>
      <c r="AI638" s="17">
        <f t="shared" si="43"/>
        <v>21</v>
      </c>
      <c r="AJ638" s="14"/>
      <c r="AK638" s="14" t="s">
        <v>58</v>
      </c>
      <c r="AL638" s="13" t="s">
        <v>1864</v>
      </c>
      <c r="AM638" s="12">
        <v>2016</v>
      </c>
      <c r="AN638" s="12" t="s">
        <v>685</v>
      </c>
      <c r="AO638" s="12" t="s">
        <v>56</v>
      </c>
      <c r="AP638" s="12"/>
      <c r="AQ638" s="12" t="s">
        <v>56</v>
      </c>
      <c r="AR638" s="12" t="s">
        <v>58</v>
      </c>
      <c r="AS638" s="12" t="s">
        <v>258</v>
      </c>
      <c r="AT638" s="12"/>
      <c r="AU638" s="45" t="s">
        <v>2051</v>
      </c>
      <c r="AV638" s="15"/>
      <c r="AW638" s="12" t="str">
        <f>B638&amp;C638&amp;L638&amp;M638&amp;O638&amp;U638&amp;AL638&amp;AM638</f>
        <v>AustraliaSolitary Islands Marine Park (old/small reserves)Rhabdosargus sarbatarwhinedensityN/AMalcolm2016</v>
      </c>
    </row>
    <row r="639" spans="1:49" ht="14.25" customHeight="1" x14ac:dyDescent="0.35">
      <c r="A639" s="12">
        <v>638</v>
      </c>
      <c r="B639" s="12" t="s">
        <v>66</v>
      </c>
      <c r="C639" s="44" t="s">
        <v>2813</v>
      </c>
      <c r="D639" s="12" t="s">
        <v>1862</v>
      </c>
      <c r="E639" s="12" t="s">
        <v>136</v>
      </c>
      <c r="F639" s="13" t="s">
        <v>50</v>
      </c>
      <c r="G639" s="13" t="s">
        <v>51</v>
      </c>
      <c r="H639" s="13" t="s">
        <v>52</v>
      </c>
      <c r="I639" s="13" t="s">
        <v>2050</v>
      </c>
      <c r="J639" s="17">
        <v>86</v>
      </c>
      <c r="K639" s="17"/>
      <c r="L639" s="17" t="s">
        <v>269</v>
      </c>
      <c r="M639" s="14" t="s">
        <v>2062</v>
      </c>
      <c r="N639" s="14" t="s">
        <v>120</v>
      </c>
      <c r="O639" s="17" t="s">
        <v>86</v>
      </c>
      <c r="P639" s="14"/>
      <c r="Q639" s="14"/>
      <c r="R639" s="14"/>
      <c r="S639" s="14" t="e">
        <f>4.49*#REF!</f>
        <v>#REF!</v>
      </c>
      <c r="T639" s="14" t="e">
        <f>8.58*#REF!</f>
        <v>#REF!</v>
      </c>
      <c r="U639" s="19" t="str">
        <f t="shared" si="45"/>
        <v>N/A</v>
      </c>
      <c r="V639" s="41" t="str">
        <f t="shared" si="44"/>
        <v>N/A</v>
      </c>
      <c r="W639" s="14"/>
      <c r="X639" s="14" t="s">
        <v>58</v>
      </c>
      <c r="Y639" s="17">
        <v>80</v>
      </c>
      <c r="Z639" s="14" t="s">
        <v>56</v>
      </c>
      <c r="AA639" s="14"/>
      <c r="AB639" s="14" t="s">
        <v>57</v>
      </c>
      <c r="AC639" s="14">
        <v>2002</v>
      </c>
      <c r="AD639" s="14">
        <v>10</v>
      </c>
      <c r="AE639" s="14"/>
      <c r="AF639" s="14"/>
      <c r="AG639" s="17">
        <v>1991</v>
      </c>
      <c r="AH639" s="14">
        <f t="shared" si="42"/>
        <v>11</v>
      </c>
      <c r="AI639" s="17">
        <f t="shared" si="43"/>
        <v>21</v>
      </c>
      <c r="AJ639" s="14"/>
      <c r="AK639" s="14" t="s">
        <v>58</v>
      </c>
      <c r="AL639" s="13" t="s">
        <v>1864</v>
      </c>
      <c r="AM639" s="12">
        <v>2016</v>
      </c>
      <c r="AN639" s="12" t="s">
        <v>685</v>
      </c>
      <c r="AO639" s="12" t="s">
        <v>56</v>
      </c>
      <c r="AP639" s="12"/>
      <c r="AQ639" s="12" t="s">
        <v>56</v>
      </c>
      <c r="AR639" s="12" t="s">
        <v>58</v>
      </c>
      <c r="AS639" s="12" t="s">
        <v>258</v>
      </c>
      <c r="AT639" s="12"/>
      <c r="AU639" s="45" t="s">
        <v>2051</v>
      </c>
      <c r="AV639" s="15"/>
      <c r="AW639" s="12" t="str">
        <f>B639&amp;C639&amp;L639&amp;M639&amp;O639&amp;U639&amp;AL639&amp;AM639</f>
        <v>AustraliaSolitary Islands Marine Park (old/small reserves)PomacentridaeDamselfishesdensityN/AMalcolm2016</v>
      </c>
    </row>
    <row r="640" spans="1:49" ht="14.25" customHeight="1" x14ac:dyDescent="0.35">
      <c r="A640" s="12">
        <v>639</v>
      </c>
      <c r="B640" s="15" t="s">
        <v>66</v>
      </c>
      <c r="C640" s="43" t="s">
        <v>2813</v>
      </c>
      <c r="D640" s="15" t="s">
        <v>1862</v>
      </c>
      <c r="E640" s="15" t="s">
        <v>136</v>
      </c>
      <c r="F640" s="16" t="s">
        <v>50</v>
      </c>
      <c r="G640" s="16" t="s">
        <v>51</v>
      </c>
      <c r="H640" s="16" t="s">
        <v>52</v>
      </c>
      <c r="I640" s="16" t="s">
        <v>2050</v>
      </c>
      <c r="J640" s="17">
        <v>86</v>
      </c>
      <c r="K640" s="17"/>
      <c r="L640" s="17" t="s">
        <v>265</v>
      </c>
      <c r="M640" s="17" t="s">
        <v>266</v>
      </c>
      <c r="N640" s="17" t="s">
        <v>120</v>
      </c>
      <c r="O640" s="17" t="s">
        <v>86</v>
      </c>
      <c r="P640" s="17"/>
      <c r="Q640" s="17"/>
      <c r="R640" s="17"/>
      <c r="S640" s="17" t="e">
        <f>4.69*#REF!</f>
        <v>#REF!</v>
      </c>
      <c r="T640" s="17" t="e">
        <f>6.26*#REF!</f>
        <v>#REF!</v>
      </c>
      <c r="U640" s="20" t="str">
        <f t="shared" si="45"/>
        <v>N/A</v>
      </c>
      <c r="V640" s="41" t="str">
        <f t="shared" si="44"/>
        <v>N/A</v>
      </c>
      <c r="W640" s="17"/>
      <c r="X640" s="17" t="s">
        <v>58</v>
      </c>
      <c r="Y640" s="17">
        <v>80</v>
      </c>
      <c r="Z640" s="17" t="s">
        <v>56</v>
      </c>
      <c r="AA640" s="17"/>
      <c r="AB640" s="17" t="s">
        <v>57</v>
      </c>
      <c r="AC640" s="17">
        <v>2002</v>
      </c>
      <c r="AD640" s="17">
        <v>10</v>
      </c>
      <c r="AE640" s="17"/>
      <c r="AF640" s="17"/>
      <c r="AG640" s="17">
        <v>1991</v>
      </c>
      <c r="AH640" s="14">
        <f t="shared" ref="AH640:AH703" si="46">IF(OR(AG640="NA",AC640="NA"),"NA",IF(OR(AC640="",AG640=""), "", AC640-AG640))</f>
        <v>11</v>
      </c>
      <c r="AI640" s="17">
        <f t="shared" ref="AI640:AI703" si="47">IF(AH640="NA", "NA",IF(OR(AH640="",AND(AD640="",AE640="")), "",AH640+AD640+AE640/12))</f>
        <v>21</v>
      </c>
      <c r="AJ640" s="17"/>
      <c r="AK640" s="17" t="s">
        <v>58</v>
      </c>
      <c r="AL640" s="16" t="s">
        <v>1864</v>
      </c>
      <c r="AM640" s="15">
        <v>2016</v>
      </c>
      <c r="AN640" s="15" t="s">
        <v>685</v>
      </c>
      <c r="AO640" s="15" t="s">
        <v>56</v>
      </c>
      <c r="AP640" s="15"/>
      <c r="AQ640" s="15" t="s">
        <v>56</v>
      </c>
      <c r="AR640" s="15" t="s">
        <v>58</v>
      </c>
      <c r="AS640" s="15" t="s">
        <v>258</v>
      </c>
      <c r="AT640" s="15"/>
      <c r="AU640" s="45" t="s">
        <v>2051</v>
      </c>
      <c r="AV640" s="15"/>
      <c r="AW640" s="12" t="str">
        <f>B640&amp;C640&amp;L640&amp;M640&amp;O640&amp;U640&amp;AL640&amp;AM640</f>
        <v>AustraliaSolitary Islands Marine Park (old/small reserves)LabridaewrassesdensityN/AMalcolm2016</v>
      </c>
    </row>
    <row r="641" spans="1:49" ht="14.25" customHeight="1" x14ac:dyDescent="0.35">
      <c r="A641" s="12">
        <v>640</v>
      </c>
      <c r="B641" s="15" t="s">
        <v>1183</v>
      </c>
      <c r="C641" s="15" t="s">
        <v>1184</v>
      </c>
      <c r="D641" s="15" t="s">
        <v>1184</v>
      </c>
      <c r="E641" s="15" t="s">
        <v>1202</v>
      </c>
      <c r="F641" s="16" t="s">
        <v>339</v>
      </c>
      <c r="G641" s="16" t="s">
        <v>51</v>
      </c>
      <c r="H641" s="16" t="s">
        <v>108</v>
      </c>
      <c r="I641" s="16" t="s">
        <v>53</v>
      </c>
      <c r="J641" s="17">
        <v>2.67</v>
      </c>
      <c r="K641" s="17"/>
      <c r="L641" s="17"/>
      <c r="M641" s="17" t="s">
        <v>1203</v>
      </c>
      <c r="N641" s="53" t="s">
        <v>98</v>
      </c>
      <c r="O641" s="17" t="s">
        <v>101</v>
      </c>
      <c r="P641" s="17"/>
      <c r="Q641" s="17"/>
      <c r="R641" s="17"/>
      <c r="S641" s="17">
        <v>25.74</v>
      </c>
      <c r="T641" s="17">
        <v>45.265999999999998</v>
      </c>
      <c r="U641" s="20">
        <f t="shared" si="45"/>
        <v>1.7585858585858587</v>
      </c>
      <c r="V641" s="41">
        <f t="shared" si="44"/>
        <v>75.858585858585869</v>
      </c>
      <c r="W641" s="17"/>
      <c r="X641" s="17" t="s">
        <v>56</v>
      </c>
      <c r="Y641" s="17"/>
      <c r="Z641" s="17" t="s">
        <v>56</v>
      </c>
      <c r="AA641" s="17"/>
      <c r="AB641" s="17" t="s">
        <v>57</v>
      </c>
      <c r="AC641" s="17">
        <v>2011</v>
      </c>
      <c r="AD641" s="17">
        <v>2</v>
      </c>
      <c r="AE641" s="17"/>
      <c r="AF641" s="17"/>
      <c r="AG641" s="17">
        <v>2008</v>
      </c>
      <c r="AH641" s="14">
        <f t="shared" si="46"/>
        <v>3</v>
      </c>
      <c r="AI641" s="17">
        <f t="shared" si="47"/>
        <v>5</v>
      </c>
      <c r="AJ641" s="17"/>
      <c r="AK641" s="17" t="s">
        <v>58</v>
      </c>
      <c r="AL641" s="16" t="s">
        <v>1187</v>
      </c>
      <c r="AM641" s="15">
        <v>2015</v>
      </c>
      <c r="AN641" s="15" t="s">
        <v>738</v>
      </c>
      <c r="AO641" s="15" t="s">
        <v>56</v>
      </c>
      <c r="AP641" s="15"/>
      <c r="AQ641" s="15" t="s">
        <v>56</v>
      </c>
      <c r="AR641" s="15" t="s">
        <v>58</v>
      </c>
      <c r="AS641" s="15" t="s">
        <v>94</v>
      </c>
      <c r="AT641" s="15"/>
      <c r="AU641" s="45" t="s">
        <v>460</v>
      </c>
      <c r="AV641" s="15" t="s">
        <v>767</v>
      </c>
      <c r="AW641" s="12" t="str">
        <f>B641&amp;C641&amp;L641&amp;M641&amp;O641&amp;U641&amp;AL641&amp;AM641</f>
        <v>ScotlandLamlash Bay Marine Reserveepifaunacover1.75858585858586Howarth2015</v>
      </c>
    </row>
    <row r="642" spans="1:49" ht="14.25" customHeight="1" x14ac:dyDescent="0.35">
      <c r="A642" s="12">
        <v>641</v>
      </c>
      <c r="B642" s="15" t="s">
        <v>1183</v>
      </c>
      <c r="C642" s="15" t="s">
        <v>1184</v>
      </c>
      <c r="D642" s="15" t="s">
        <v>1184</v>
      </c>
      <c r="E642" s="15" t="s">
        <v>1202</v>
      </c>
      <c r="F642" s="16" t="s">
        <v>339</v>
      </c>
      <c r="G642" s="16" t="s">
        <v>51</v>
      </c>
      <c r="H642" s="16" t="s">
        <v>108</v>
      </c>
      <c r="I642" s="16" t="s">
        <v>53</v>
      </c>
      <c r="J642" s="17">
        <v>2.67</v>
      </c>
      <c r="K642" s="17"/>
      <c r="L642" s="17"/>
      <c r="M642" s="17" t="s">
        <v>1204</v>
      </c>
      <c r="N642" s="53" t="s">
        <v>98</v>
      </c>
      <c r="O642" s="17" t="s">
        <v>101</v>
      </c>
      <c r="P642" s="17"/>
      <c r="Q642" s="17"/>
      <c r="R642" s="17"/>
      <c r="S642" s="17">
        <v>0.24698000000000001</v>
      </c>
      <c r="T642" s="17">
        <v>1.1274999999999999</v>
      </c>
      <c r="U642" s="20">
        <f t="shared" si="45"/>
        <v>4.5651469754636</v>
      </c>
      <c r="V642" s="41">
        <f t="shared" ref="V642:V705" si="48">IFERROR(IF(U642 = "", "",(U642-1)*100),"N/A")</f>
        <v>356.51469754636003</v>
      </c>
      <c r="W642" s="17"/>
      <c r="X642" s="17" t="s">
        <v>56</v>
      </c>
      <c r="Y642" s="17"/>
      <c r="Z642" s="17" t="s">
        <v>56</v>
      </c>
      <c r="AA642" s="17"/>
      <c r="AB642" s="17" t="s">
        <v>57</v>
      </c>
      <c r="AC642" s="17">
        <v>2011</v>
      </c>
      <c r="AD642" s="17">
        <v>2</v>
      </c>
      <c r="AE642" s="17"/>
      <c r="AF642" s="17"/>
      <c r="AG642" s="17">
        <v>2008</v>
      </c>
      <c r="AH642" s="14">
        <f t="shared" si="46"/>
        <v>3</v>
      </c>
      <c r="AI642" s="17">
        <f t="shared" si="47"/>
        <v>5</v>
      </c>
      <c r="AJ642" s="17"/>
      <c r="AK642" s="17" t="s">
        <v>58</v>
      </c>
      <c r="AL642" s="16" t="s">
        <v>1187</v>
      </c>
      <c r="AM642" s="15">
        <v>2015</v>
      </c>
      <c r="AN642" s="15" t="s">
        <v>738</v>
      </c>
      <c r="AO642" s="15" t="s">
        <v>56</v>
      </c>
      <c r="AP642" s="15"/>
      <c r="AQ642" s="15" t="s">
        <v>56</v>
      </c>
      <c r="AR642" s="15" t="s">
        <v>58</v>
      </c>
      <c r="AS642" s="15" t="s">
        <v>94</v>
      </c>
      <c r="AT642" s="15"/>
      <c r="AU642" s="45" t="s">
        <v>460</v>
      </c>
      <c r="AV642" s="15" t="s">
        <v>767</v>
      </c>
      <c r="AW642" s="12" t="str">
        <f>B642&amp;C642&amp;L642&amp;M642&amp;O642&amp;U642&amp;AL642&amp;AM642</f>
        <v>ScotlandLamlash Bay Marine Reservemaerlcover4.5651469754636Howarth2015</v>
      </c>
    </row>
    <row r="643" spans="1:49" ht="14.25" customHeight="1" x14ac:dyDescent="0.35">
      <c r="A643" s="12">
        <v>642</v>
      </c>
      <c r="B643" s="15" t="s">
        <v>1183</v>
      </c>
      <c r="C643" s="12" t="s">
        <v>1184</v>
      </c>
      <c r="D643" s="12" t="s">
        <v>1184</v>
      </c>
      <c r="E643" s="15" t="s">
        <v>1202</v>
      </c>
      <c r="F643" s="16" t="s">
        <v>339</v>
      </c>
      <c r="G643" s="16" t="s">
        <v>51</v>
      </c>
      <c r="H643" s="16" t="s">
        <v>108</v>
      </c>
      <c r="I643" s="16" t="s">
        <v>53</v>
      </c>
      <c r="J643" s="17">
        <v>2.67</v>
      </c>
      <c r="K643" s="17"/>
      <c r="L643" s="17"/>
      <c r="M643" s="17" t="s">
        <v>291</v>
      </c>
      <c r="N643" s="53" t="s">
        <v>98</v>
      </c>
      <c r="O643" s="17" t="s">
        <v>101</v>
      </c>
      <c r="P643" s="17"/>
      <c r="Q643" s="17"/>
      <c r="R643" s="17"/>
      <c r="S643" s="17">
        <v>15.659000000000001</v>
      </c>
      <c r="T643" s="17">
        <v>31.587</v>
      </c>
      <c r="U643" s="20">
        <f t="shared" si="45"/>
        <v>2.0171786193243499</v>
      </c>
      <c r="V643" s="41">
        <f t="shared" si="48"/>
        <v>101.717861932435</v>
      </c>
      <c r="W643" s="17"/>
      <c r="X643" s="17" t="s">
        <v>56</v>
      </c>
      <c r="Y643" s="17"/>
      <c r="Z643" s="17" t="s">
        <v>56</v>
      </c>
      <c r="AA643" s="17"/>
      <c r="AB643" s="17" t="s">
        <v>57</v>
      </c>
      <c r="AC643" s="17">
        <v>2011</v>
      </c>
      <c r="AD643" s="17">
        <v>2</v>
      </c>
      <c r="AE643" s="17"/>
      <c r="AF643" s="17"/>
      <c r="AG643" s="17">
        <v>2008</v>
      </c>
      <c r="AH643" s="14">
        <f t="shared" si="46"/>
        <v>3</v>
      </c>
      <c r="AI643" s="17">
        <f t="shared" si="47"/>
        <v>5</v>
      </c>
      <c r="AJ643" s="17"/>
      <c r="AK643" s="17" t="s">
        <v>58</v>
      </c>
      <c r="AL643" s="16" t="s">
        <v>1187</v>
      </c>
      <c r="AM643" s="15">
        <v>2015</v>
      </c>
      <c r="AN643" s="15" t="s">
        <v>738</v>
      </c>
      <c r="AO643" s="15" t="s">
        <v>56</v>
      </c>
      <c r="AP643" s="15"/>
      <c r="AQ643" s="15" t="s">
        <v>56</v>
      </c>
      <c r="AR643" s="15" t="s">
        <v>58</v>
      </c>
      <c r="AS643" s="15" t="s">
        <v>94</v>
      </c>
      <c r="AT643" s="15"/>
      <c r="AU643" s="45" t="s">
        <v>460</v>
      </c>
      <c r="AV643" s="15" t="s">
        <v>767</v>
      </c>
      <c r="AW643" s="12" t="str">
        <f>B643&amp;C643&amp;L643&amp;M643&amp;O643&amp;U643&amp;AL643&amp;AM643</f>
        <v>ScotlandLamlash Bay Marine ReserveMacroalgaecover2.01717861932435Howarth2015</v>
      </c>
    </row>
    <row r="644" spans="1:49" ht="14.25" customHeight="1" x14ac:dyDescent="0.35">
      <c r="A644" s="12">
        <v>643</v>
      </c>
      <c r="B644" s="15" t="s">
        <v>1183</v>
      </c>
      <c r="C644" s="15" t="s">
        <v>1184</v>
      </c>
      <c r="D644" s="15" t="s">
        <v>1184</v>
      </c>
      <c r="E644" s="15" t="s">
        <v>1202</v>
      </c>
      <c r="F644" s="16" t="s">
        <v>339</v>
      </c>
      <c r="G644" s="16" t="s">
        <v>51</v>
      </c>
      <c r="H644" s="16" t="s">
        <v>108</v>
      </c>
      <c r="I644" s="16" t="s">
        <v>53</v>
      </c>
      <c r="J644" s="17">
        <v>2.67</v>
      </c>
      <c r="K644" s="17"/>
      <c r="L644" s="17"/>
      <c r="M644" s="17" t="s">
        <v>1205</v>
      </c>
      <c r="N644" s="53" t="s">
        <v>98</v>
      </c>
      <c r="O644" s="17" t="s">
        <v>101</v>
      </c>
      <c r="P644" s="17"/>
      <c r="Q644" s="17"/>
      <c r="R644" s="17"/>
      <c r="S644" s="17">
        <v>6.7066000000000001E-2</v>
      </c>
      <c r="T644" s="17">
        <v>0.24909999999999999</v>
      </c>
      <c r="U644" s="20">
        <f t="shared" si="45"/>
        <v>3.714251632720007</v>
      </c>
      <c r="V644" s="41">
        <f t="shared" si="48"/>
        <v>271.4251632720007</v>
      </c>
      <c r="W644" s="17"/>
      <c r="X644" s="17" t="s">
        <v>56</v>
      </c>
      <c r="Y644" s="17"/>
      <c r="Z644" s="17" t="s">
        <v>56</v>
      </c>
      <c r="AA644" s="17"/>
      <c r="AB644" s="17" t="s">
        <v>57</v>
      </c>
      <c r="AC644" s="17">
        <v>2011</v>
      </c>
      <c r="AD644" s="17">
        <v>2</v>
      </c>
      <c r="AE644" s="17"/>
      <c r="AF644" s="17"/>
      <c r="AG644" s="17">
        <v>2008</v>
      </c>
      <c r="AH644" s="14">
        <f t="shared" si="46"/>
        <v>3</v>
      </c>
      <c r="AI644" s="17">
        <f t="shared" si="47"/>
        <v>5</v>
      </c>
      <c r="AJ644" s="17"/>
      <c r="AK644" s="17" t="s">
        <v>58</v>
      </c>
      <c r="AL644" s="16" t="s">
        <v>1187</v>
      </c>
      <c r="AM644" s="15">
        <v>2015</v>
      </c>
      <c r="AN644" s="15" t="s">
        <v>738</v>
      </c>
      <c r="AO644" s="15" t="s">
        <v>56</v>
      </c>
      <c r="AP644" s="15"/>
      <c r="AQ644" s="15" t="s">
        <v>56</v>
      </c>
      <c r="AR644" s="15" t="s">
        <v>58</v>
      </c>
      <c r="AS644" s="15" t="s">
        <v>94</v>
      </c>
      <c r="AT644" s="15"/>
      <c r="AU644" s="45" t="s">
        <v>460</v>
      </c>
      <c r="AV644" s="15" t="s">
        <v>767</v>
      </c>
      <c r="AW644" s="12" t="str">
        <f>B644&amp;C644&amp;L644&amp;M644&amp;O644&amp;U644&amp;AL644&amp;AM644</f>
        <v>ScotlandLamlash Bay Marine Reservespongecover3.71425163272001Howarth2015</v>
      </c>
    </row>
    <row r="645" spans="1:49" ht="14.25" customHeight="1" x14ac:dyDescent="0.35">
      <c r="A645" s="12">
        <v>644</v>
      </c>
      <c r="B645" s="15" t="s">
        <v>1183</v>
      </c>
      <c r="C645" s="15" t="s">
        <v>1184</v>
      </c>
      <c r="D645" s="15" t="s">
        <v>1184</v>
      </c>
      <c r="E645" s="15" t="s">
        <v>1202</v>
      </c>
      <c r="F645" s="16" t="s">
        <v>339</v>
      </c>
      <c r="G645" s="16" t="s">
        <v>51</v>
      </c>
      <c r="H645" s="16" t="s">
        <v>108</v>
      </c>
      <c r="I645" s="16" t="s">
        <v>53</v>
      </c>
      <c r="J645" s="17">
        <v>2.67</v>
      </c>
      <c r="K645" s="17"/>
      <c r="L645" s="17"/>
      <c r="M645" s="17" t="s">
        <v>1206</v>
      </c>
      <c r="N645" s="53" t="s">
        <v>98</v>
      </c>
      <c r="O645" s="17" t="s">
        <v>101</v>
      </c>
      <c r="P645" s="17"/>
      <c r="Q645" s="17"/>
      <c r="R645" s="17"/>
      <c r="S645" s="17">
        <v>3.1423999999999999</v>
      </c>
      <c r="T645" s="17">
        <v>3.6067999999999998</v>
      </c>
      <c r="U645" s="20">
        <f t="shared" si="45"/>
        <v>1.147785132382892</v>
      </c>
      <c r="V645" s="41">
        <f t="shared" si="48"/>
        <v>14.778513238289204</v>
      </c>
      <c r="W645" s="17"/>
      <c r="X645" s="17" t="s">
        <v>56</v>
      </c>
      <c r="Y645" s="17"/>
      <c r="Z645" s="17" t="s">
        <v>56</v>
      </c>
      <c r="AA645" s="17"/>
      <c r="AB645" s="17" t="s">
        <v>57</v>
      </c>
      <c r="AC645" s="17">
        <v>2011</v>
      </c>
      <c r="AD645" s="17">
        <v>2</v>
      </c>
      <c r="AE645" s="17"/>
      <c r="AF645" s="17"/>
      <c r="AG645" s="17">
        <v>2008</v>
      </c>
      <c r="AH645" s="14">
        <f t="shared" si="46"/>
        <v>3</v>
      </c>
      <c r="AI645" s="17">
        <f t="shared" si="47"/>
        <v>5</v>
      </c>
      <c r="AJ645" s="17"/>
      <c r="AK645" s="17" t="s">
        <v>58</v>
      </c>
      <c r="AL645" s="16" t="s">
        <v>1187</v>
      </c>
      <c r="AM645" s="15">
        <v>2015</v>
      </c>
      <c r="AN645" s="15" t="s">
        <v>738</v>
      </c>
      <c r="AO645" s="15" t="s">
        <v>56</v>
      </c>
      <c r="AP645" s="15"/>
      <c r="AQ645" s="15" t="s">
        <v>56</v>
      </c>
      <c r="AR645" s="15" t="s">
        <v>58</v>
      </c>
      <c r="AS645" s="15" t="s">
        <v>94</v>
      </c>
      <c r="AT645" s="15"/>
      <c r="AU645" s="45" t="s">
        <v>460</v>
      </c>
      <c r="AV645" s="15" t="s">
        <v>767</v>
      </c>
      <c r="AW645" s="12" t="str">
        <f>B645&amp;C645&amp;L645&amp;M645&amp;O645&amp;U645&amp;AL645&amp;AM645</f>
        <v>ScotlandLamlash Bay Marine Reservehydroidscover1.14778513238289Howarth2015</v>
      </c>
    </row>
    <row r="646" spans="1:49" ht="14.25" customHeight="1" x14ac:dyDescent="0.35">
      <c r="A646" s="12">
        <v>645</v>
      </c>
      <c r="B646" s="12" t="s">
        <v>1183</v>
      </c>
      <c r="C646" s="12" t="s">
        <v>1184</v>
      </c>
      <c r="D646" s="12" t="s">
        <v>1184</v>
      </c>
      <c r="E646" s="12" t="s">
        <v>1202</v>
      </c>
      <c r="F646" s="13" t="s">
        <v>339</v>
      </c>
      <c r="G646" s="13" t="s">
        <v>51</v>
      </c>
      <c r="H646" s="13" t="s">
        <v>108</v>
      </c>
      <c r="I646" s="13" t="s">
        <v>53</v>
      </c>
      <c r="J646" s="17">
        <v>2.67</v>
      </c>
      <c r="K646" s="17"/>
      <c r="L646" s="14"/>
      <c r="M646" s="14" t="s">
        <v>1207</v>
      </c>
      <c r="N646" s="42" t="s">
        <v>98</v>
      </c>
      <c r="O646" s="17" t="s">
        <v>101</v>
      </c>
      <c r="P646" s="14"/>
      <c r="Q646" s="14"/>
      <c r="R646" s="14"/>
      <c r="S646" s="14">
        <v>0.3483</v>
      </c>
      <c r="T646" s="14">
        <v>0.65788999999999997</v>
      </c>
      <c r="U646" s="19">
        <f t="shared" si="45"/>
        <v>1.8888601780074648</v>
      </c>
      <c r="V646" s="41">
        <f t="shared" si="48"/>
        <v>88.886017800746473</v>
      </c>
      <c r="W646" s="14"/>
      <c r="X646" s="14" t="s">
        <v>56</v>
      </c>
      <c r="Y646" s="17"/>
      <c r="Z646" s="14" t="s">
        <v>56</v>
      </c>
      <c r="AA646" s="14"/>
      <c r="AB646" s="14" t="s">
        <v>57</v>
      </c>
      <c r="AC646" s="14">
        <v>2011</v>
      </c>
      <c r="AD646" s="14">
        <v>2</v>
      </c>
      <c r="AE646" s="14"/>
      <c r="AF646" s="14"/>
      <c r="AG646" s="17">
        <v>2008</v>
      </c>
      <c r="AH646" s="14">
        <f t="shared" si="46"/>
        <v>3</v>
      </c>
      <c r="AI646" s="17">
        <f t="shared" si="47"/>
        <v>5</v>
      </c>
      <c r="AJ646" s="14"/>
      <c r="AK646" s="14" t="s">
        <v>58</v>
      </c>
      <c r="AL646" s="13" t="s">
        <v>1187</v>
      </c>
      <c r="AM646" s="12">
        <v>2015</v>
      </c>
      <c r="AN646" s="12" t="s">
        <v>738</v>
      </c>
      <c r="AO646" s="12" t="s">
        <v>56</v>
      </c>
      <c r="AP646" s="12"/>
      <c r="AQ646" s="12" t="s">
        <v>56</v>
      </c>
      <c r="AR646" s="12" t="s">
        <v>58</v>
      </c>
      <c r="AS646" s="12" t="s">
        <v>94</v>
      </c>
      <c r="AT646" s="12"/>
      <c r="AU646" s="45" t="s">
        <v>460</v>
      </c>
      <c r="AV646" s="15" t="s">
        <v>767</v>
      </c>
      <c r="AW646" s="12" t="str">
        <f>B646&amp;C646&amp;L646&amp;M646&amp;O646&amp;U646&amp;AL646&amp;AM646</f>
        <v>ScotlandLamlash Bay Marine Reservebryozoanscover1.88886017800746Howarth2015</v>
      </c>
    </row>
    <row r="647" spans="1:49" ht="14.25" customHeight="1" x14ac:dyDescent="0.35">
      <c r="A647" s="12">
        <v>646</v>
      </c>
      <c r="B647" s="15" t="s">
        <v>1183</v>
      </c>
      <c r="C647" s="15" t="s">
        <v>1184</v>
      </c>
      <c r="D647" s="15" t="s">
        <v>1184</v>
      </c>
      <c r="E647" s="15" t="s">
        <v>1202</v>
      </c>
      <c r="F647" s="16" t="s">
        <v>339</v>
      </c>
      <c r="G647" s="16" t="s">
        <v>51</v>
      </c>
      <c r="H647" s="16" t="s">
        <v>108</v>
      </c>
      <c r="I647" s="16" t="s">
        <v>53</v>
      </c>
      <c r="J647" s="17">
        <v>2.67</v>
      </c>
      <c r="K647" s="17"/>
      <c r="L647" s="17"/>
      <c r="M647" s="17" t="s">
        <v>1208</v>
      </c>
      <c r="N647" s="17" t="s">
        <v>170</v>
      </c>
      <c r="O647" s="17" t="s">
        <v>86</v>
      </c>
      <c r="P647" s="17"/>
      <c r="Q647" s="17"/>
      <c r="R647" s="17"/>
      <c r="S647" s="17">
        <v>15.111000000000001</v>
      </c>
      <c r="T647" s="17">
        <v>10.413</v>
      </c>
      <c r="U647" s="20">
        <f t="shared" si="45"/>
        <v>0.68910065515187613</v>
      </c>
      <c r="V647" s="41">
        <f t="shared" si="48"/>
        <v>-31.089934484812389</v>
      </c>
      <c r="W647" s="17"/>
      <c r="X647" s="17" t="s">
        <v>56</v>
      </c>
      <c r="Y647" s="17"/>
      <c r="Z647" s="17" t="s">
        <v>56</v>
      </c>
      <c r="AA647" s="17"/>
      <c r="AB647" s="17" t="s">
        <v>57</v>
      </c>
      <c r="AC647" s="17">
        <v>2011</v>
      </c>
      <c r="AD647" s="17">
        <v>2</v>
      </c>
      <c r="AE647" s="17"/>
      <c r="AF647" s="17"/>
      <c r="AG647" s="17">
        <v>2008</v>
      </c>
      <c r="AH647" s="14">
        <f t="shared" si="46"/>
        <v>3</v>
      </c>
      <c r="AI647" s="17">
        <f t="shared" si="47"/>
        <v>5</v>
      </c>
      <c r="AJ647" s="17"/>
      <c r="AK647" s="17" t="s">
        <v>58</v>
      </c>
      <c r="AL647" s="16" t="s">
        <v>1187</v>
      </c>
      <c r="AM647" s="15">
        <v>2015</v>
      </c>
      <c r="AN647" s="12" t="s">
        <v>738</v>
      </c>
      <c r="AO647" s="15" t="s">
        <v>56</v>
      </c>
      <c r="AP647" s="15"/>
      <c r="AQ647" s="15" t="s">
        <v>56</v>
      </c>
      <c r="AR647" s="15" t="s">
        <v>58</v>
      </c>
      <c r="AS647" s="15" t="s">
        <v>94</v>
      </c>
      <c r="AT647" s="15"/>
      <c r="AU647" s="45" t="s">
        <v>460</v>
      </c>
      <c r="AV647" s="15" t="s">
        <v>767</v>
      </c>
      <c r="AW647" s="12" t="str">
        <f>B647&amp;C647&amp;L647&amp;M647&amp;O647&amp;U647&amp;AL647&amp;AM647</f>
        <v>ScotlandLamlash Bay Marine Reservehermit crabsdensity0.689100655151876Howarth2015</v>
      </c>
    </row>
    <row r="648" spans="1:49" ht="14.25" customHeight="1" x14ac:dyDescent="0.35">
      <c r="A648" s="12">
        <v>647</v>
      </c>
      <c r="B648" s="12" t="s">
        <v>1183</v>
      </c>
      <c r="C648" s="12" t="s">
        <v>1184</v>
      </c>
      <c r="D648" s="12" t="s">
        <v>1184</v>
      </c>
      <c r="E648" s="12" t="s">
        <v>1202</v>
      </c>
      <c r="F648" s="13" t="s">
        <v>339</v>
      </c>
      <c r="G648" s="13" t="s">
        <v>51</v>
      </c>
      <c r="H648" s="13" t="s">
        <v>108</v>
      </c>
      <c r="I648" s="13" t="s">
        <v>53</v>
      </c>
      <c r="J648" s="17">
        <v>2.67</v>
      </c>
      <c r="K648" s="14"/>
      <c r="L648" s="14" t="s">
        <v>2787</v>
      </c>
      <c r="M648" s="14" t="s">
        <v>1209</v>
      </c>
      <c r="N648" s="14" t="s">
        <v>85</v>
      </c>
      <c r="O648" s="17" t="s">
        <v>86</v>
      </c>
      <c r="P648" s="14"/>
      <c r="Q648" s="14"/>
      <c r="R648" s="14"/>
      <c r="S648" s="14">
        <v>6.3490000000000002</v>
      </c>
      <c r="T648" s="14">
        <v>10.412000000000001</v>
      </c>
      <c r="U648" s="19">
        <f t="shared" si="45"/>
        <v>1.6399432981571902</v>
      </c>
      <c r="V648" s="41">
        <f t="shared" si="48"/>
        <v>63.99432981571902</v>
      </c>
      <c r="W648" s="14"/>
      <c r="X648" s="14" t="s">
        <v>56</v>
      </c>
      <c r="Y648" s="17"/>
      <c r="Z648" s="14" t="s">
        <v>56</v>
      </c>
      <c r="AA648" s="14"/>
      <c r="AB648" s="14" t="s">
        <v>57</v>
      </c>
      <c r="AC648" s="14">
        <v>2011</v>
      </c>
      <c r="AD648" s="14">
        <v>2</v>
      </c>
      <c r="AE648" s="14"/>
      <c r="AF648" s="14"/>
      <c r="AG648" s="17">
        <v>2008</v>
      </c>
      <c r="AH648" s="14">
        <f t="shared" si="46"/>
        <v>3</v>
      </c>
      <c r="AI648" s="17">
        <f t="shared" si="47"/>
        <v>5</v>
      </c>
      <c r="AJ648" s="14"/>
      <c r="AK648" s="14" t="s">
        <v>58</v>
      </c>
      <c r="AL648" s="13" t="s">
        <v>1187</v>
      </c>
      <c r="AM648" s="12">
        <v>2015</v>
      </c>
      <c r="AN648" s="12" t="s">
        <v>738</v>
      </c>
      <c r="AO648" s="12" t="s">
        <v>56</v>
      </c>
      <c r="AP648" s="12"/>
      <c r="AQ648" s="12" t="s">
        <v>56</v>
      </c>
      <c r="AR648" s="12" t="s">
        <v>58</v>
      </c>
      <c r="AS648" s="12" t="s">
        <v>94</v>
      </c>
      <c r="AT648" s="12"/>
      <c r="AU648" s="45" t="s">
        <v>460</v>
      </c>
      <c r="AV648" s="15" t="s">
        <v>767</v>
      </c>
      <c r="AW648" s="12" t="str">
        <f>B648&amp;C648&amp;L648&amp;M648&amp;O648&amp;U648&amp;AL648&amp;AM648</f>
        <v>ScotlandLamlash Bay Marine ReserveLiocarcinus depuratorharbour crabdensity1.63994329815719Howarth2015</v>
      </c>
    </row>
    <row r="649" spans="1:49" ht="14.25" customHeight="1" x14ac:dyDescent="0.35">
      <c r="A649" s="12">
        <v>648</v>
      </c>
      <c r="B649" s="12" t="s">
        <v>1183</v>
      </c>
      <c r="C649" s="12" t="s">
        <v>1184</v>
      </c>
      <c r="D649" s="12" t="s">
        <v>1184</v>
      </c>
      <c r="E649" s="12" t="s">
        <v>1202</v>
      </c>
      <c r="F649" s="13" t="s">
        <v>339</v>
      </c>
      <c r="G649" s="13" t="s">
        <v>51</v>
      </c>
      <c r="H649" s="13" t="s">
        <v>108</v>
      </c>
      <c r="I649" s="13" t="s">
        <v>53</v>
      </c>
      <c r="J649" s="17">
        <v>2.67</v>
      </c>
      <c r="K649" s="14"/>
      <c r="L649" s="14" t="s">
        <v>2795</v>
      </c>
      <c r="M649" s="14" t="s">
        <v>1210</v>
      </c>
      <c r="N649" s="14" t="s">
        <v>1211</v>
      </c>
      <c r="O649" s="17" t="s">
        <v>86</v>
      </c>
      <c r="P649" s="14"/>
      <c r="Q649" s="14"/>
      <c r="R649" s="14"/>
      <c r="S649" s="14">
        <v>2.9205999999999999</v>
      </c>
      <c r="T649" s="14">
        <v>3.4289999999999998</v>
      </c>
      <c r="U649" s="19">
        <f t="shared" si="45"/>
        <v>1.1740738204478531</v>
      </c>
      <c r="V649" s="41">
        <f t="shared" si="48"/>
        <v>17.407382044785315</v>
      </c>
      <c r="W649" s="14"/>
      <c r="X649" s="14" t="s">
        <v>56</v>
      </c>
      <c r="Y649" s="17"/>
      <c r="Z649" s="14" t="s">
        <v>56</v>
      </c>
      <c r="AA649" s="14"/>
      <c r="AB649" s="14" t="s">
        <v>57</v>
      </c>
      <c r="AC649" s="14">
        <v>2011</v>
      </c>
      <c r="AD649" s="14">
        <v>2</v>
      </c>
      <c r="AE649" s="14"/>
      <c r="AF649" s="14"/>
      <c r="AG649" s="17">
        <v>2008</v>
      </c>
      <c r="AH649" s="14">
        <f t="shared" si="46"/>
        <v>3</v>
      </c>
      <c r="AI649" s="17">
        <f t="shared" si="47"/>
        <v>5</v>
      </c>
      <c r="AJ649" s="14"/>
      <c r="AK649" s="14" t="s">
        <v>58</v>
      </c>
      <c r="AL649" s="13" t="s">
        <v>1187</v>
      </c>
      <c r="AM649" s="12">
        <v>2015</v>
      </c>
      <c r="AN649" s="12" t="s">
        <v>738</v>
      </c>
      <c r="AO649" s="12" t="s">
        <v>56</v>
      </c>
      <c r="AP649" s="12"/>
      <c r="AQ649" s="12" t="s">
        <v>56</v>
      </c>
      <c r="AR649" s="12" t="s">
        <v>58</v>
      </c>
      <c r="AS649" s="12" t="s">
        <v>94</v>
      </c>
      <c r="AT649" s="12"/>
      <c r="AU649" s="45" t="s">
        <v>460</v>
      </c>
      <c r="AV649" s="15" t="s">
        <v>767</v>
      </c>
      <c r="AW649" s="12" t="str">
        <f>B649&amp;C649&amp;L649&amp;M649&amp;O649&amp;U649&amp;AL649&amp;AM649</f>
        <v>ScotlandLamlash Bay Marine ReserveMacropodia sppdecorator crabsdensity1.17407382044785Howarth2015</v>
      </c>
    </row>
    <row r="650" spans="1:49" ht="14.25" customHeight="1" x14ac:dyDescent="0.35">
      <c r="A650" s="12">
        <v>649</v>
      </c>
      <c r="B650" s="12" t="s">
        <v>1183</v>
      </c>
      <c r="C650" s="12" t="s">
        <v>1184</v>
      </c>
      <c r="D650" s="12" t="s">
        <v>1184</v>
      </c>
      <c r="E650" s="12" t="s">
        <v>1202</v>
      </c>
      <c r="F650" s="13" t="s">
        <v>339</v>
      </c>
      <c r="G650" s="13" t="s">
        <v>51</v>
      </c>
      <c r="H650" s="13" t="s">
        <v>108</v>
      </c>
      <c r="I650" s="13" t="s">
        <v>53</v>
      </c>
      <c r="J650" s="17">
        <v>2.67</v>
      </c>
      <c r="K650" s="17"/>
      <c r="L650" s="14"/>
      <c r="M650" s="14" t="s">
        <v>1212</v>
      </c>
      <c r="N650" s="14" t="s">
        <v>1213</v>
      </c>
      <c r="O650" s="17" t="s">
        <v>86</v>
      </c>
      <c r="P650" s="14"/>
      <c r="Q650" s="14"/>
      <c r="R650" s="14"/>
      <c r="S650" s="14">
        <v>2.7936999999999999</v>
      </c>
      <c r="T650" s="14">
        <v>3.5554999999999999</v>
      </c>
      <c r="U650" s="19">
        <f t="shared" si="45"/>
        <v>1.2726849697533738</v>
      </c>
      <c r="V650" s="41">
        <f t="shared" si="48"/>
        <v>27.268496975337374</v>
      </c>
      <c r="W650" s="14"/>
      <c r="X650" s="14" t="s">
        <v>56</v>
      </c>
      <c r="Y650" s="17"/>
      <c r="Z650" s="14" t="s">
        <v>56</v>
      </c>
      <c r="AA650" s="14"/>
      <c r="AB650" s="14" t="s">
        <v>57</v>
      </c>
      <c r="AC650" s="14">
        <v>2011</v>
      </c>
      <c r="AD650" s="14">
        <v>2</v>
      </c>
      <c r="AE650" s="14"/>
      <c r="AF650" s="14"/>
      <c r="AG650" s="17">
        <v>2008</v>
      </c>
      <c r="AH650" s="14">
        <f t="shared" si="46"/>
        <v>3</v>
      </c>
      <c r="AI650" s="17">
        <f t="shared" si="47"/>
        <v>5</v>
      </c>
      <c r="AJ650" s="14"/>
      <c r="AK650" s="14" t="s">
        <v>58</v>
      </c>
      <c r="AL650" s="13" t="s">
        <v>1187</v>
      </c>
      <c r="AM650" s="12">
        <v>2015</v>
      </c>
      <c r="AN650" s="12" t="s">
        <v>738</v>
      </c>
      <c r="AO650" s="12" t="s">
        <v>56</v>
      </c>
      <c r="AP650" s="12"/>
      <c r="AQ650" s="12" t="s">
        <v>56</v>
      </c>
      <c r="AR650" s="12" t="s">
        <v>58</v>
      </c>
      <c r="AS650" s="12" t="s">
        <v>94</v>
      </c>
      <c r="AT650" s="12"/>
      <c r="AU650" s="45" t="s">
        <v>460</v>
      </c>
      <c r="AV650" s="15" t="s">
        <v>767</v>
      </c>
      <c r="AW650" s="12" t="str">
        <f>B650&amp;C650&amp;L650&amp;M650&amp;O650&amp;U650&amp;AL650&amp;AM650</f>
        <v>ScotlandLamlash Bay Marine Reservesquat lobsterdensity1.27268496975337Howarth2015</v>
      </c>
    </row>
    <row r="651" spans="1:49" ht="14.25" customHeight="1" x14ac:dyDescent="0.35">
      <c r="A651" s="12">
        <v>650</v>
      </c>
      <c r="B651" s="12" t="s">
        <v>1183</v>
      </c>
      <c r="C651" s="12" t="s">
        <v>1184</v>
      </c>
      <c r="D651" s="12" t="s">
        <v>1184</v>
      </c>
      <c r="E651" s="12" t="s">
        <v>1202</v>
      </c>
      <c r="F651" s="13" t="s">
        <v>339</v>
      </c>
      <c r="G651" s="13" t="s">
        <v>51</v>
      </c>
      <c r="H651" s="13" t="s">
        <v>108</v>
      </c>
      <c r="I651" s="13" t="s">
        <v>53</v>
      </c>
      <c r="J651" s="17">
        <v>2.67</v>
      </c>
      <c r="K651" s="14"/>
      <c r="L651" s="14"/>
      <c r="M651" s="14" t="s">
        <v>1214</v>
      </c>
      <c r="N651" s="14" t="s">
        <v>120</v>
      </c>
      <c r="O651" s="17" t="s">
        <v>86</v>
      </c>
      <c r="P651" s="14"/>
      <c r="Q651" s="14"/>
      <c r="R651" s="14"/>
      <c r="S651" s="14">
        <v>2.1587000000000001</v>
      </c>
      <c r="T651" s="14">
        <v>4.3174999999999999</v>
      </c>
      <c r="U651" s="19">
        <f t="shared" si="45"/>
        <v>2.0000463241765876</v>
      </c>
      <c r="V651" s="41">
        <f t="shared" si="48"/>
        <v>100.00463241765875</v>
      </c>
      <c r="W651" s="14"/>
      <c r="X651" s="14" t="s">
        <v>56</v>
      </c>
      <c r="Z651" s="14" t="s">
        <v>56</v>
      </c>
      <c r="AA651" s="14"/>
      <c r="AB651" s="14" t="s">
        <v>57</v>
      </c>
      <c r="AC651" s="14">
        <v>2011</v>
      </c>
      <c r="AD651" s="14">
        <v>2</v>
      </c>
      <c r="AE651" s="14"/>
      <c r="AF651" s="14"/>
      <c r="AG651" s="14">
        <v>2008</v>
      </c>
      <c r="AH651" s="14">
        <f t="shared" si="46"/>
        <v>3</v>
      </c>
      <c r="AI651" s="17">
        <f t="shared" si="47"/>
        <v>5</v>
      </c>
      <c r="AJ651" s="14"/>
      <c r="AK651" s="14" t="s">
        <v>58</v>
      </c>
      <c r="AL651" s="13" t="s">
        <v>1187</v>
      </c>
      <c r="AM651" s="12">
        <v>2015</v>
      </c>
      <c r="AN651" s="12" t="s">
        <v>738</v>
      </c>
      <c r="AO651" s="12" t="s">
        <v>56</v>
      </c>
      <c r="AP651" s="12"/>
      <c r="AQ651" s="12" t="s">
        <v>56</v>
      </c>
      <c r="AR651" s="12" t="s">
        <v>58</v>
      </c>
      <c r="AS651" s="12" t="s">
        <v>94</v>
      </c>
      <c r="AT651" s="12"/>
      <c r="AU651" s="45" t="s">
        <v>460</v>
      </c>
      <c r="AV651" s="15" t="s">
        <v>767</v>
      </c>
      <c r="AW651" s="12" t="str">
        <f>B651&amp;C651&amp;L651&amp;M651&amp;O651&amp;U651&amp;AL651&amp;AM651</f>
        <v>ScotlandLamlash Bay Marine Reservespiny starfishdensity2.00004632417659Howarth2015</v>
      </c>
    </row>
    <row r="652" spans="1:49" ht="14.25" customHeight="1" x14ac:dyDescent="0.35">
      <c r="A652" s="12">
        <v>651</v>
      </c>
      <c r="B652" s="12" t="s">
        <v>1183</v>
      </c>
      <c r="C652" s="12" t="s">
        <v>1184</v>
      </c>
      <c r="D652" s="12" t="s">
        <v>1184</v>
      </c>
      <c r="E652" s="12" t="s">
        <v>1202</v>
      </c>
      <c r="F652" s="13" t="s">
        <v>339</v>
      </c>
      <c r="G652" s="13" t="s">
        <v>51</v>
      </c>
      <c r="H652" s="13" t="s">
        <v>108</v>
      </c>
      <c r="I652" s="13" t="s">
        <v>53</v>
      </c>
      <c r="J652" s="14">
        <v>2.67</v>
      </c>
      <c r="K652" s="14"/>
      <c r="L652" s="14" t="s">
        <v>1215</v>
      </c>
      <c r="M652" s="14" t="s">
        <v>1216</v>
      </c>
      <c r="N652" s="14" t="s">
        <v>85</v>
      </c>
      <c r="O652" s="17" t="s">
        <v>86</v>
      </c>
      <c r="P652" s="14"/>
      <c r="Q652" s="14"/>
      <c r="R652" s="14"/>
      <c r="S652" s="14">
        <v>1.05</v>
      </c>
      <c r="T652" s="14">
        <v>3.052</v>
      </c>
      <c r="U652" s="19">
        <f t="shared" si="45"/>
        <v>2.9066666666666667</v>
      </c>
      <c r="V652" s="41">
        <f t="shared" si="48"/>
        <v>190.66666666666669</v>
      </c>
      <c r="W652" s="14"/>
      <c r="X652" s="14" t="s">
        <v>56</v>
      </c>
      <c r="Z652" s="14" t="s">
        <v>56</v>
      </c>
      <c r="AA652" s="14"/>
      <c r="AB652" s="14" t="s">
        <v>57</v>
      </c>
      <c r="AC652" s="14">
        <v>2011</v>
      </c>
      <c r="AD652" s="14">
        <v>2</v>
      </c>
      <c r="AE652" s="14"/>
      <c r="AF652" s="14"/>
      <c r="AG652" s="14">
        <v>2008</v>
      </c>
      <c r="AH652" s="14">
        <f t="shared" si="46"/>
        <v>3</v>
      </c>
      <c r="AI652" s="17">
        <f t="shared" si="47"/>
        <v>5</v>
      </c>
      <c r="AJ652" s="14"/>
      <c r="AK652" s="14" t="s">
        <v>58</v>
      </c>
      <c r="AL652" s="13" t="s">
        <v>1187</v>
      </c>
      <c r="AM652" s="12">
        <v>2015</v>
      </c>
      <c r="AN652" s="12" t="s">
        <v>738</v>
      </c>
      <c r="AO652" s="12" t="s">
        <v>56</v>
      </c>
      <c r="AP652" s="12"/>
      <c r="AQ652" s="12" t="s">
        <v>56</v>
      </c>
      <c r="AR652" s="12" t="s">
        <v>58</v>
      </c>
      <c r="AS652" s="12" t="s">
        <v>94</v>
      </c>
      <c r="AT652" s="12"/>
      <c r="AU652" s="45" t="s">
        <v>460</v>
      </c>
      <c r="AV652" s="15" t="s">
        <v>767</v>
      </c>
      <c r="AW652" s="12" t="str">
        <f>B652&amp;C652&amp;L652&amp;M652&amp;O652&amp;U652&amp;AL652&amp;AM652</f>
        <v>ScotlandLamlash Bay Marine ReserveMyxicola infundibulumeyelash wormdensity2.90666666666667Howarth2015</v>
      </c>
    </row>
    <row r="653" spans="1:49" ht="14.25" customHeight="1" x14ac:dyDescent="0.35">
      <c r="A653" s="12">
        <v>652</v>
      </c>
      <c r="B653" s="15" t="s">
        <v>1183</v>
      </c>
      <c r="C653" s="12" t="s">
        <v>1184</v>
      </c>
      <c r="D653" s="12" t="s">
        <v>1184</v>
      </c>
      <c r="E653" s="15" t="s">
        <v>1202</v>
      </c>
      <c r="F653" s="16" t="s">
        <v>339</v>
      </c>
      <c r="G653" s="16" t="s">
        <v>51</v>
      </c>
      <c r="H653" s="16" t="s">
        <v>108</v>
      </c>
      <c r="I653" s="16" t="s">
        <v>53</v>
      </c>
      <c r="J653" s="17">
        <v>2.67</v>
      </c>
      <c r="K653" s="14"/>
      <c r="L653" s="17" t="s">
        <v>2801</v>
      </c>
      <c r="M653" s="17" t="s">
        <v>1217</v>
      </c>
      <c r="N653" s="14" t="s">
        <v>120</v>
      </c>
      <c r="O653" s="17" t="s">
        <v>86</v>
      </c>
      <c r="P653" s="17"/>
      <c r="Q653" s="17"/>
      <c r="R653" s="17"/>
      <c r="S653" s="17">
        <v>4.8650000000000002</v>
      </c>
      <c r="T653" s="17">
        <v>6.01</v>
      </c>
      <c r="U653" s="20">
        <f t="shared" si="45"/>
        <v>1.2353545734840699</v>
      </c>
      <c r="V653" s="41">
        <f t="shared" si="48"/>
        <v>23.535457348406986</v>
      </c>
      <c r="W653" s="17"/>
      <c r="X653" s="17" t="s">
        <v>56</v>
      </c>
      <c r="Z653" s="17" t="s">
        <v>56</v>
      </c>
      <c r="AA653" s="17"/>
      <c r="AB653" s="17" t="s">
        <v>57</v>
      </c>
      <c r="AC653" s="17">
        <v>2011</v>
      </c>
      <c r="AD653" s="17">
        <v>2</v>
      </c>
      <c r="AE653" s="17"/>
      <c r="AF653" s="17"/>
      <c r="AG653" s="17">
        <v>2008</v>
      </c>
      <c r="AH653" s="14">
        <f t="shared" si="46"/>
        <v>3</v>
      </c>
      <c r="AI653" s="17">
        <f t="shared" si="47"/>
        <v>5</v>
      </c>
      <c r="AJ653" s="17"/>
      <c r="AK653" s="17" t="s">
        <v>58</v>
      </c>
      <c r="AL653" s="16" t="s">
        <v>1187</v>
      </c>
      <c r="AM653" s="15">
        <v>2015</v>
      </c>
      <c r="AN653" s="15" t="s">
        <v>738</v>
      </c>
      <c r="AO653" s="15" t="s">
        <v>56</v>
      </c>
      <c r="AP653" s="15"/>
      <c r="AQ653" s="15" t="s">
        <v>56</v>
      </c>
      <c r="AR653" s="15" t="s">
        <v>58</v>
      </c>
      <c r="AS653" s="15" t="s">
        <v>94</v>
      </c>
      <c r="AT653" s="15"/>
      <c r="AU653" s="45" t="s">
        <v>460</v>
      </c>
      <c r="AV653" s="15" t="s">
        <v>767</v>
      </c>
      <c r="AW653" s="12" t="str">
        <f>B653&amp;C653&amp;L653&amp;M653&amp;O653&amp;U653&amp;AL653&amp;AM653</f>
        <v>ScotlandLamlash Bay Marine ReserveChaetopterus sppparchment wormdensity1.23535457348407Howarth2015</v>
      </c>
    </row>
    <row r="654" spans="1:49" ht="14.25" customHeight="1" x14ac:dyDescent="0.35">
      <c r="A654" s="12">
        <v>653</v>
      </c>
      <c r="B654" s="12" t="s">
        <v>1183</v>
      </c>
      <c r="C654" s="12" t="s">
        <v>1184</v>
      </c>
      <c r="D654" s="12" t="s">
        <v>1184</v>
      </c>
      <c r="E654" s="12" t="s">
        <v>1202</v>
      </c>
      <c r="F654" s="16" t="s">
        <v>339</v>
      </c>
      <c r="G654" s="16" t="s">
        <v>51</v>
      </c>
      <c r="H654" s="13" t="s">
        <v>108</v>
      </c>
      <c r="I654" s="13" t="s">
        <v>53</v>
      </c>
      <c r="J654" s="14">
        <v>2.67</v>
      </c>
      <c r="K654" s="14"/>
      <c r="L654" s="17"/>
      <c r="M654" s="14" t="s">
        <v>1218</v>
      </c>
      <c r="N654" s="14" t="s">
        <v>446</v>
      </c>
      <c r="O654" s="17" t="s">
        <v>86</v>
      </c>
      <c r="P654" s="14"/>
      <c r="Q654" s="14"/>
      <c r="R654" s="14"/>
      <c r="S654" s="14">
        <v>11.494</v>
      </c>
      <c r="T654" s="14">
        <v>17.599</v>
      </c>
      <c r="U654" s="19">
        <f t="shared" si="45"/>
        <v>1.531146685227075</v>
      </c>
      <c r="V654" s="41">
        <f t="shared" si="48"/>
        <v>53.114668522707497</v>
      </c>
      <c r="W654" s="14"/>
      <c r="X654" s="14" t="s">
        <v>56</v>
      </c>
      <c r="Z654" s="14" t="s">
        <v>56</v>
      </c>
      <c r="AA654" s="14"/>
      <c r="AB654" s="14" t="s">
        <v>57</v>
      </c>
      <c r="AC654" s="14">
        <v>2011</v>
      </c>
      <c r="AD654" s="14">
        <v>2</v>
      </c>
      <c r="AE654" s="14"/>
      <c r="AF654" s="14"/>
      <c r="AG654" s="14">
        <v>2008</v>
      </c>
      <c r="AH654" s="14">
        <f t="shared" si="46"/>
        <v>3</v>
      </c>
      <c r="AI654" s="17">
        <f t="shared" si="47"/>
        <v>5</v>
      </c>
      <c r="AJ654" s="14"/>
      <c r="AK654" s="14" t="s">
        <v>58</v>
      </c>
      <c r="AL654" s="13" t="s">
        <v>1187</v>
      </c>
      <c r="AM654" s="12">
        <v>2015</v>
      </c>
      <c r="AN654" s="12" t="s">
        <v>738</v>
      </c>
      <c r="AO654" s="12" t="s">
        <v>56</v>
      </c>
      <c r="AP654" s="12"/>
      <c r="AQ654" s="12" t="s">
        <v>56</v>
      </c>
      <c r="AR654" s="12" t="s">
        <v>58</v>
      </c>
      <c r="AS654" s="12" t="s">
        <v>94</v>
      </c>
      <c r="AT654" s="12"/>
      <c r="AU654" s="45" t="s">
        <v>460</v>
      </c>
      <c r="AV654" s="15" t="s">
        <v>767</v>
      </c>
      <c r="AW654" s="12" t="str">
        <f>B654&amp;C654&amp;L654&amp;M654&amp;O654&amp;U654&amp;AL654&amp;AM654</f>
        <v>ScotlandLamlash Bay Marine Reservefeather stardensity1.53114668522707Howarth2015</v>
      </c>
    </row>
    <row r="655" spans="1:49" ht="14.25" customHeight="1" x14ac:dyDescent="0.35">
      <c r="A655" s="12">
        <v>654</v>
      </c>
      <c r="B655" s="12" t="s">
        <v>299</v>
      </c>
      <c r="C655" s="12" t="s">
        <v>2640</v>
      </c>
      <c r="D655" s="12" t="s">
        <v>300</v>
      </c>
      <c r="E655" s="12" t="s">
        <v>768</v>
      </c>
      <c r="F655" s="13" t="s">
        <v>50</v>
      </c>
      <c r="G655" s="16" t="s">
        <v>51</v>
      </c>
      <c r="H655" s="13" t="s">
        <v>702</v>
      </c>
      <c r="I655" s="13" t="s">
        <v>156</v>
      </c>
      <c r="J655" s="14">
        <v>43.17</v>
      </c>
      <c r="K655" s="17"/>
      <c r="L655" s="14" t="s">
        <v>2021</v>
      </c>
      <c r="M655" s="14" t="s">
        <v>839</v>
      </c>
      <c r="N655" s="14" t="s">
        <v>85</v>
      </c>
      <c r="O655" s="17" t="s">
        <v>104</v>
      </c>
      <c r="P655" s="14" t="s">
        <v>595</v>
      </c>
      <c r="Q655" s="14">
        <v>183</v>
      </c>
      <c r="R655" s="14">
        <v>184</v>
      </c>
      <c r="S655" s="14">
        <v>137</v>
      </c>
      <c r="T655" s="14">
        <v>170</v>
      </c>
      <c r="U655" s="19">
        <f t="shared" si="45"/>
        <v>1.2341320215804505</v>
      </c>
      <c r="V655" s="41">
        <f t="shared" si="48"/>
        <v>23.413202158045053</v>
      </c>
      <c r="W655" s="14"/>
      <c r="X655" s="14" t="s">
        <v>58</v>
      </c>
      <c r="Y655" s="14">
        <v>35</v>
      </c>
      <c r="Z655" s="14" t="s">
        <v>58</v>
      </c>
      <c r="AA655" s="14"/>
      <c r="AB655" s="14" t="s">
        <v>111</v>
      </c>
      <c r="AC655" s="14">
        <v>2001</v>
      </c>
      <c r="AD655" s="14">
        <v>15</v>
      </c>
      <c r="AE655" s="14"/>
      <c r="AF655" s="14"/>
      <c r="AG655" s="14">
        <v>2006</v>
      </c>
      <c r="AH655" s="14">
        <f t="shared" si="46"/>
        <v>-5</v>
      </c>
      <c r="AI655" s="17">
        <f t="shared" si="47"/>
        <v>10</v>
      </c>
      <c r="AJ655" s="14"/>
      <c r="AK655" s="14" t="s">
        <v>56</v>
      </c>
      <c r="AL655" s="13" t="s">
        <v>840</v>
      </c>
      <c r="AM655" s="12">
        <v>2019</v>
      </c>
      <c r="AN655" s="12" t="s">
        <v>841</v>
      </c>
      <c r="AO655" s="12" t="s">
        <v>56</v>
      </c>
      <c r="AP655" s="12"/>
      <c r="AQ655" s="12" t="s">
        <v>56</v>
      </c>
      <c r="AR655" s="12" t="s">
        <v>58</v>
      </c>
      <c r="AS655" s="12" t="s">
        <v>258</v>
      </c>
      <c r="AT655" s="12"/>
      <c r="AU655" s="45" t="s">
        <v>2785</v>
      </c>
      <c r="AV655" s="15"/>
      <c r="AW655" s="12" t="str">
        <f>B655&amp;C655&amp;L655&amp;M655&amp;O655&amp;U655&amp;AL655&amp;AM655</f>
        <v>BelizeHalf Moon Cay &amp; Blue Hole National MonumentsAliger gigasQueen conchsize1.23413202158045Acosta2019</v>
      </c>
    </row>
    <row r="656" spans="1:49" ht="14.25" customHeight="1" x14ac:dyDescent="0.35">
      <c r="A656" s="12">
        <v>655</v>
      </c>
      <c r="B656" s="15" t="s">
        <v>299</v>
      </c>
      <c r="C656" s="15" t="s">
        <v>2640</v>
      </c>
      <c r="D656" s="15" t="s">
        <v>300</v>
      </c>
      <c r="E656" s="15" t="s">
        <v>618</v>
      </c>
      <c r="F656" s="16" t="s">
        <v>50</v>
      </c>
      <c r="G656" s="16" t="s">
        <v>51</v>
      </c>
      <c r="H656" s="16" t="s">
        <v>702</v>
      </c>
      <c r="I656" s="16" t="s">
        <v>156</v>
      </c>
      <c r="J656" s="14">
        <v>43.17</v>
      </c>
      <c r="K656" s="17"/>
      <c r="L656" s="17" t="s">
        <v>842</v>
      </c>
      <c r="M656" s="17" t="s">
        <v>572</v>
      </c>
      <c r="N656" s="14" t="s">
        <v>85</v>
      </c>
      <c r="O656" s="17" t="s">
        <v>104</v>
      </c>
      <c r="P656" s="17" t="s">
        <v>595</v>
      </c>
      <c r="Q656" s="17">
        <v>77.7</v>
      </c>
      <c r="R656" s="17">
        <v>74.8</v>
      </c>
      <c r="S656" s="17">
        <v>79.5</v>
      </c>
      <c r="T656" s="17">
        <v>84.8</v>
      </c>
      <c r="U656" s="20">
        <f t="shared" si="45"/>
        <v>1.1080213903743317</v>
      </c>
      <c r="V656" s="41">
        <f t="shared" si="48"/>
        <v>10.802139037433168</v>
      </c>
      <c r="W656" s="17"/>
      <c r="X656" s="17" t="s">
        <v>58</v>
      </c>
      <c r="Y656" s="14">
        <v>35</v>
      </c>
      <c r="Z656" s="17" t="s">
        <v>58</v>
      </c>
      <c r="AA656" s="17"/>
      <c r="AB656" s="17" t="s">
        <v>111</v>
      </c>
      <c r="AC656" s="17">
        <v>2001</v>
      </c>
      <c r="AD656" s="17">
        <v>15</v>
      </c>
      <c r="AE656" s="17"/>
      <c r="AF656" s="17"/>
      <c r="AG656" s="17">
        <v>2006</v>
      </c>
      <c r="AH656" s="14">
        <f t="shared" si="46"/>
        <v>-5</v>
      </c>
      <c r="AI656" s="17">
        <f t="shared" si="47"/>
        <v>10</v>
      </c>
      <c r="AJ656" s="17"/>
      <c r="AK656" s="17" t="s">
        <v>56</v>
      </c>
      <c r="AL656" s="16" t="s">
        <v>840</v>
      </c>
      <c r="AM656" s="15">
        <v>2019</v>
      </c>
      <c r="AN656" s="15" t="s">
        <v>841</v>
      </c>
      <c r="AO656" s="15" t="s">
        <v>56</v>
      </c>
      <c r="AP656" s="15"/>
      <c r="AQ656" s="15" t="s">
        <v>56</v>
      </c>
      <c r="AR656" s="15" t="s">
        <v>58</v>
      </c>
      <c r="AS656" s="15" t="s">
        <v>258</v>
      </c>
      <c r="AT656" s="15"/>
      <c r="AU656" s="45"/>
      <c r="AV656" s="15"/>
      <c r="AW656" s="12" t="str">
        <f>B656&amp;C656&amp;L656&amp;M656&amp;O656&amp;U656&amp;AL656&amp;AM656</f>
        <v>BelizeHalf Moon Cay &amp; Blue Hole National MonumentsPanulirus argusspiny lobstersize1.10802139037433Acosta2019</v>
      </c>
    </row>
    <row r="657" spans="1:49" ht="14.25" customHeight="1" x14ac:dyDescent="0.35">
      <c r="A657" s="12">
        <v>656</v>
      </c>
      <c r="B657" s="12" t="s">
        <v>299</v>
      </c>
      <c r="C657" s="12" t="s">
        <v>838</v>
      </c>
      <c r="D657" s="12" t="s">
        <v>300</v>
      </c>
      <c r="E657" s="12" t="s">
        <v>768</v>
      </c>
      <c r="F657" s="13" t="s">
        <v>50</v>
      </c>
      <c r="G657" s="13" t="s">
        <v>51</v>
      </c>
      <c r="H657" s="13" t="s">
        <v>108</v>
      </c>
      <c r="I657" s="13" t="s">
        <v>156</v>
      </c>
      <c r="J657" s="12">
        <v>72.13</v>
      </c>
      <c r="K657" s="17"/>
      <c r="L657" s="14" t="s">
        <v>2021</v>
      </c>
      <c r="M657" s="14" t="s">
        <v>839</v>
      </c>
      <c r="N657" s="14" t="s">
        <v>85</v>
      </c>
      <c r="O657" s="17" t="s">
        <v>104</v>
      </c>
      <c r="P657" s="14" t="s">
        <v>595</v>
      </c>
      <c r="Q657" s="14">
        <v>211</v>
      </c>
      <c r="R657" s="14">
        <v>208</v>
      </c>
      <c r="S657" s="14">
        <v>179</v>
      </c>
      <c r="T657" s="14">
        <v>174</v>
      </c>
      <c r="U657" s="19">
        <f t="shared" si="45"/>
        <v>0.98608723678556087</v>
      </c>
      <c r="V657" s="41">
        <f t="shared" si="48"/>
        <v>-1.3912763214439128</v>
      </c>
      <c r="W657" s="14"/>
      <c r="X657" s="14" t="s">
        <v>56</v>
      </c>
      <c r="Y657" s="12"/>
      <c r="Z657" s="14" t="s">
        <v>56</v>
      </c>
      <c r="AA657" s="14"/>
      <c r="AB657" s="14" t="s">
        <v>111</v>
      </c>
      <c r="AC657" s="14">
        <v>2001</v>
      </c>
      <c r="AD657" s="14">
        <v>15</v>
      </c>
      <c r="AE657" s="14"/>
      <c r="AF657" s="14"/>
      <c r="AG657" s="14">
        <v>2006</v>
      </c>
      <c r="AH657" s="14">
        <f t="shared" si="46"/>
        <v>-5</v>
      </c>
      <c r="AI657" s="17">
        <f t="shared" si="47"/>
        <v>10</v>
      </c>
      <c r="AJ657" s="14"/>
      <c r="AK657" s="14" t="s">
        <v>56</v>
      </c>
      <c r="AL657" s="13" t="s">
        <v>840</v>
      </c>
      <c r="AM657" s="12">
        <v>2019</v>
      </c>
      <c r="AN657" s="12" t="s">
        <v>841</v>
      </c>
      <c r="AO657" s="12" t="s">
        <v>56</v>
      </c>
      <c r="AP657" s="12"/>
      <c r="AQ657" s="12" t="s">
        <v>56</v>
      </c>
      <c r="AR657" s="12" t="s">
        <v>58</v>
      </c>
      <c r="AS657" s="12" t="s">
        <v>258</v>
      </c>
      <c r="AT657" s="12"/>
      <c r="AU657" s="45" t="s">
        <v>2791</v>
      </c>
      <c r="AV657" s="15"/>
      <c r="AW657" s="12" t="str">
        <f>B657&amp;C657&amp;L657&amp;M657&amp;O657&amp;U657&amp;AL657&amp;AM657</f>
        <v>BelizeGlover’s Reef Marine ReserveAliger gigasQueen conchsize0.986087236785561Acosta2019</v>
      </c>
    </row>
    <row r="658" spans="1:49" ht="14.25" customHeight="1" x14ac:dyDescent="0.35">
      <c r="A658" s="12">
        <v>657</v>
      </c>
      <c r="B658" s="12" t="s">
        <v>299</v>
      </c>
      <c r="C658" s="15" t="s">
        <v>838</v>
      </c>
      <c r="D658" s="15" t="s">
        <v>300</v>
      </c>
      <c r="E658" s="15" t="s">
        <v>618</v>
      </c>
      <c r="F658" s="13" t="s">
        <v>50</v>
      </c>
      <c r="G658" s="13" t="s">
        <v>51</v>
      </c>
      <c r="H658" s="16" t="s">
        <v>108</v>
      </c>
      <c r="I658" s="16" t="s">
        <v>156</v>
      </c>
      <c r="J658" s="15">
        <v>72.13</v>
      </c>
      <c r="K658" s="17"/>
      <c r="L658" s="17" t="s">
        <v>842</v>
      </c>
      <c r="M658" s="17" t="s">
        <v>572</v>
      </c>
      <c r="N658" s="14" t="s">
        <v>85</v>
      </c>
      <c r="O658" s="17" t="s">
        <v>104</v>
      </c>
      <c r="P658" s="17" t="s">
        <v>595</v>
      </c>
      <c r="Q658" s="17">
        <v>55.5</v>
      </c>
      <c r="R658" s="17">
        <v>91.4</v>
      </c>
      <c r="S658" s="17">
        <v>68.900000000000006</v>
      </c>
      <c r="T658" s="17">
        <v>83.6</v>
      </c>
      <c r="U658" s="20">
        <f t="shared" si="45"/>
        <v>0.73677323873434664</v>
      </c>
      <c r="V658" s="41">
        <f t="shared" si="48"/>
        <v>-26.322676126565337</v>
      </c>
      <c r="W658" s="17"/>
      <c r="X658" s="17" t="s">
        <v>56</v>
      </c>
      <c r="Y658" s="12"/>
      <c r="Z658" s="17" t="s">
        <v>56</v>
      </c>
      <c r="AA658" s="17"/>
      <c r="AB658" s="17" t="s">
        <v>111</v>
      </c>
      <c r="AC658" s="17">
        <v>2001</v>
      </c>
      <c r="AD658" s="17">
        <v>15</v>
      </c>
      <c r="AE658" s="17"/>
      <c r="AF658" s="17"/>
      <c r="AG658" s="17">
        <v>2006</v>
      </c>
      <c r="AH658" s="14">
        <f t="shared" si="46"/>
        <v>-5</v>
      </c>
      <c r="AI658" s="17">
        <f t="shared" si="47"/>
        <v>10</v>
      </c>
      <c r="AJ658" s="17"/>
      <c r="AK658" s="17" t="s">
        <v>56</v>
      </c>
      <c r="AL658" s="16" t="s">
        <v>840</v>
      </c>
      <c r="AM658" s="15">
        <v>2019</v>
      </c>
      <c r="AN658" s="15" t="s">
        <v>841</v>
      </c>
      <c r="AO658" s="15" t="s">
        <v>56</v>
      </c>
      <c r="AP658" s="15"/>
      <c r="AQ658" s="15" t="s">
        <v>56</v>
      </c>
      <c r="AR658" s="15" t="s">
        <v>58</v>
      </c>
      <c r="AS658" s="15" t="s">
        <v>258</v>
      </c>
      <c r="AT658" s="15"/>
      <c r="AU658" s="45" t="s">
        <v>2567</v>
      </c>
      <c r="AV658" s="15"/>
      <c r="AW658" s="12" t="str">
        <f>B658&amp;C658&amp;L658&amp;M658&amp;O658&amp;U658&amp;AL658&amp;AM658</f>
        <v>BelizeGlover’s Reef Marine ReservePanulirus argusspiny lobstersize0.736773238734347Acosta2019</v>
      </c>
    </row>
    <row r="659" spans="1:49" ht="14.25" customHeight="1" x14ac:dyDescent="0.35">
      <c r="A659" s="12">
        <v>658</v>
      </c>
      <c r="B659" s="12" t="s">
        <v>299</v>
      </c>
      <c r="C659" s="15" t="s">
        <v>1877</v>
      </c>
      <c r="D659" s="15" t="s">
        <v>300</v>
      </c>
      <c r="E659" s="15" t="s">
        <v>768</v>
      </c>
      <c r="F659" s="16" t="s">
        <v>50</v>
      </c>
      <c r="G659" s="16" t="s">
        <v>51</v>
      </c>
      <c r="H659" s="16" t="s">
        <v>702</v>
      </c>
      <c r="I659" s="16" t="s">
        <v>156</v>
      </c>
      <c r="J659" s="17">
        <v>90.37</v>
      </c>
      <c r="K659" s="17"/>
      <c r="L659" s="17" t="s">
        <v>2021</v>
      </c>
      <c r="M659" s="17" t="s">
        <v>839</v>
      </c>
      <c r="N659" s="14" t="s">
        <v>85</v>
      </c>
      <c r="O659" s="17" t="s">
        <v>104</v>
      </c>
      <c r="P659" s="17" t="s">
        <v>595</v>
      </c>
      <c r="Q659" s="17">
        <v>204</v>
      </c>
      <c r="R659" s="17">
        <v>177</v>
      </c>
      <c r="S659" s="17">
        <v>174</v>
      </c>
      <c r="T659" s="17">
        <v>176</v>
      </c>
      <c r="U659" s="20">
        <f t="shared" si="45"/>
        <v>1.165789986362751</v>
      </c>
      <c r="V659" s="41">
        <f t="shared" si="48"/>
        <v>16.578998636275099</v>
      </c>
      <c r="W659" s="17"/>
      <c r="X659" s="17" t="s">
        <v>56</v>
      </c>
      <c r="Z659" s="17" t="s">
        <v>56</v>
      </c>
      <c r="AA659" s="17"/>
      <c r="AB659" s="17" t="s">
        <v>111</v>
      </c>
      <c r="AC659" s="17">
        <v>2001</v>
      </c>
      <c r="AD659" s="17">
        <v>15</v>
      </c>
      <c r="AE659" s="17"/>
      <c r="AF659" s="17"/>
      <c r="AG659" s="17">
        <v>2009</v>
      </c>
      <c r="AH659" s="14">
        <f t="shared" si="46"/>
        <v>-8</v>
      </c>
      <c r="AI659" s="17">
        <f t="shared" si="47"/>
        <v>7</v>
      </c>
      <c r="AJ659" s="17"/>
      <c r="AK659" s="17" t="s">
        <v>56</v>
      </c>
      <c r="AL659" s="16" t="s">
        <v>840</v>
      </c>
      <c r="AM659" s="15">
        <v>2019</v>
      </c>
      <c r="AN659" s="15" t="s">
        <v>841</v>
      </c>
      <c r="AO659" s="15" t="s">
        <v>56</v>
      </c>
      <c r="AP659" s="15"/>
      <c r="AQ659" s="15" t="s">
        <v>56</v>
      </c>
      <c r="AR659" s="15" t="s">
        <v>58</v>
      </c>
      <c r="AS659" s="15" t="s">
        <v>258</v>
      </c>
      <c r="AT659" s="15"/>
      <c r="AU659" s="45" t="s">
        <v>2785</v>
      </c>
      <c r="AV659" s="15"/>
      <c r="AW659" s="12" t="str">
        <f>B659&amp;C659&amp;L659&amp;M659&amp;O659&amp;U659&amp;AL659&amp;AM659</f>
        <v>BelizeSouth Water Cay Marine ReserveAliger gigasQueen conchsize1.16578998636275Acosta2019</v>
      </c>
    </row>
    <row r="660" spans="1:49" ht="14.25" customHeight="1" x14ac:dyDescent="0.35">
      <c r="A660" s="12">
        <v>659</v>
      </c>
      <c r="B660" s="15" t="s">
        <v>299</v>
      </c>
      <c r="C660" s="12" t="s">
        <v>1877</v>
      </c>
      <c r="D660" s="12" t="s">
        <v>300</v>
      </c>
      <c r="E660" s="15" t="s">
        <v>618</v>
      </c>
      <c r="F660" s="13" t="s">
        <v>50</v>
      </c>
      <c r="G660" s="13" t="s">
        <v>51</v>
      </c>
      <c r="H660" s="16" t="s">
        <v>702</v>
      </c>
      <c r="I660" s="16" t="s">
        <v>156</v>
      </c>
      <c r="J660" s="17">
        <v>90.37</v>
      </c>
      <c r="K660" s="17"/>
      <c r="L660" s="17" t="s">
        <v>842</v>
      </c>
      <c r="M660" s="17" t="s">
        <v>572</v>
      </c>
      <c r="N660" s="17" t="s">
        <v>85</v>
      </c>
      <c r="O660" s="17" t="s">
        <v>104</v>
      </c>
      <c r="P660" s="17" t="s">
        <v>595</v>
      </c>
      <c r="Q660" s="17">
        <v>60.7</v>
      </c>
      <c r="R660" s="17">
        <v>45.2</v>
      </c>
      <c r="S660" s="17">
        <v>56.6</v>
      </c>
      <c r="T660" s="17">
        <v>71.599999999999994</v>
      </c>
      <c r="U660" s="20">
        <f t="shared" si="45"/>
        <v>1.6988179742956313</v>
      </c>
      <c r="V660" s="41">
        <f t="shared" si="48"/>
        <v>69.881797429563136</v>
      </c>
      <c r="W660" s="17"/>
      <c r="X660" s="17" t="s">
        <v>56</v>
      </c>
      <c r="Z660" s="17" t="s">
        <v>56</v>
      </c>
      <c r="AA660" s="17"/>
      <c r="AB660" s="17" t="s">
        <v>111</v>
      </c>
      <c r="AC660" s="17">
        <v>2001</v>
      </c>
      <c r="AD660" s="17">
        <v>15</v>
      </c>
      <c r="AE660" s="17"/>
      <c r="AF660" s="17"/>
      <c r="AG660" s="17">
        <v>2009</v>
      </c>
      <c r="AH660" s="14">
        <f t="shared" si="46"/>
        <v>-8</v>
      </c>
      <c r="AI660" s="17">
        <f t="shared" si="47"/>
        <v>7</v>
      </c>
      <c r="AJ660" s="17"/>
      <c r="AK660" s="17" t="s">
        <v>56</v>
      </c>
      <c r="AL660" s="16" t="s">
        <v>840</v>
      </c>
      <c r="AM660" s="15">
        <v>2019</v>
      </c>
      <c r="AN660" s="15" t="s">
        <v>841</v>
      </c>
      <c r="AO660" s="15" t="s">
        <v>56</v>
      </c>
      <c r="AP660" s="15"/>
      <c r="AQ660" s="15" t="s">
        <v>56</v>
      </c>
      <c r="AR660" s="15" t="s">
        <v>58</v>
      </c>
      <c r="AS660" s="15" t="s">
        <v>258</v>
      </c>
      <c r="AT660" s="15"/>
      <c r="AU660" s="45"/>
      <c r="AV660" s="15"/>
      <c r="AW660" s="12" t="str">
        <f>B660&amp;C660&amp;L660&amp;M660&amp;O660&amp;U660&amp;AL660&amp;AM660</f>
        <v>BelizeSouth Water Cay Marine ReservePanulirus argusspiny lobstersize1.69881797429563Acosta2019</v>
      </c>
    </row>
    <row r="661" spans="1:49" ht="14.25" customHeight="1" x14ac:dyDescent="0.35">
      <c r="A661" s="12">
        <v>660</v>
      </c>
      <c r="B661" s="15" t="s">
        <v>210</v>
      </c>
      <c r="C661" s="15" t="s">
        <v>532</v>
      </c>
      <c r="D661" s="15" t="s">
        <v>532</v>
      </c>
      <c r="E661" s="15" t="s">
        <v>533</v>
      </c>
      <c r="F661" s="16" t="s">
        <v>50</v>
      </c>
      <c r="G661" s="16" t="s">
        <v>51</v>
      </c>
      <c r="H661" s="16" t="s">
        <v>108</v>
      </c>
      <c r="I661" s="16" t="s">
        <v>156</v>
      </c>
      <c r="J661" s="17">
        <v>0.2</v>
      </c>
      <c r="K661" s="17"/>
      <c r="L661" s="17"/>
      <c r="M661" s="17" t="s">
        <v>534</v>
      </c>
      <c r="N661" s="53" t="s">
        <v>98</v>
      </c>
      <c r="O661" s="17" t="s">
        <v>104</v>
      </c>
      <c r="P661" s="17" t="s">
        <v>527</v>
      </c>
      <c r="Q661" s="17"/>
      <c r="R661" s="17"/>
      <c r="S661" s="17"/>
      <c r="T661" s="17"/>
      <c r="U661" s="20">
        <v>1.45</v>
      </c>
      <c r="V661" s="41">
        <f t="shared" si="48"/>
        <v>44.999999999999993</v>
      </c>
      <c r="W661" s="17"/>
      <c r="X661" s="17" t="s">
        <v>56</v>
      </c>
      <c r="Z661" s="17" t="s">
        <v>56</v>
      </c>
      <c r="AA661" s="17"/>
      <c r="AB661" s="17" t="s">
        <v>57</v>
      </c>
      <c r="AC661" s="17">
        <v>1997</v>
      </c>
      <c r="AD661" s="17">
        <v>13</v>
      </c>
      <c r="AE661" s="17"/>
      <c r="AF661" s="17"/>
      <c r="AG661" s="17">
        <v>1999</v>
      </c>
      <c r="AH661" s="14">
        <f t="shared" si="46"/>
        <v>-2</v>
      </c>
      <c r="AI661" s="17">
        <f t="shared" si="47"/>
        <v>11</v>
      </c>
      <c r="AJ661" s="17"/>
      <c r="AK661" s="17" t="s">
        <v>56</v>
      </c>
      <c r="AL661" s="16" t="s">
        <v>528</v>
      </c>
      <c r="AM661" s="15">
        <v>2018</v>
      </c>
      <c r="AN661" s="15" t="s">
        <v>232</v>
      </c>
      <c r="AO661" s="15" t="s">
        <v>56</v>
      </c>
      <c r="AP661" s="15"/>
      <c r="AQ661" s="15" t="s">
        <v>56</v>
      </c>
      <c r="AR661" s="15" t="s">
        <v>58</v>
      </c>
      <c r="AS661" s="15" t="s">
        <v>163</v>
      </c>
      <c r="AT661" s="15"/>
      <c r="AU661" s="45" t="s">
        <v>529</v>
      </c>
      <c r="AV661" s="15"/>
      <c r="AW661" s="12" t="str">
        <f>B661&amp;C661&amp;L661&amp;M661&amp;O661&amp;U661&amp;AL661&amp;AM661</f>
        <v>PortugalCaneiro dos Meros MPAPelagic commercial speciessize1.45Afonso 2018</v>
      </c>
    </row>
    <row r="662" spans="1:49" ht="14.25" customHeight="1" x14ac:dyDescent="0.35">
      <c r="A662" s="12">
        <v>661</v>
      </c>
      <c r="B662" s="12" t="s">
        <v>210</v>
      </c>
      <c r="C662" s="12" t="s">
        <v>532</v>
      </c>
      <c r="D662" s="15" t="s">
        <v>532</v>
      </c>
      <c r="E662" s="12" t="s">
        <v>533</v>
      </c>
      <c r="F662" s="13" t="s">
        <v>50</v>
      </c>
      <c r="G662" s="13" t="s">
        <v>51</v>
      </c>
      <c r="H662" s="13" t="s">
        <v>108</v>
      </c>
      <c r="I662" s="13" t="s">
        <v>156</v>
      </c>
      <c r="J662" s="17">
        <v>0.2</v>
      </c>
      <c r="K662" s="17"/>
      <c r="L662" s="14"/>
      <c r="M662" s="14" t="s">
        <v>526</v>
      </c>
      <c r="N662" s="53" t="s">
        <v>98</v>
      </c>
      <c r="O662" s="17" t="s">
        <v>104</v>
      </c>
      <c r="P662" s="14" t="s">
        <v>527</v>
      </c>
      <c r="Q662" s="14"/>
      <c r="R662" s="14"/>
      <c r="S662" s="14"/>
      <c r="T662" s="14"/>
      <c r="U662" s="19">
        <v>0.84</v>
      </c>
      <c r="V662" s="41">
        <f t="shared" si="48"/>
        <v>-16.000000000000004</v>
      </c>
      <c r="W662" s="14"/>
      <c r="X662" s="17" t="s">
        <v>56</v>
      </c>
      <c r="Z662" s="14" t="s">
        <v>56</v>
      </c>
      <c r="AA662" s="14"/>
      <c r="AB662" s="14" t="s">
        <v>57</v>
      </c>
      <c r="AC662" s="14">
        <v>1997</v>
      </c>
      <c r="AD662" s="14">
        <v>13</v>
      </c>
      <c r="AE662" s="14"/>
      <c r="AF662" s="14"/>
      <c r="AG662" s="17">
        <v>1999</v>
      </c>
      <c r="AH662" s="14">
        <f t="shared" si="46"/>
        <v>-2</v>
      </c>
      <c r="AI662" s="17">
        <f t="shared" si="47"/>
        <v>11</v>
      </c>
      <c r="AJ662" s="14"/>
      <c r="AK662" s="14" t="s">
        <v>56</v>
      </c>
      <c r="AL662" s="13" t="s">
        <v>528</v>
      </c>
      <c r="AM662" s="12">
        <v>2018</v>
      </c>
      <c r="AN662" s="12" t="s">
        <v>232</v>
      </c>
      <c r="AO662" s="12" t="s">
        <v>56</v>
      </c>
      <c r="AP662" s="12"/>
      <c r="AQ662" s="12" t="s">
        <v>56</v>
      </c>
      <c r="AR662" s="12" t="s">
        <v>58</v>
      </c>
      <c r="AS662" s="12" t="s">
        <v>163</v>
      </c>
      <c r="AT662" s="12"/>
      <c r="AU662" s="45" t="s">
        <v>529</v>
      </c>
      <c r="AV662" s="15"/>
      <c r="AW662" s="12" t="str">
        <f>B662&amp;C662&amp;L662&amp;M662&amp;O662&amp;U662&amp;AL662&amp;AM662</f>
        <v>PortugalCaneiro dos Meros MPABenthopelagic commercial speciessize0.84Afonso 2018</v>
      </c>
    </row>
    <row r="663" spans="1:49" ht="14.25" customHeight="1" x14ac:dyDescent="0.35">
      <c r="A663" s="12">
        <v>662</v>
      </c>
      <c r="B663" s="12" t="s">
        <v>210</v>
      </c>
      <c r="C663" s="12" t="s">
        <v>532</v>
      </c>
      <c r="D663" s="15" t="s">
        <v>532</v>
      </c>
      <c r="E663" s="12" t="s">
        <v>533</v>
      </c>
      <c r="F663" s="16" t="s">
        <v>50</v>
      </c>
      <c r="G663" s="16" t="s">
        <v>51</v>
      </c>
      <c r="H663" s="13" t="s">
        <v>108</v>
      </c>
      <c r="I663" s="13" t="s">
        <v>156</v>
      </c>
      <c r="J663" s="17">
        <v>0.2</v>
      </c>
      <c r="K663" s="17"/>
      <c r="L663" s="14"/>
      <c r="M663" s="14" t="s">
        <v>530</v>
      </c>
      <c r="N663" s="53" t="s">
        <v>98</v>
      </c>
      <c r="O663" s="17" t="s">
        <v>104</v>
      </c>
      <c r="P663" s="14" t="s">
        <v>527</v>
      </c>
      <c r="Q663" s="14"/>
      <c r="R663" s="14"/>
      <c r="S663" s="14"/>
      <c r="T663" s="14"/>
      <c r="U663" s="19">
        <v>1.1000000000000001</v>
      </c>
      <c r="V663" s="41">
        <f t="shared" si="48"/>
        <v>10.000000000000009</v>
      </c>
      <c r="W663" s="14"/>
      <c r="X663" s="17" t="s">
        <v>56</v>
      </c>
      <c r="Z663" s="14" t="s">
        <v>56</v>
      </c>
      <c r="AA663" s="14"/>
      <c r="AB663" s="14" t="s">
        <v>57</v>
      </c>
      <c r="AC663" s="14">
        <v>1997</v>
      </c>
      <c r="AD663" s="14">
        <v>13</v>
      </c>
      <c r="AE663" s="14"/>
      <c r="AF663" s="14"/>
      <c r="AG663" s="17">
        <v>1999</v>
      </c>
      <c r="AH663" s="14">
        <f t="shared" si="46"/>
        <v>-2</v>
      </c>
      <c r="AI663" s="17">
        <f t="shared" si="47"/>
        <v>11</v>
      </c>
      <c r="AJ663" s="14"/>
      <c r="AK663" s="14" t="s">
        <v>56</v>
      </c>
      <c r="AL663" s="13" t="s">
        <v>528</v>
      </c>
      <c r="AM663" s="12">
        <v>2018</v>
      </c>
      <c r="AN663" s="12" t="s">
        <v>232</v>
      </c>
      <c r="AO663" s="12" t="s">
        <v>56</v>
      </c>
      <c r="AP663" s="12"/>
      <c r="AQ663" s="12" t="s">
        <v>56</v>
      </c>
      <c r="AR663" s="12" t="s">
        <v>58</v>
      </c>
      <c r="AS663" s="12" t="s">
        <v>163</v>
      </c>
      <c r="AT663" s="12"/>
      <c r="AU663" s="45" t="s">
        <v>529</v>
      </c>
      <c r="AV663" s="15"/>
      <c r="AW663" s="12" t="str">
        <f>B663&amp;C663&amp;L663&amp;M663&amp;O663&amp;U663&amp;AL663&amp;AM663</f>
        <v>PortugalCaneiro dos Meros MPABenthic commercial speciessize1.1Afonso 2018</v>
      </c>
    </row>
    <row r="664" spans="1:49" ht="14.25" customHeight="1" x14ac:dyDescent="0.35">
      <c r="A664" s="12">
        <v>663</v>
      </c>
      <c r="B664" s="12" t="s">
        <v>210</v>
      </c>
      <c r="C664" s="12" t="s">
        <v>532</v>
      </c>
      <c r="D664" s="15" t="s">
        <v>532</v>
      </c>
      <c r="E664" s="12" t="s">
        <v>533</v>
      </c>
      <c r="F664" s="16" t="s">
        <v>50</v>
      </c>
      <c r="G664" s="16" t="s">
        <v>51</v>
      </c>
      <c r="H664" s="13" t="s">
        <v>108</v>
      </c>
      <c r="I664" s="13" t="s">
        <v>156</v>
      </c>
      <c r="J664" s="17">
        <v>0.2</v>
      </c>
      <c r="K664" s="17"/>
      <c r="L664" s="14"/>
      <c r="M664" s="14" t="s">
        <v>531</v>
      </c>
      <c r="N664" s="53" t="s">
        <v>98</v>
      </c>
      <c r="O664" s="17" t="s">
        <v>104</v>
      </c>
      <c r="P664" s="14" t="s">
        <v>527</v>
      </c>
      <c r="Q664" s="14"/>
      <c r="R664" s="14"/>
      <c r="S664" s="14"/>
      <c r="T664" s="14"/>
      <c r="U664" s="19">
        <v>1.25</v>
      </c>
      <c r="V664" s="41">
        <f t="shared" si="48"/>
        <v>25</v>
      </c>
      <c r="W664" s="14"/>
      <c r="X664" s="14" t="s">
        <v>56</v>
      </c>
      <c r="Z664" s="14" t="s">
        <v>56</v>
      </c>
      <c r="AA664" s="14"/>
      <c r="AB664" s="14" t="s">
        <v>57</v>
      </c>
      <c r="AC664" s="14">
        <v>1997</v>
      </c>
      <c r="AD664" s="14">
        <v>13</v>
      </c>
      <c r="AE664" s="14"/>
      <c r="AF664" s="14"/>
      <c r="AG664" s="17">
        <v>1999</v>
      </c>
      <c r="AH664" s="14">
        <f t="shared" si="46"/>
        <v>-2</v>
      </c>
      <c r="AI664" s="17">
        <f t="shared" si="47"/>
        <v>11</v>
      </c>
      <c r="AJ664" s="14"/>
      <c r="AK664" s="14" t="s">
        <v>56</v>
      </c>
      <c r="AL664" s="13" t="s">
        <v>528</v>
      </c>
      <c r="AM664" s="12">
        <v>2018</v>
      </c>
      <c r="AN664" s="12" t="s">
        <v>232</v>
      </c>
      <c r="AO664" s="12" t="s">
        <v>56</v>
      </c>
      <c r="AP664" s="12"/>
      <c r="AQ664" s="12" t="s">
        <v>56</v>
      </c>
      <c r="AR664" s="12" t="s">
        <v>58</v>
      </c>
      <c r="AS664" s="12" t="s">
        <v>163</v>
      </c>
      <c r="AT664" s="12"/>
      <c r="AU664" s="45" t="s">
        <v>529</v>
      </c>
      <c r="AV664" s="15"/>
      <c r="AW664" s="12" t="str">
        <f>B664&amp;C664&amp;L664&amp;M664&amp;O664&amp;U664&amp;AL664&amp;AM664</f>
        <v>PortugalCaneiro dos Meros MPACryptic commercial speciessize1.25Afonso 2018</v>
      </c>
    </row>
    <row r="665" spans="1:49" ht="14.25" customHeight="1" x14ac:dyDescent="0.35">
      <c r="A665" s="12">
        <v>664</v>
      </c>
      <c r="B665" s="15" t="s">
        <v>210</v>
      </c>
      <c r="C665" s="15" t="s">
        <v>532</v>
      </c>
      <c r="D665" s="15" t="s">
        <v>532</v>
      </c>
      <c r="E665" s="15" t="s">
        <v>533</v>
      </c>
      <c r="F665" s="16" t="s">
        <v>50</v>
      </c>
      <c r="G665" s="16" t="s">
        <v>51</v>
      </c>
      <c r="H665" s="16" t="s">
        <v>108</v>
      </c>
      <c r="I665" s="16" t="s">
        <v>156</v>
      </c>
      <c r="J665" s="17">
        <v>0.2</v>
      </c>
      <c r="K665" s="17"/>
      <c r="L665" s="17"/>
      <c r="M665" s="17" t="s">
        <v>534</v>
      </c>
      <c r="N665" s="53" t="s">
        <v>98</v>
      </c>
      <c r="O665" s="17" t="s">
        <v>104</v>
      </c>
      <c r="P665" s="17" t="s">
        <v>527</v>
      </c>
      <c r="Q665" s="17"/>
      <c r="R665" s="17"/>
      <c r="S665" s="17"/>
      <c r="T665" s="17"/>
      <c r="U665" s="20">
        <v>0.71</v>
      </c>
      <c r="V665" s="41">
        <f t="shared" si="48"/>
        <v>-29.000000000000004</v>
      </c>
      <c r="W665" s="17"/>
      <c r="X665" s="17" t="s">
        <v>56</v>
      </c>
      <c r="Z665" s="17" t="s">
        <v>56</v>
      </c>
      <c r="AA665" s="17"/>
      <c r="AB665" s="17" t="s">
        <v>192</v>
      </c>
      <c r="AC665" s="17">
        <v>1997</v>
      </c>
      <c r="AD665" s="17">
        <v>13</v>
      </c>
      <c r="AE665" s="17"/>
      <c r="AF665" s="17"/>
      <c r="AG665" s="17">
        <v>1999</v>
      </c>
      <c r="AH665" s="14">
        <f t="shared" si="46"/>
        <v>-2</v>
      </c>
      <c r="AI665" s="17">
        <f t="shared" si="47"/>
        <v>11</v>
      </c>
      <c r="AJ665" s="17"/>
      <c r="AK665" s="17" t="s">
        <v>56</v>
      </c>
      <c r="AL665" s="16" t="s">
        <v>528</v>
      </c>
      <c r="AM665" s="15">
        <v>2018</v>
      </c>
      <c r="AN665" s="15" t="s">
        <v>232</v>
      </c>
      <c r="AO665" s="15" t="s">
        <v>56</v>
      </c>
      <c r="AP665" s="15"/>
      <c r="AQ665" s="15" t="s">
        <v>56</v>
      </c>
      <c r="AR665" s="15" t="s">
        <v>58</v>
      </c>
      <c r="AS665" s="15" t="s">
        <v>163</v>
      </c>
      <c r="AT665" s="15"/>
      <c r="AU665" s="45" t="s">
        <v>529</v>
      </c>
      <c r="AV665" s="15"/>
      <c r="AW665" s="12" t="str">
        <f>B665&amp;C665&amp;L665&amp;M665&amp;O665&amp;U665&amp;AL665&amp;AM665</f>
        <v>PortugalCaneiro dos Meros MPAPelagic commercial speciessize0.71Afonso 2018</v>
      </c>
    </row>
    <row r="666" spans="1:49" ht="14.25" customHeight="1" x14ac:dyDescent="0.35">
      <c r="A666" s="12">
        <v>665</v>
      </c>
      <c r="B666" s="15" t="s">
        <v>210</v>
      </c>
      <c r="C666" s="12" t="s">
        <v>532</v>
      </c>
      <c r="D666" s="12" t="s">
        <v>532</v>
      </c>
      <c r="E666" s="15" t="s">
        <v>533</v>
      </c>
      <c r="F666" s="13" t="s">
        <v>50</v>
      </c>
      <c r="G666" s="16" t="s">
        <v>51</v>
      </c>
      <c r="H666" s="16" t="s">
        <v>108</v>
      </c>
      <c r="I666" s="16" t="s">
        <v>156</v>
      </c>
      <c r="J666" s="17">
        <v>0.2</v>
      </c>
      <c r="K666" s="17"/>
      <c r="L666" s="17"/>
      <c r="M666" s="17" t="s">
        <v>526</v>
      </c>
      <c r="N666" s="53" t="s">
        <v>98</v>
      </c>
      <c r="O666" s="17" t="s">
        <v>104</v>
      </c>
      <c r="P666" s="17" t="s">
        <v>527</v>
      </c>
      <c r="Q666" s="17"/>
      <c r="R666" s="17"/>
      <c r="S666" s="17"/>
      <c r="T666" s="17"/>
      <c r="U666" s="20">
        <v>0.72</v>
      </c>
      <c r="V666" s="41">
        <f t="shared" si="48"/>
        <v>-28.000000000000004</v>
      </c>
      <c r="W666" s="17"/>
      <c r="X666" s="17" t="s">
        <v>56</v>
      </c>
      <c r="Z666" s="17" t="s">
        <v>56</v>
      </c>
      <c r="AA666" s="17"/>
      <c r="AB666" s="17" t="s">
        <v>192</v>
      </c>
      <c r="AC666" s="17">
        <v>1997</v>
      </c>
      <c r="AD666" s="17">
        <v>13</v>
      </c>
      <c r="AE666" s="17"/>
      <c r="AF666" s="17"/>
      <c r="AG666" s="17">
        <v>1999</v>
      </c>
      <c r="AH666" s="14">
        <f t="shared" si="46"/>
        <v>-2</v>
      </c>
      <c r="AI666" s="17">
        <f t="shared" si="47"/>
        <v>11</v>
      </c>
      <c r="AJ666" s="17"/>
      <c r="AK666" s="17" t="s">
        <v>56</v>
      </c>
      <c r="AL666" s="16" t="s">
        <v>528</v>
      </c>
      <c r="AM666" s="15">
        <v>2018</v>
      </c>
      <c r="AN666" s="15" t="s">
        <v>232</v>
      </c>
      <c r="AO666" s="15" t="s">
        <v>56</v>
      </c>
      <c r="AP666" s="15"/>
      <c r="AQ666" s="15" t="s">
        <v>56</v>
      </c>
      <c r="AR666" s="15" t="s">
        <v>58</v>
      </c>
      <c r="AS666" s="15" t="s">
        <v>163</v>
      </c>
      <c r="AT666" s="15"/>
      <c r="AU666" s="45" t="s">
        <v>529</v>
      </c>
      <c r="AV666" s="15"/>
      <c r="AW666" s="12" t="str">
        <f>B666&amp;C666&amp;L666&amp;M666&amp;O666&amp;U666&amp;AL666&amp;AM666</f>
        <v>PortugalCaneiro dos Meros MPABenthopelagic commercial speciessize0.72Afonso 2018</v>
      </c>
    </row>
    <row r="667" spans="1:49" ht="14.25" customHeight="1" x14ac:dyDescent="0.35">
      <c r="A667" s="12">
        <v>666</v>
      </c>
      <c r="B667" s="15" t="s">
        <v>210</v>
      </c>
      <c r="C667" s="15" t="s">
        <v>532</v>
      </c>
      <c r="D667" s="15" t="s">
        <v>532</v>
      </c>
      <c r="E667" s="15" t="s">
        <v>533</v>
      </c>
      <c r="F667" s="16" t="s">
        <v>50</v>
      </c>
      <c r="G667" s="16" t="s">
        <v>51</v>
      </c>
      <c r="H667" s="16" t="s">
        <v>108</v>
      </c>
      <c r="I667" s="16" t="s">
        <v>156</v>
      </c>
      <c r="J667" s="17">
        <v>0.2</v>
      </c>
      <c r="K667" s="17"/>
      <c r="L667" s="17"/>
      <c r="M667" s="17" t="s">
        <v>530</v>
      </c>
      <c r="N667" s="53" t="s">
        <v>98</v>
      </c>
      <c r="O667" s="17" t="s">
        <v>104</v>
      </c>
      <c r="P667" s="17" t="s">
        <v>527</v>
      </c>
      <c r="Q667" s="17"/>
      <c r="R667" s="17"/>
      <c r="S667" s="17"/>
      <c r="T667" s="17"/>
      <c r="U667" s="20">
        <v>1.05</v>
      </c>
      <c r="V667" s="41">
        <f t="shared" si="48"/>
        <v>5.0000000000000044</v>
      </c>
      <c r="W667" s="17"/>
      <c r="X667" s="17" t="s">
        <v>56</v>
      </c>
      <c r="Z667" s="17" t="s">
        <v>56</v>
      </c>
      <c r="AA667" s="17"/>
      <c r="AB667" s="17" t="s">
        <v>192</v>
      </c>
      <c r="AC667" s="17">
        <v>1997</v>
      </c>
      <c r="AD667" s="17">
        <v>13</v>
      </c>
      <c r="AE667" s="17"/>
      <c r="AF667" s="17"/>
      <c r="AG667" s="17">
        <v>1999</v>
      </c>
      <c r="AH667" s="14">
        <f t="shared" si="46"/>
        <v>-2</v>
      </c>
      <c r="AI667" s="17">
        <f t="shared" si="47"/>
        <v>11</v>
      </c>
      <c r="AJ667" s="17"/>
      <c r="AK667" s="17" t="s">
        <v>56</v>
      </c>
      <c r="AL667" s="16" t="s">
        <v>528</v>
      </c>
      <c r="AM667" s="15">
        <v>2018</v>
      </c>
      <c r="AN667" s="15" t="s">
        <v>232</v>
      </c>
      <c r="AO667" s="15" t="s">
        <v>56</v>
      </c>
      <c r="AP667" s="15"/>
      <c r="AQ667" s="15" t="s">
        <v>56</v>
      </c>
      <c r="AR667" s="15" t="s">
        <v>58</v>
      </c>
      <c r="AS667" s="15" t="s">
        <v>163</v>
      </c>
      <c r="AT667" s="15"/>
      <c r="AU667" s="45" t="s">
        <v>529</v>
      </c>
      <c r="AV667" s="15"/>
      <c r="AW667" s="12" t="str">
        <f>B667&amp;C667&amp;L667&amp;M667&amp;O667&amp;U667&amp;AL667&amp;AM667</f>
        <v>PortugalCaneiro dos Meros MPABenthic commercial speciessize1.05Afonso 2018</v>
      </c>
    </row>
    <row r="668" spans="1:49" ht="14.25" customHeight="1" x14ac:dyDescent="0.35">
      <c r="A668" s="12">
        <v>667</v>
      </c>
      <c r="B668" s="15" t="s">
        <v>210</v>
      </c>
      <c r="C668" s="15" t="s">
        <v>532</v>
      </c>
      <c r="D668" s="15" t="s">
        <v>532</v>
      </c>
      <c r="E668" s="15" t="s">
        <v>533</v>
      </c>
      <c r="F668" s="13" t="s">
        <v>50</v>
      </c>
      <c r="G668" s="13" t="s">
        <v>51</v>
      </c>
      <c r="H668" s="16" t="s">
        <v>108</v>
      </c>
      <c r="I668" s="16" t="s">
        <v>156</v>
      </c>
      <c r="J668" s="17">
        <v>0.2</v>
      </c>
      <c r="K668" s="17"/>
      <c r="L668" s="17"/>
      <c r="M668" s="17" t="s">
        <v>531</v>
      </c>
      <c r="N668" s="53" t="s">
        <v>98</v>
      </c>
      <c r="O668" s="17" t="s">
        <v>104</v>
      </c>
      <c r="P668" s="17" t="s">
        <v>527</v>
      </c>
      <c r="Q668" s="17"/>
      <c r="R668" s="17"/>
      <c r="S668" s="17"/>
      <c r="T668" s="17"/>
      <c r="U668" s="20">
        <v>0.96</v>
      </c>
      <c r="V668" s="41">
        <f t="shared" si="48"/>
        <v>-4.0000000000000036</v>
      </c>
      <c r="W668" s="17"/>
      <c r="X668" s="17" t="s">
        <v>56</v>
      </c>
      <c r="Z668" s="17" t="s">
        <v>56</v>
      </c>
      <c r="AA668" s="17"/>
      <c r="AB668" s="17" t="s">
        <v>192</v>
      </c>
      <c r="AC668" s="17">
        <v>1997</v>
      </c>
      <c r="AD668" s="17">
        <v>13</v>
      </c>
      <c r="AE668" s="17"/>
      <c r="AF668" s="17"/>
      <c r="AG668" s="17">
        <v>1999</v>
      </c>
      <c r="AH668" s="14">
        <f t="shared" si="46"/>
        <v>-2</v>
      </c>
      <c r="AI668" s="17">
        <f t="shared" si="47"/>
        <v>11</v>
      </c>
      <c r="AJ668" s="17"/>
      <c r="AK668" s="17" t="s">
        <v>56</v>
      </c>
      <c r="AL668" s="16" t="s">
        <v>528</v>
      </c>
      <c r="AM668" s="15">
        <v>2018</v>
      </c>
      <c r="AN668" s="15" t="s">
        <v>232</v>
      </c>
      <c r="AO668" s="15" t="s">
        <v>56</v>
      </c>
      <c r="AP668" s="15"/>
      <c r="AQ668" s="15" t="s">
        <v>56</v>
      </c>
      <c r="AR668" s="15" t="s">
        <v>58</v>
      </c>
      <c r="AS668" s="15" t="s">
        <v>163</v>
      </c>
      <c r="AT668" s="15"/>
      <c r="AU668" s="45" t="s">
        <v>529</v>
      </c>
      <c r="AV668" s="15"/>
      <c r="AW668" s="12" t="str">
        <f>B668&amp;C668&amp;L668&amp;M668&amp;O668&amp;U668&amp;AL668&amp;AM668</f>
        <v>PortugalCaneiro dos Meros MPACryptic commercial speciessize0.96Afonso 2018</v>
      </c>
    </row>
    <row r="669" spans="1:49" ht="14.25" customHeight="1" x14ac:dyDescent="0.35">
      <c r="A669" s="12">
        <v>668</v>
      </c>
      <c r="B669" s="12" t="s">
        <v>210</v>
      </c>
      <c r="C669" s="15" t="s">
        <v>523</v>
      </c>
      <c r="D669" s="15" t="s">
        <v>524</v>
      </c>
      <c r="E669" s="15" t="s">
        <v>525</v>
      </c>
      <c r="F669" s="16" t="s">
        <v>50</v>
      </c>
      <c r="G669" s="16" t="s">
        <v>51</v>
      </c>
      <c r="H669" s="16" t="s">
        <v>108</v>
      </c>
      <c r="I669" s="16" t="s">
        <v>156</v>
      </c>
      <c r="J669" s="17">
        <v>0.08</v>
      </c>
      <c r="K669" s="17"/>
      <c r="L669" s="17"/>
      <c r="M669" s="17" t="s">
        <v>526</v>
      </c>
      <c r="N669" s="53" t="s">
        <v>98</v>
      </c>
      <c r="O669" s="17" t="s">
        <v>104</v>
      </c>
      <c r="P669" s="17" t="s">
        <v>527</v>
      </c>
      <c r="Q669" s="17"/>
      <c r="R669" s="17"/>
      <c r="S669" s="17"/>
      <c r="T669" s="17"/>
      <c r="U669" s="20">
        <v>1.1499999999999999</v>
      </c>
      <c r="V669" s="41">
        <f t="shared" si="48"/>
        <v>14.999999999999991</v>
      </c>
      <c r="W669" s="17"/>
      <c r="X669" s="17" t="s">
        <v>56</v>
      </c>
      <c r="Z669" s="17" t="s">
        <v>56</v>
      </c>
      <c r="AA669" s="17"/>
      <c r="AB669" s="17" t="s">
        <v>57</v>
      </c>
      <c r="AC669" s="17">
        <v>1999</v>
      </c>
      <c r="AD669" s="17">
        <v>13</v>
      </c>
      <c r="AE669" s="17"/>
      <c r="AF669" s="17"/>
      <c r="AG669" s="17">
        <v>1984</v>
      </c>
      <c r="AH669" s="14">
        <f t="shared" si="46"/>
        <v>15</v>
      </c>
      <c r="AI669" s="17">
        <f t="shared" si="47"/>
        <v>28</v>
      </c>
      <c r="AJ669" s="17"/>
      <c r="AK669" s="17" t="s">
        <v>56</v>
      </c>
      <c r="AL669" s="16" t="s">
        <v>528</v>
      </c>
      <c r="AM669" s="15">
        <v>2018</v>
      </c>
      <c r="AN669" s="15" t="s">
        <v>232</v>
      </c>
      <c r="AO669" s="15" t="s">
        <v>56</v>
      </c>
      <c r="AP669" s="15"/>
      <c r="AQ669" s="15" t="s">
        <v>56</v>
      </c>
      <c r="AR669" s="15" t="s">
        <v>58</v>
      </c>
      <c r="AS669" s="15" t="s">
        <v>163</v>
      </c>
      <c r="AT669" s="15"/>
      <c r="AU669" s="45" t="s">
        <v>529</v>
      </c>
      <c r="AV669" s="15"/>
      <c r="AW669" s="12" t="str">
        <f>B669&amp;C669&amp;L669&amp;M669&amp;O669&amp;U669&amp;AL669&amp;AM669</f>
        <v>PortugalCaldeirinhas twin cratersBenthopelagic commercial speciessize1.15Afonso 2018</v>
      </c>
    </row>
    <row r="670" spans="1:49" ht="14.25" customHeight="1" x14ac:dyDescent="0.35">
      <c r="A670" s="12">
        <v>669</v>
      </c>
      <c r="B670" s="12" t="s">
        <v>210</v>
      </c>
      <c r="C670" s="12" t="s">
        <v>523</v>
      </c>
      <c r="D670" s="15" t="s">
        <v>524</v>
      </c>
      <c r="E670" s="12" t="s">
        <v>525</v>
      </c>
      <c r="F670" s="13" t="s">
        <v>50</v>
      </c>
      <c r="G670" s="13" t="s">
        <v>51</v>
      </c>
      <c r="H670" s="13" t="s">
        <v>108</v>
      </c>
      <c r="I670" s="13" t="s">
        <v>156</v>
      </c>
      <c r="J670" s="17">
        <v>0.08</v>
      </c>
      <c r="K670" s="17"/>
      <c r="L670" s="14"/>
      <c r="M670" s="14" t="s">
        <v>530</v>
      </c>
      <c r="N670" s="53" t="s">
        <v>98</v>
      </c>
      <c r="O670" s="17" t="s">
        <v>104</v>
      </c>
      <c r="P670" s="14" t="s">
        <v>527</v>
      </c>
      <c r="Q670" s="14"/>
      <c r="R670" s="14"/>
      <c r="S670" s="14"/>
      <c r="T670" s="14"/>
      <c r="U670" s="19">
        <v>1.1000000000000001</v>
      </c>
      <c r="V670" s="41">
        <f t="shared" si="48"/>
        <v>10.000000000000009</v>
      </c>
      <c r="W670" s="14"/>
      <c r="X670" s="14" t="s">
        <v>56</v>
      </c>
      <c r="Z670" s="14" t="s">
        <v>56</v>
      </c>
      <c r="AA670" s="14"/>
      <c r="AB670" s="14" t="s">
        <v>57</v>
      </c>
      <c r="AC670" s="14">
        <v>1999</v>
      </c>
      <c r="AD670" s="14">
        <v>13</v>
      </c>
      <c r="AE670" s="14"/>
      <c r="AF670" s="14"/>
      <c r="AG670" s="17">
        <v>1984</v>
      </c>
      <c r="AH670" s="14">
        <f t="shared" si="46"/>
        <v>15</v>
      </c>
      <c r="AI670" s="17">
        <f t="shared" si="47"/>
        <v>28</v>
      </c>
      <c r="AJ670" s="14"/>
      <c r="AK670" s="14" t="s">
        <v>56</v>
      </c>
      <c r="AL670" s="13" t="s">
        <v>528</v>
      </c>
      <c r="AM670" s="12">
        <v>2018</v>
      </c>
      <c r="AN670" s="12" t="s">
        <v>232</v>
      </c>
      <c r="AO670" s="12" t="s">
        <v>56</v>
      </c>
      <c r="AP670" s="12"/>
      <c r="AQ670" s="12" t="s">
        <v>56</v>
      </c>
      <c r="AR670" s="12" t="s">
        <v>58</v>
      </c>
      <c r="AS670" s="12" t="s">
        <v>163</v>
      </c>
      <c r="AT670" s="12"/>
      <c r="AU670" s="45" t="s">
        <v>529</v>
      </c>
      <c r="AV670" s="15"/>
      <c r="AW670" s="12" t="str">
        <f>B670&amp;C670&amp;L670&amp;M670&amp;O670&amp;U670&amp;AL670&amp;AM670</f>
        <v>PortugalCaldeirinhas twin cratersBenthic commercial speciessize1.1Afonso 2018</v>
      </c>
    </row>
    <row r="671" spans="1:49" ht="14.25" customHeight="1" x14ac:dyDescent="0.35">
      <c r="A671" s="12">
        <v>670</v>
      </c>
      <c r="B671" s="12" t="s">
        <v>210</v>
      </c>
      <c r="C671" s="12" t="s">
        <v>523</v>
      </c>
      <c r="D671" s="15" t="s">
        <v>524</v>
      </c>
      <c r="E671" s="12" t="s">
        <v>525</v>
      </c>
      <c r="F671" s="13" t="s">
        <v>50</v>
      </c>
      <c r="G671" s="13" t="s">
        <v>51</v>
      </c>
      <c r="H671" s="13" t="s">
        <v>108</v>
      </c>
      <c r="I671" s="13" t="s">
        <v>156</v>
      </c>
      <c r="J671" s="17">
        <v>0.08</v>
      </c>
      <c r="K671" s="17"/>
      <c r="L671" s="14"/>
      <c r="M671" s="14" t="s">
        <v>531</v>
      </c>
      <c r="N671" s="53" t="s">
        <v>98</v>
      </c>
      <c r="O671" s="17" t="s">
        <v>104</v>
      </c>
      <c r="P671" s="14" t="s">
        <v>527</v>
      </c>
      <c r="Q671" s="14"/>
      <c r="R671" s="14"/>
      <c r="S671" s="14"/>
      <c r="T671" s="14"/>
      <c r="U671" s="19">
        <v>1.03</v>
      </c>
      <c r="V671" s="41">
        <f t="shared" si="48"/>
        <v>3.0000000000000027</v>
      </c>
      <c r="W671" s="14"/>
      <c r="X671" s="14" t="s">
        <v>56</v>
      </c>
      <c r="Z671" s="14" t="s">
        <v>56</v>
      </c>
      <c r="AA671" s="14"/>
      <c r="AB671" s="14" t="s">
        <v>57</v>
      </c>
      <c r="AC671" s="14">
        <v>1999</v>
      </c>
      <c r="AD671" s="14">
        <v>13</v>
      </c>
      <c r="AE671" s="14"/>
      <c r="AF671" s="14"/>
      <c r="AG671" s="17">
        <v>1984</v>
      </c>
      <c r="AH671" s="14">
        <f t="shared" si="46"/>
        <v>15</v>
      </c>
      <c r="AI671" s="17">
        <f t="shared" si="47"/>
        <v>28</v>
      </c>
      <c r="AJ671" s="14"/>
      <c r="AK671" s="14" t="s">
        <v>56</v>
      </c>
      <c r="AL671" s="13" t="s">
        <v>528</v>
      </c>
      <c r="AM671" s="12">
        <v>2018</v>
      </c>
      <c r="AN671" s="12" t="s">
        <v>232</v>
      </c>
      <c r="AO671" s="12" t="s">
        <v>56</v>
      </c>
      <c r="AP671" s="12"/>
      <c r="AQ671" s="12" t="s">
        <v>56</v>
      </c>
      <c r="AR671" s="12" t="s">
        <v>58</v>
      </c>
      <c r="AS671" s="12" t="s">
        <v>163</v>
      </c>
      <c r="AT671" s="12"/>
      <c r="AU671" s="45" t="s">
        <v>529</v>
      </c>
      <c r="AV671" s="15"/>
      <c r="AW671" s="12" t="str">
        <f>B671&amp;C671&amp;L671&amp;M671&amp;O671&amp;U671&amp;AL671&amp;AM671</f>
        <v>PortugalCaldeirinhas twin cratersCryptic commercial speciessize1.03Afonso 2018</v>
      </c>
    </row>
    <row r="672" spans="1:49" ht="14.25" customHeight="1" x14ac:dyDescent="0.35">
      <c r="A672" s="12">
        <v>671</v>
      </c>
      <c r="B672" s="15" t="s">
        <v>466</v>
      </c>
      <c r="C672" s="12" t="s">
        <v>467</v>
      </c>
      <c r="D672" s="12" t="s">
        <v>467</v>
      </c>
      <c r="E672" s="15" t="s">
        <v>171</v>
      </c>
      <c r="F672" s="16" t="s">
        <v>50</v>
      </c>
      <c r="G672" s="16" t="s">
        <v>51</v>
      </c>
      <c r="H672" s="16" t="s">
        <v>108</v>
      </c>
      <c r="I672" s="16" t="s">
        <v>156</v>
      </c>
      <c r="J672" s="17">
        <v>12.87</v>
      </c>
      <c r="K672" s="17"/>
      <c r="L672" s="17" t="s">
        <v>185</v>
      </c>
      <c r="M672" s="17" t="s">
        <v>468</v>
      </c>
      <c r="N672" s="53" t="s">
        <v>98</v>
      </c>
      <c r="O672" s="17" t="s">
        <v>101</v>
      </c>
      <c r="P672" s="17"/>
      <c r="Q672" s="17"/>
      <c r="R672" s="17"/>
      <c r="S672" s="17">
        <v>11.7</v>
      </c>
      <c r="T672" s="17">
        <v>13.74</v>
      </c>
      <c r="U672" s="20">
        <f t="shared" ref="U672:U688" si="49">IFERROR(IF(AND(Q672="",R672="",S672="",T672=""),"",IF(AND(Q672&lt;&gt;"",R672&lt;&gt;"",S672&lt;&gt;"",T672&lt;&gt;""),(T672/R672)/(S672/Q672),IF(AND(Q672&lt;&gt;"",R672&lt;&gt;""),R672/Q672,IF(AND(S672&lt;&gt;"",T672&lt;&gt;""),T672/S672,IF(AND(Q672&lt;&gt;"",S672&lt;&gt;""),Q672/S672,IF(AND(R672&lt;&gt;"",T672&lt;&gt;""),T672/R672)))))), "N/A")</f>
        <v>1.1743589743589744</v>
      </c>
      <c r="V672" s="41">
        <f t="shared" si="48"/>
        <v>17.435897435897441</v>
      </c>
      <c r="W672" s="17"/>
      <c r="X672" s="17" t="s">
        <v>56</v>
      </c>
      <c r="Z672" s="17" t="s">
        <v>56</v>
      </c>
      <c r="AA672" s="17"/>
      <c r="AB672" s="17" t="s">
        <v>57</v>
      </c>
      <c r="AC672" s="17">
        <v>2011</v>
      </c>
      <c r="AD672" s="17">
        <v>1</v>
      </c>
      <c r="AE672" s="17">
        <v>6</v>
      </c>
      <c r="AF672" s="17"/>
      <c r="AG672" s="17">
        <v>2005</v>
      </c>
      <c r="AH672" s="14">
        <f t="shared" si="46"/>
        <v>6</v>
      </c>
      <c r="AI672" s="17">
        <f t="shared" si="47"/>
        <v>7.5</v>
      </c>
      <c r="AJ672" s="17"/>
      <c r="AK672" s="17" t="s">
        <v>56</v>
      </c>
      <c r="AL672" s="16" t="s">
        <v>469</v>
      </c>
      <c r="AM672" s="15">
        <v>2014</v>
      </c>
      <c r="AN672" s="15" t="s">
        <v>470</v>
      </c>
      <c r="AO672" s="15" t="s">
        <v>56</v>
      </c>
      <c r="AP672" s="15"/>
      <c r="AQ672" s="15" t="s">
        <v>56</v>
      </c>
      <c r="AR672" s="15" t="s">
        <v>58</v>
      </c>
      <c r="AS672" s="15" t="s">
        <v>163</v>
      </c>
      <c r="AT672" s="15"/>
      <c r="AU672" s="45" t="s">
        <v>471</v>
      </c>
      <c r="AV672" s="15"/>
      <c r="AW672" s="12" t="str">
        <f>B672&amp;C672&amp;L672&amp;M672&amp;O672&amp;U672&amp;AL672&amp;AM672</f>
        <v>TobagoBuccoo Reef Marine ParkScleractiniaCoralcover1.17435897435897Alemu2014</v>
      </c>
    </row>
    <row r="673" spans="1:49" ht="14.25" customHeight="1" x14ac:dyDescent="0.35">
      <c r="A673" s="12">
        <v>672</v>
      </c>
      <c r="B673" s="12" t="s">
        <v>466</v>
      </c>
      <c r="C673" s="12" t="s">
        <v>467</v>
      </c>
      <c r="D673" s="15" t="s">
        <v>467</v>
      </c>
      <c r="E673" s="12" t="s">
        <v>171</v>
      </c>
      <c r="F673" s="13" t="s">
        <v>50</v>
      </c>
      <c r="G673" s="13" t="s">
        <v>51</v>
      </c>
      <c r="H673" s="13" t="s">
        <v>108</v>
      </c>
      <c r="I673" s="13" t="s">
        <v>156</v>
      </c>
      <c r="J673" s="17">
        <v>12.87</v>
      </c>
      <c r="K673" s="17"/>
      <c r="L673" s="14"/>
      <c r="M673" s="14" t="s">
        <v>472</v>
      </c>
      <c r="N673" s="53" t="s">
        <v>98</v>
      </c>
      <c r="O673" s="17" t="s">
        <v>101</v>
      </c>
      <c r="P673" s="14"/>
      <c r="Q673" s="14"/>
      <c r="R673" s="14"/>
      <c r="S673" s="14">
        <v>4.7300000000000004</v>
      </c>
      <c r="T673" s="14">
        <v>2.48</v>
      </c>
      <c r="U673" s="19">
        <f t="shared" si="49"/>
        <v>0.5243128964059196</v>
      </c>
      <c r="V673" s="41">
        <f t="shared" si="48"/>
        <v>-47.568710359408037</v>
      </c>
      <c r="W673" s="14"/>
      <c r="X673" s="14" t="s">
        <v>56</v>
      </c>
      <c r="Z673" s="14" t="s">
        <v>56</v>
      </c>
      <c r="AA673" s="14"/>
      <c r="AB673" s="14" t="s">
        <v>57</v>
      </c>
      <c r="AC673" s="14">
        <v>2011</v>
      </c>
      <c r="AD673" s="14">
        <v>1</v>
      </c>
      <c r="AE673" s="14">
        <v>6</v>
      </c>
      <c r="AF673" s="14"/>
      <c r="AG673" s="17">
        <v>2005</v>
      </c>
      <c r="AH673" s="14">
        <f t="shared" si="46"/>
        <v>6</v>
      </c>
      <c r="AI673" s="17">
        <f t="shared" si="47"/>
        <v>7.5</v>
      </c>
      <c r="AJ673" s="14"/>
      <c r="AK673" s="14" t="s">
        <v>56</v>
      </c>
      <c r="AL673" s="13" t="s">
        <v>469</v>
      </c>
      <c r="AM673" s="12">
        <v>2014</v>
      </c>
      <c r="AN673" s="12" t="s">
        <v>470</v>
      </c>
      <c r="AO673" s="12" t="s">
        <v>56</v>
      </c>
      <c r="AP673" s="12"/>
      <c r="AQ673" s="12" t="s">
        <v>56</v>
      </c>
      <c r="AR673" s="12" t="s">
        <v>58</v>
      </c>
      <c r="AS673" s="12" t="s">
        <v>163</v>
      </c>
      <c r="AT673" s="12"/>
      <c r="AU673" s="45" t="s">
        <v>471</v>
      </c>
      <c r="AV673" s="15"/>
      <c r="AW673" s="12" t="str">
        <f>B673&amp;C673&amp;L673&amp;M673&amp;O673&amp;U673&amp;AL673&amp;AM673</f>
        <v>TobagoBuccoo Reef Marine ParkSpongecover0.52431289640592Alemu2014</v>
      </c>
    </row>
    <row r="674" spans="1:49" ht="14.25" customHeight="1" x14ac:dyDescent="0.35">
      <c r="A674" s="12">
        <v>673</v>
      </c>
      <c r="B674" s="15" t="s">
        <v>466</v>
      </c>
      <c r="C674" s="15" t="s">
        <v>467</v>
      </c>
      <c r="D674" s="15" t="s">
        <v>467</v>
      </c>
      <c r="E674" s="12" t="s">
        <v>171</v>
      </c>
      <c r="F674" s="13" t="s">
        <v>50</v>
      </c>
      <c r="G674" s="13" t="s">
        <v>51</v>
      </c>
      <c r="H674" s="16" t="s">
        <v>108</v>
      </c>
      <c r="I674" s="16" t="s">
        <v>156</v>
      </c>
      <c r="J674" s="17">
        <v>12.87</v>
      </c>
      <c r="K674" s="17"/>
      <c r="L674" s="17"/>
      <c r="M674" s="17" t="s">
        <v>473</v>
      </c>
      <c r="N674" s="53" t="s">
        <v>98</v>
      </c>
      <c r="O674" s="17" t="s">
        <v>101</v>
      </c>
      <c r="P674" s="17"/>
      <c r="Q674" s="17"/>
      <c r="R674" s="17"/>
      <c r="S674" s="17">
        <v>39.340000000000003</v>
      </c>
      <c r="T674" s="17">
        <v>59.46</v>
      </c>
      <c r="U674" s="19">
        <f t="shared" si="49"/>
        <v>1.5114387391967461</v>
      </c>
      <c r="V674" s="41">
        <f t="shared" si="48"/>
        <v>51.143873919674611</v>
      </c>
      <c r="W674" s="14"/>
      <c r="X674" s="17" t="s">
        <v>56</v>
      </c>
      <c r="Z674" s="17" t="s">
        <v>56</v>
      </c>
      <c r="AA674" s="17"/>
      <c r="AB674" s="17" t="s">
        <v>57</v>
      </c>
      <c r="AC674" s="17">
        <v>2011</v>
      </c>
      <c r="AD674" s="17">
        <v>1</v>
      </c>
      <c r="AE674" s="17">
        <v>6</v>
      </c>
      <c r="AF674" s="17"/>
      <c r="AG674" s="17">
        <v>2005</v>
      </c>
      <c r="AH674" s="14">
        <f t="shared" si="46"/>
        <v>6</v>
      </c>
      <c r="AI674" s="17">
        <f t="shared" si="47"/>
        <v>7.5</v>
      </c>
      <c r="AJ674" s="17"/>
      <c r="AK674" s="17" t="s">
        <v>56</v>
      </c>
      <c r="AL674" s="16" t="s">
        <v>469</v>
      </c>
      <c r="AM674" s="15">
        <v>2014</v>
      </c>
      <c r="AN674" s="15" t="s">
        <v>470</v>
      </c>
      <c r="AO674" s="15" t="s">
        <v>56</v>
      </c>
      <c r="AP674" s="15"/>
      <c r="AQ674" s="15" t="s">
        <v>56</v>
      </c>
      <c r="AR674" s="15" t="s">
        <v>58</v>
      </c>
      <c r="AS674" s="15" t="s">
        <v>163</v>
      </c>
      <c r="AT674" s="12"/>
      <c r="AU674" s="45" t="s">
        <v>471</v>
      </c>
      <c r="AV674" s="15"/>
      <c r="AW674" s="12" t="str">
        <f>B674&amp;C674&amp;L674&amp;M674&amp;O674&amp;U674&amp;AL674&amp;AM674</f>
        <v>TobagoBuccoo Reef Marine ParkAlgaecover1.51143873919675Alemu2014</v>
      </c>
    </row>
    <row r="675" spans="1:49" ht="14.25" customHeight="1" x14ac:dyDescent="0.35">
      <c r="A675" s="12">
        <v>674</v>
      </c>
      <c r="B675" s="15" t="s">
        <v>466</v>
      </c>
      <c r="C675" s="15" t="s">
        <v>467</v>
      </c>
      <c r="D675" s="15" t="s">
        <v>467</v>
      </c>
      <c r="E675" s="12" t="s">
        <v>171</v>
      </c>
      <c r="F675" s="13" t="s">
        <v>50</v>
      </c>
      <c r="G675" s="13" t="s">
        <v>51</v>
      </c>
      <c r="H675" s="16" t="s">
        <v>108</v>
      </c>
      <c r="I675" s="16" t="s">
        <v>156</v>
      </c>
      <c r="J675" s="17">
        <v>12.87</v>
      </c>
      <c r="K675" s="17"/>
      <c r="L675" s="17"/>
      <c r="M675" s="17" t="s">
        <v>474</v>
      </c>
      <c r="N675" s="53" t="s">
        <v>98</v>
      </c>
      <c r="O675" s="17" t="s">
        <v>55</v>
      </c>
      <c r="P675" s="17"/>
      <c r="Q675" s="17"/>
      <c r="R675" s="17"/>
      <c r="S675" s="17">
        <v>27.6</v>
      </c>
      <c r="T675" s="17">
        <v>28.8</v>
      </c>
      <c r="U675" s="19">
        <f t="shared" si="49"/>
        <v>1.0434782608695652</v>
      </c>
      <c r="V675" s="41">
        <f t="shared" si="48"/>
        <v>4.3478260869565188</v>
      </c>
      <c r="W675" s="14"/>
      <c r="X675" s="17" t="s">
        <v>56</v>
      </c>
      <c r="Z675" s="17" t="s">
        <v>56</v>
      </c>
      <c r="AA675" s="17"/>
      <c r="AB675" s="17" t="s">
        <v>57</v>
      </c>
      <c r="AC675" s="17">
        <v>2011</v>
      </c>
      <c r="AD675" s="17">
        <v>1</v>
      </c>
      <c r="AE675" s="17">
        <v>6</v>
      </c>
      <c r="AF675" s="17"/>
      <c r="AG675" s="17">
        <v>2005</v>
      </c>
      <c r="AH675" s="14">
        <f t="shared" si="46"/>
        <v>6</v>
      </c>
      <c r="AI675" s="17">
        <f t="shared" si="47"/>
        <v>7.5</v>
      </c>
      <c r="AJ675" s="17"/>
      <c r="AK675" s="17" t="s">
        <v>56</v>
      </c>
      <c r="AL675" s="16" t="s">
        <v>469</v>
      </c>
      <c r="AM675" s="15">
        <v>2014</v>
      </c>
      <c r="AN675" s="15" t="s">
        <v>470</v>
      </c>
      <c r="AO675" s="15" t="s">
        <v>56</v>
      </c>
      <c r="AP675" s="15"/>
      <c r="AQ675" s="15" t="s">
        <v>56</v>
      </c>
      <c r="AR675" s="15" t="s">
        <v>58</v>
      </c>
      <c r="AS675" s="15" t="s">
        <v>163</v>
      </c>
      <c r="AT675" s="12"/>
      <c r="AU675" s="45" t="s">
        <v>471</v>
      </c>
      <c r="AV675" s="15"/>
      <c r="AW675" s="12" t="str">
        <f>B675&amp;C675&amp;L675&amp;M675&amp;O675&amp;U675&amp;AL675&amp;AM675</f>
        <v>TobagoBuccoo Reef Marine Parkreef fishrichness1.04347826086957Alemu2014</v>
      </c>
    </row>
    <row r="676" spans="1:49" ht="14.25" customHeight="1" x14ac:dyDescent="0.35">
      <c r="A676" s="12">
        <v>675</v>
      </c>
      <c r="B676" s="15" t="s">
        <v>466</v>
      </c>
      <c r="C676" s="15" t="s">
        <v>467</v>
      </c>
      <c r="D676" s="15" t="s">
        <v>467</v>
      </c>
      <c r="E676" s="12" t="s">
        <v>171</v>
      </c>
      <c r="F676" s="13" t="s">
        <v>50</v>
      </c>
      <c r="G676" s="13" t="s">
        <v>51</v>
      </c>
      <c r="H676" s="16" t="s">
        <v>108</v>
      </c>
      <c r="I676" s="16" t="s">
        <v>156</v>
      </c>
      <c r="J676" s="17">
        <v>12.87</v>
      </c>
      <c r="K676" s="17"/>
      <c r="L676" s="17"/>
      <c r="M676" s="17" t="s">
        <v>474</v>
      </c>
      <c r="N676" s="53" t="s">
        <v>98</v>
      </c>
      <c r="O676" s="17" t="s">
        <v>86</v>
      </c>
      <c r="P676" s="17"/>
      <c r="Q676" s="17"/>
      <c r="R676" s="17"/>
      <c r="S676" s="17">
        <v>121.29</v>
      </c>
      <c r="T676" s="17">
        <v>167.2</v>
      </c>
      <c r="U676" s="19">
        <f t="shared" si="49"/>
        <v>1.3785143045593204</v>
      </c>
      <c r="V676" s="41">
        <f t="shared" si="48"/>
        <v>37.851430455932046</v>
      </c>
      <c r="W676" s="14"/>
      <c r="X676" s="17" t="s">
        <v>56</v>
      </c>
      <c r="Z676" s="17" t="s">
        <v>56</v>
      </c>
      <c r="AA676" s="17"/>
      <c r="AB676" s="17" t="s">
        <v>57</v>
      </c>
      <c r="AC676" s="17">
        <v>2011</v>
      </c>
      <c r="AD676" s="17">
        <v>1</v>
      </c>
      <c r="AE676" s="17">
        <v>6</v>
      </c>
      <c r="AF676" s="17"/>
      <c r="AG676" s="17">
        <v>2005</v>
      </c>
      <c r="AH676" s="14">
        <f t="shared" si="46"/>
        <v>6</v>
      </c>
      <c r="AI676" s="17">
        <f t="shared" si="47"/>
        <v>7.5</v>
      </c>
      <c r="AJ676" s="17"/>
      <c r="AK676" s="17" t="s">
        <v>56</v>
      </c>
      <c r="AL676" s="16" t="s">
        <v>469</v>
      </c>
      <c r="AM676" s="15">
        <v>2014</v>
      </c>
      <c r="AN676" s="15" t="s">
        <v>470</v>
      </c>
      <c r="AO676" s="15" t="s">
        <v>56</v>
      </c>
      <c r="AP676" s="15"/>
      <c r="AQ676" s="15" t="s">
        <v>56</v>
      </c>
      <c r="AR676" s="15" t="s">
        <v>58</v>
      </c>
      <c r="AS676" s="15" t="s">
        <v>163</v>
      </c>
      <c r="AT676" s="12"/>
      <c r="AU676" s="45" t="s">
        <v>471</v>
      </c>
      <c r="AV676" s="15"/>
      <c r="AW676" s="12" t="str">
        <f>B676&amp;C676&amp;L676&amp;M676&amp;O676&amp;U676&amp;AL676&amp;AM676</f>
        <v>TobagoBuccoo Reef Marine Parkreef fishdensity1.37851430455932Alemu2014</v>
      </c>
    </row>
    <row r="677" spans="1:49" ht="14.25" customHeight="1" x14ac:dyDescent="0.35">
      <c r="A677" s="12">
        <v>676</v>
      </c>
      <c r="B677" s="15" t="s">
        <v>466</v>
      </c>
      <c r="C677" s="15" t="s">
        <v>467</v>
      </c>
      <c r="D677" s="15" t="s">
        <v>467</v>
      </c>
      <c r="E677" s="15" t="s">
        <v>171</v>
      </c>
      <c r="F677" s="13" t="s">
        <v>50</v>
      </c>
      <c r="G677" s="13" t="s">
        <v>51</v>
      </c>
      <c r="H677" s="16" t="s">
        <v>108</v>
      </c>
      <c r="I677" s="16" t="s">
        <v>156</v>
      </c>
      <c r="J677" s="17">
        <v>12.87</v>
      </c>
      <c r="K677" s="17"/>
      <c r="L677" s="17"/>
      <c r="M677" s="17" t="s">
        <v>474</v>
      </c>
      <c r="N677" s="53" t="s">
        <v>98</v>
      </c>
      <c r="O677" s="17" t="s">
        <v>70</v>
      </c>
      <c r="P677" s="17"/>
      <c r="Q677" s="17"/>
      <c r="R677" s="17"/>
      <c r="S677" s="17">
        <v>7988.24</v>
      </c>
      <c r="T677" s="17">
        <v>4355.8</v>
      </c>
      <c r="U677" s="20">
        <f t="shared" si="49"/>
        <v>0.54527655653811102</v>
      </c>
      <c r="V677" s="41">
        <f t="shared" si="48"/>
        <v>-45.472344346188898</v>
      </c>
      <c r="W677" s="17"/>
      <c r="X677" s="17" t="s">
        <v>56</v>
      </c>
      <c r="Z677" s="17" t="s">
        <v>56</v>
      </c>
      <c r="AA677" s="17"/>
      <c r="AB677" s="17" t="s">
        <v>57</v>
      </c>
      <c r="AC677" s="17">
        <v>2011</v>
      </c>
      <c r="AD677" s="17">
        <v>1</v>
      </c>
      <c r="AE677" s="17">
        <v>6</v>
      </c>
      <c r="AF677" s="17"/>
      <c r="AG677" s="17">
        <v>2005</v>
      </c>
      <c r="AH677" s="14">
        <f t="shared" si="46"/>
        <v>6</v>
      </c>
      <c r="AI677" s="17">
        <f t="shared" si="47"/>
        <v>7.5</v>
      </c>
      <c r="AJ677" s="17"/>
      <c r="AK677" s="17" t="s">
        <v>56</v>
      </c>
      <c r="AL677" s="16" t="s">
        <v>469</v>
      </c>
      <c r="AM677" s="15">
        <v>2014</v>
      </c>
      <c r="AN677" s="15" t="s">
        <v>470</v>
      </c>
      <c r="AO677" s="15" t="s">
        <v>56</v>
      </c>
      <c r="AP677" s="15"/>
      <c r="AQ677" s="15" t="s">
        <v>56</v>
      </c>
      <c r="AR677" s="15" t="s">
        <v>58</v>
      </c>
      <c r="AS677" s="15" t="s">
        <v>163</v>
      </c>
      <c r="AT677" s="15"/>
      <c r="AU677" s="45" t="s">
        <v>471</v>
      </c>
      <c r="AV677" s="15"/>
      <c r="AW677" s="12" t="str">
        <f>B677&amp;C677&amp;L677&amp;M677&amp;O677&amp;U677&amp;AL677&amp;AM677</f>
        <v>TobagoBuccoo Reef Marine Parkreef fishbiomassden0.545276556538111Alemu2014</v>
      </c>
    </row>
    <row r="678" spans="1:49" ht="14.25" customHeight="1" x14ac:dyDescent="0.35">
      <c r="A678" s="12">
        <v>677</v>
      </c>
      <c r="B678" s="15" t="s">
        <v>607</v>
      </c>
      <c r="C678" s="12" t="s">
        <v>608</v>
      </c>
      <c r="D678" s="12" t="s">
        <v>609</v>
      </c>
      <c r="E678" s="15" t="s">
        <v>538</v>
      </c>
      <c r="F678" s="13" t="s">
        <v>339</v>
      </c>
      <c r="G678" s="13" t="s">
        <v>51</v>
      </c>
      <c r="H678" s="16" t="s">
        <v>108</v>
      </c>
      <c r="I678" s="16" t="s">
        <v>156</v>
      </c>
      <c r="J678" s="17">
        <v>1</v>
      </c>
      <c r="K678" s="17"/>
      <c r="L678" s="17"/>
      <c r="M678" s="17" t="s">
        <v>474</v>
      </c>
      <c r="N678" s="53" t="s">
        <v>98</v>
      </c>
      <c r="O678" s="17" t="s">
        <v>86</v>
      </c>
      <c r="P678" s="17"/>
      <c r="Q678" s="17"/>
      <c r="R678" s="17"/>
      <c r="S678" s="17">
        <f>AVERAGE(6.76^2+7.55^2+6.17^2)</f>
        <v>140.76900000000001</v>
      </c>
      <c r="T678" s="17">
        <f>AVERAGE(6.78^2+7.07^2+7.17^2)</f>
        <v>147.3622</v>
      </c>
      <c r="U678" s="20">
        <f t="shared" si="49"/>
        <v>1.0468370166727048</v>
      </c>
      <c r="V678" s="41">
        <f t="shared" si="48"/>
        <v>4.683701667270479</v>
      </c>
      <c r="W678" s="17"/>
      <c r="X678" s="17" t="s">
        <v>58</v>
      </c>
      <c r="Y678" s="14" t="s">
        <v>610</v>
      </c>
      <c r="Z678" s="17" t="s">
        <v>56</v>
      </c>
      <c r="AA678" s="17"/>
      <c r="AB678" s="17" t="s">
        <v>57</v>
      </c>
      <c r="AC678" s="17">
        <v>2014</v>
      </c>
      <c r="AD678" s="17">
        <v>1</v>
      </c>
      <c r="AE678" s="17"/>
      <c r="AF678" s="17"/>
      <c r="AG678" s="17">
        <v>2002</v>
      </c>
      <c r="AH678" s="14">
        <f t="shared" si="46"/>
        <v>12</v>
      </c>
      <c r="AI678" s="17">
        <f t="shared" si="47"/>
        <v>13</v>
      </c>
      <c r="AJ678" s="17"/>
      <c r="AK678" s="17" t="s">
        <v>56</v>
      </c>
      <c r="AL678" s="16" t="s">
        <v>611</v>
      </c>
      <c r="AM678" s="15">
        <v>2017</v>
      </c>
      <c r="AN678" s="15" t="s">
        <v>150</v>
      </c>
      <c r="AO678" s="15" t="s">
        <v>56</v>
      </c>
      <c r="AP678" s="15"/>
      <c r="AQ678" s="15" t="s">
        <v>56</v>
      </c>
      <c r="AR678" s="15" t="s">
        <v>58</v>
      </c>
      <c r="AS678" s="15" t="s">
        <v>163</v>
      </c>
      <c r="AT678" s="15"/>
      <c r="AU678" s="45" t="s">
        <v>612</v>
      </c>
      <c r="AV678" s="15"/>
      <c r="AW678" s="12" t="str">
        <f>B678&amp;C678&amp;L678&amp;M678&amp;O678&amp;U678&amp;AL678&amp;AM678</f>
        <v>Zanzibar (Autonomous region of Tanzania.)Chumbe &amp; Mnemba Reservesreef fishdensity1.0468370166727Alonso Aller2017</v>
      </c>
    </row>
    <row r="679" spans="1:49" ht="14.25" customHeight="1" x14ac:dyDescent="0.35">
      <c r="A679" s="12">
        <v>678</v>
      </c>
      <c r="B679" s="15" t="s">
        <v>607</v>
      </c>
      <c r="C679" s="15" t="s">
        <v>608</v>
      </c>
      <c r="D679" s="15" t="s">
        <v>609</v>
      </c>
      <c r="E679" s="15" t="s">
        <v>538</v>
      </c>
      <c r="F679" s="13" t="s">
        <v>339</v>
      </c>
      <c r="G679" s="13" t="s">
        <v>51</v>
      </c>
      <c r="H679" s="16" t="s">
        <v>108</v>
      </c>
      <c r="I679" s="16" t="s">
        <v>156</v>
      </c>
      <c r="J679" s="17">
        <v>1</v>
      </c>
      <c r="K679" s="17"/>
      <c r="L679" s="17"/>
      <c r="M679" s="17" t="s">
        <v>474</v>
      </c>
      <c r="N679" s="53" t="s">
        <v>98</v>
      </c>
      <c r="O679" s="17" t="s">
        <v>55</v>
      </c>
      <c r="P679" s="17"/>
      <c r="Q679" s="17"/>
      <c r="R679" s="17"/>
      <c r="S679" s="17">
        <f>AVERAGE(5.93+10.14+7.51)</f>
        <v>23.58</v>
      </c>
      <c r="T679" s="17">
        <f>AVERAGE(8.42+9.64+11)</f>
        <v>29.060000000000002</v>
      </c>
      <c r="U679" s="20">
        <f t="shared" si="49"/>
        <v>1.2324003392705685</v>
      </c>
      <c r="V679" s="41">
        <f t="shared" si="48"/>
        <v>23.240033927056846</v>
      </c>
      <c r="W679" s="17"/>
      <c r="X679" s="17" t="s">
        <v>58</v>
      </c>
      <c r="Y679" s="14" t="s">
        <v>610</v>
      </c>
      <c r="Z679" s="17" t="s">
        <v>56</v>
      </c>
      <c r="AA679" s="17"/>
      <c r="AB679" s="17" t="s">
        <v>57</v>
      </c>
      <c r="AC679" s="17">
        <v>2014</v>
      </c>
      <c r="AD679" s="17">
        <v>1</v>
      </c>
      <c r="AE679" s="17"/>
      <c r="AF679" s="17"/>
      <c r="AG679" s="17">
        <v>2002</v>
      </c>
      <c r="AH679" s="14">
        <f t="shared" si="46"/>
        <v>12</v>
      </c>
      <c r="AI679" s="17">
        <f t="shared" si="47"/>
        <v>13</v>
      </c>
      <c r="AJ679" s="17"/>
      <c r="AK679" s="17" t="s">
        <v>56</v>
      </c>
      <c r="AL679" s="16" t="s">
        <v>611</v>
      </c>
      <c r="AM679" s="15">
        <v>2017</v>
      </c>
      <c r="AN679" s="15" t="s">
        <v>150</v>
      </c>
      <c r="AO679" s="15" t="s">
        <v>56</v>
      </c>
      <c r="AP679" s="15"/>
      <c r="AQ679" s="15" t="s">
        <v>56</v>
      </c>
      <c r="AR679" s="15" t="s">
        <v>58</v>
      </c>
      <c r="AS679" s="15" t="s">
        <v>163</v>
      </c>
      <c r="AT679" s="15"/>
      <c r="AU679" s="45" t="s">
        <v>612</v>
      </c>
      <c r="AV679" s="15"/>
      <c r="AW679" s="12" t="str">
        <f>B679&amp;C679&amp;L679&amp;M679&amp;O679&amp;U679&amp;AL679&amp;AM679</f>
        <v>Zanzibar (Autonomous region of Tanzania.)Chumbe &amp; Mnemba Reservesreef fishrichness1.23240033927057Alonso Aller2017</v>
      </c>
    </row>
    <row r="680" spans="1:49" ht="14.15" customHeight="1" x14ac:dyDescent="0.35">
      <c r="A680" s="12">
        <v>679</v>
      </c>
      <c r="B680" s="15" t="s">
        <v>210</v>
      </c>
      <c r="C680" s="15" t="s">
        <v>809</v>
      </c>
      <c r="D680" s="15" t="s">
        <v>809</v>
      </c>
      <c r="E680" s="15" t="s">
        <v>525</v>
      </c>
      <c r="F680" s="16" t="s">
        <v>50</v>
      </c>
      <c r="G680" s="16" t="s">
        <v>51</v>
      </c>
      <c r="H680" s="16" t="s">
        <v>108</v>
      </c>
      <c r="I680" s="16" t="s">
        <v>156</v>
      </c>
      <c r="J680" s="17"/>
      <c r="K680" s="17">
        <v>3</v>
      </c>
      <c r="L680" s="17"/>
      <c r="M680" s="17" t="s">
        <v>818</v>
      </c>
      <c r="N680" s="53" t="s">
        <v>98</v>
      </c>
      <c r="O680" s="17" t="s">
        <v>101</v>
      </c>
      <c r="P680" s="17"/>
      <c r="Q680" s="17"/>
      <c r="R680" s="17"/>
      <c r="S680" s="17">
        <f>(63.46+42.95+89.1+48.4)/4</f>
        <v>60.977499999999999</v>
      </c>
      <c r="T680" s="17">
        <f>(65.71+45.83)/2</f>
        <v>55.769999999999996</v>
      </c>
      <c r="U680" s="20">
        <f t="shared" si="49"/>
        <v>0.91459964741093025</v>
      </c>
      <c r="V680" s="41">
        <f t="shared" si="48"/>
        <v>-8.5400352589069755</v>
      </c>
      <c r="W680" s="17"/>
      <c r="X680" s="17" t="s">
        <v>56</v>
      </c>
      <c r="Y680" s="12"/>
      <c r="Z680" s="17" t="s">
        <v>56</v>
      </c>
      <c r="AA680" s="17"/>
      <c r="AB680" s="17" t="s">
        <v>57</v>
      </c>
      <c r="AC680" s="17">
        <v>2008</v>
      </c>
      <c r="AD680" s="17"/>
      <c r="AE680" s="17">
        <v>1</v>
      </c>
      <c r="AF680" s="17"/>
      <c r="AG680" s="17">
        <v>1986</v>
      </c>
      <c r="AH680" s="14">
        <f t="shared" si="46"/>
        <v>22</v>
      </c>
      <c r="AI680" s="17">
        <f t="shared" si="47"/>
        <v>22.083333333333332</v>
      </c>
      <c r="AJ680" s="17"/>
      <c r="AK680" s="17" t="s">
        <v>56</v>
      </c>
      <c r="AL680" s="16" t="s">
        <v>819</v>
      </c>
      <c r="AM680" s="15">
        <v>2019</v>
      </c>
      <c r="AN680" s="15" t="s">
        <v>820</v>
      </c>
      <c r="AO680" s="15" t="s">
        <v>56</v>
      </c>
      <c r="AP680" s="15"/>
      <c r="AQ680" s="15" t="s">
        <v>56</v>
      </c>
      <c r="AR680" s="15" t="s">
        <v>58</v>
      </c>
      <c r="AS680" s="15" t="s">
        <v>163</v>
      </c>
      <c r="AT680" s="15"/>
      <c r="AU680" s="45" t="s">
        <v>821</v>
      </c>
      <c r="AV680" s="15"/>
      <c r="AW680" s="12" t="str">
        <f>B680&amp;C680&amp;L680&amp;M680&amp;O680&amp;U680&amp;AL680&amp;AM680</f>
        <v>PortugalGarajau Marine Natural Reservesessile benthic communitiescover0.91459964741093Alves 2019</v>
      </c>
    </row>
    <row r="681" spans="1:49" ht="14.25" customHeight="1" x14ac:dyDescent="0.35">
      <c r="A681" s="12">
        <v>680</v>
      </c>
      <c r="B681" s="15" t="s">
        <v>210</v>
      </c>
      <c r="C681" s="15" t="s">
        <v>809</v>
      </c>
      <c r="D681" s="15" t="s">
        <v>809</v>
      </c>
      <c r="E681" s="12" t="s">
        <v>525</v>
      </c>
      <c r="F681" s="13" t="s">
        <v>50</v>
      </c>
      <c r="G681" s="13" t="s">
        <v>51</v>
      </c>
      <c r="H681" s="16" t="s">
        <v>108</v>
      </c>
      <c r="I681" s="16" t="s">
        <v>156</v>
      </c>
      <c r="J681" s="17"/>
      <c r="K681" s="17">
        <v>3</v>
      </c>
      <c r="L681" s="17"/>
      <c r="M681" s="17" t="s">
        <v>818</v>
      </c>
      <c r="N681" s="42" t="s">
        <v>98</v>
      </c>
      <c r="O681" s="17" t="s">
        <v>55</v>
      </c>
      <c r="P681" s="17"/>
      <c r="Q681" s="17"/>
      <c r="R681" s="17"/>
      <c r="S681" s="17">
        <f>(1.7+2.14+3.76+3.59)/4</f>
        <v>2.7974999999999999</v>
      </c>
      <c r="T681" s="17">
        <f>(2.35+3.78)/2</f>
        <v>3.0649999999999999</v>
      </c>
      <c r="U681" s="19">
        <f t="shared" si="49"/>
        <v>1.0956210902591601</v>
      </c>
      <c r="V681" s="41">
        <f t="shared" si="48"/>
        <v>9.5621090259160102</v>
      </c>
      <c r="W681" s="14"/>
      <c r="X681" s="17" t="s">
        <v>56</v>
      </c>
      <c r="Y681" s="12"/>
      <c r="Z681" s="17" t="s">
        <v>56</v>
      </c>
      <c r="AA681" s="17"/>
      <c r="AB681" s="17" t="s">
        <v>57</v>
      </c>
      <c r="AC681" s="17">
        <v>2008</v>
      </c>
      <c r="AD681" s="17"/>
      <c r="AE681" s="17">
        <v>1</v>
      </c>
      <c r="AF681" s="17"/>
      <c r="AG681" s="17">
        <v>1986</v>
      </c>
      <c r="AH681" s="14">
        <f t="shared" si="46"/>
        <v>22</v>
      </c>
      <c r="AI681" s="17">
        <f t="shared" si="47"/>
        <v>22.083333333333332</v>
      </c>
      <c r="AJ681" s="17"/>
      <c r="AK681" s="17" t="s">
        <v>56</v>
      </c>
      <c r="AL681" s="16" t="s">
        <v>819</v>
      </c>
      <c r="AM681" s="15">
        <v>2019</v>
      </c>
      <c r="AN681" s="15" t="s">
        <v>820</v>
      </c>
      <c r="AO681" s="15" t="s">
        <v>56</v>
      </c>
      <c r="AP681" s="15"/>
      <c r="AQ681" s="15" t="s">
        <v>56</v>
      </c>
      <c r="AR681" s="15" t="s">
        <v>58</v>
      </c>
      <c r="AS681" s="15" t="s">
        <v>163</v>
      </c>
      <c r="AT681" s="12"/>
      <c r="AU681" s="45" t="s">
        <v>821</v>
      </c>
      <c r="AV681" s="15"/>
      <c r="AW681" s="12" t="str">
        <f>B681&amp;C681&amp;L681&amp;M681&amp;O681&amp;U681&amp;AL681&amp;AM681</f>
        <v>PortugalGarajau Marine Natural Reservesessile benthic communitiesrichness1.09562109025916Alves 2019</v>
      </c>
    </row>
    <row r="682" spans="1:49" ht="14.25" customHeight="1" x14ac:dyDescent="0.35">
      <c r="A682" s="12">
        <v>681</v>
      </c>
      <c r="B682" s="15" t="s">
        <v>66</v>
      </c>
      <c r="C682" s="15" t="s">
        <v>1081</v>
      </c>
      <c r="D682" s="15" t="s">
        <v>2826</v>
      </c>
      <c r="E682" s="12" t="s">
        <v>1090</v>
      </c>
      <c r="F682" s="13" t="s">
        <v>50</v>
      </c>
      <c r="G682" s="13" t="s">
        <v>51</v>
      </c>
      <c r="H682" s="16" t="s">
        <v>329</v>
      </c>
      <c r="I682" s="16" t="s">
        <v>53</v>
      </c>
      <c r="J682" s="17">
        <v>1.26</v>
      </c>
      <c r="K682" s="17"/>
      <c r="L682" s="17" t="s">
        <v>1091</v>
      </c>
      <c r="M682" s="17" t="s">
        <v>1092</v>
      </c>
      <c r="N682" s="14" t="s">
        <v>85</v>
      </c>
      <c r="O682" s="17" t="s">
        <v>86</v>
      </c>
      <c r="P682" s="17"/>
      <c r="Q682" s="17"/>
      <c r="R682" s="17"/>
      <c r="S682" s="17">
        <v>2</v>
      </c>
      <c r="T682" s="17">
        <v>70.8</v>
      </c>
      <c r="U682" s="19">
        <f t="shared" si="49"/>
        <v>35.4</v>
      </c>
      <c r="V682" s="41">
        <f t="shared" si="48"/>
        <v>3440</v>
      </c>
      <c r="W682" s="14"/>
      <c r="X682" s="17" t="s">
        <v>56</v>
      </c>
      <c r="Z682" s="17" t="s">
        <v>56</v>
      </c>
      <c r="AA682" s="17"/>
      <c r="AB682" s="17" t="s">
        <v>57</v>
      </c>
      <c r="AC682" s="17">
        <v>2003</v>
      </c>
      <c r="AD682" s="17">
        <v>1</v>
      </c>
      <c r="AE682" s="17"/>
      <c r="AF682" s="17"/>
      <c r="AG682" s="17">
        <v>1988</v>
      </c>
      <c r="AH682" s="14">
        <f t="shared" si="46"/>
        <v>15</v>
      </c>
      <c r="AI682" s="17">
        <f t="shared" si="47"/>
        <v>16</v>
      </c>
      <c r="AJ682" s="51"/>
      <c r="AK682" s="17" t="s">
        <v>56</v>
      </c>
      <c r="AL682" s="16" t="s">
        <v>112</v>
      </c>
      <c r="AM682" s="15">
        <v>2007</v>
      </c>
      <c r="AN682" s="15" t="s">
        <v>1086</v>
      </c>
      <c r="AO682" s="15" t="s">
        <v>56</v>
      </c>
      <c r="AP682" s="15"/>
      <c r="AQ682" s="15" t="s">
        <v>56</v>
      </c>
      <c r="AR682" s="15" t="s">
        <v>58</v>
      </c>
      <c r="AS682" s="15" t="s">
        <v>83</v>
      </c>
      <c r="AT682" s="12"/>
      <c r="AU682" s="45" t="s">
        <v>2634</v>
      </c>
      <c r="AV682" s="15"/>
      <c r="AW682" s="12" t="str">
        <f>B682&amp;C682&amp;L682&amp;M682&amp;O682&amp;U682&amp;AL682&amp;AM682</f>
        <v>AustraliaKingston Reef Marine SanctuaryPanulirus cygnusSpiny lobsterdensity35.4Babcock2007</v>
      </c>
    </row>
    <row r="683" spans="1:49" ht="14.25" customHeight="1" x14ac:dyDescent="0.35">
      <c r="A683" s="12">
        <v>682</v>
      </c>
      <c r="B683" s="15" t="s">
        <v>66</v>
      </c>
      <c r="C683" s="15" t="s">
        <v>1081</v>
      </c>
      <c r="D683" s="15" t="s">
        <v>2826</v>
      </c>
      <c r="E683" s="15" t="s">
        <v>1090</v>
      </c>
      <c r="F683" s="16" t="s">
        <v>50</v>
      </c>
      <c r="G683" s="16" t="s">
        <v>51</v>
      </c>
      <c r="H683" s="16" t="s">
        <v>329</v>
      </c>
      <c r="I683" s="16" t="s">
        <v>53</v>
      </c>
      <c r="J683" s="17">
        <v>1.26</v>
      </c>
      <c r="K683" s="17"/>
      <c r="L683" s="17" t="s">
        <v>1091</v>
      </c>
      <c r="M683" s="17" t="s">
        <v>1092</v>
      </c>
      <c r="N683" s="17" t="s">
        <v>85</v>
      </c>
      <c r="O683" s="17" t="s">
        <v>70</v>
      </c>
      <c r="P683" s="17"/>
      <c r="Q683" s="17"/>
      <c r="R683" s="17"/>
      <c r="S683" s="17">
        <v>60</v>
      </c>
      <c r="T683" s="17">
        <v>18010</v>
      </c>
      <c r="U683" s="20">
        <f t="shared" si="49"/>
        <v>300.16666666666669</v>
      </c>
      <c r="V683" s="41">
        <f t="shared" si="48"/>
        <v>29916.666666666668</v>
      </c>
      <c r="W683" s="17"/>
      <c r="X683" s="17" t="s">
        <v>56</v>
      </c>
      <c r="Z683" s="17" t="s">
        <v>56</v>
      </c>
      <c r="AA683" s="17"/>
      <c r="AB683" s="17" t="s">
        <v>57</v>
      </c>
      <c r="AC683" s="17">
        <v>2003</v>
      </c>
      <c r="AD683" s="17">
        <v>1</v>
      </c>
      <c r="AE683" s="17"/>
      <c r="AF683" s="17"/>
      <c r="AG683" s="17">
        <v>1988</v>
      </c>
      <c r="AH683" s="14">
        <f t="shared" si="46"/>
        <v>15</v>
      </c>
      <c r="AI683" s="17">
        <f t="shared" si="47"/>
        <v>16</v>
      </c>
      <c r="AJ683" s="17"/>
      <c r="AK683" s="17" t="s">
        <v>56</v>
      </c>
      <c r="AL683" s="16" t="s">
        <v>112</v>
      </c>
      <c r="AM683" s="15">
        <v>2007</v>
      </c>
      <c r="AN683" s="15" t="s">
        <v>1086</v>
      </c>
      <c r="AO683" s="15" t="s">
        <v>56</v>
      </c>
      <c r="AP683" s="15"/>
      <c r="AQ683" s="15" t="s">
        <v>56</v>
      </c>
      <c r="AR683" s="15" t="s">
        <v>58</v>
      </c>
      <c r="AS683" s="15" t="s">
        <v>83</v>
      </c>
      <c r="AT683" s="15"/>
      <c r="AU683" s="45" t="s">
        <v>2841</v>
      </c>
      <c r="AV683" s="15"/>
      <c r="AW683" s="12" t="str">
        <f>B683&amp;C683&amp;L683&amp;M683&amp;O683&amp;U683&amp;AL683&amp;AM683</f>
        <v>AustraliaKingston Reef Marine SanctuaryPanulirus cygnusSpiny lobsterbiomassden300.166666666667Babcock2007</v>
      </c>
    </row>
    <row r="684" spans="1:49" ht="14.25" customHeight="1" x14ac:dyDescent="0.35">
      <c r="A684" s="12">
        <v>683</v>
      </c>
      <c r="B684" s="15" t="s">
        <v>1397</v>
      </c>
      <c r="C684" s="12" t="s">
        <v>2670</v>
      </c>
      <c r="D684" s="12" t="s">
        <v>2670</v>
      </c>
      <c r="E684" s="12" t="s">
        <v>1398</v>
      </c>
      <c r="F684" s="13" t="s">
        <v>50</v>
      </c>
      <c r="G684" s="13" t="s">
        <v>51</v>
      </c>
      <c r="H684" s="16" t="s">
        <v>108</v>
      </c>
      <c r="I684" s="16" t="s">
        <v>156</v>
      </c>
      <c r="J684" s="17"/>
      <c r="K684" s="17">
        <v>0.69</v>
      </c>
      <c r="L684" s="17"/>
      <c r="M684" s="17" t="s">
        <v>291</v>
      </c>
      <c r="N684" s="53" t="s">
        <v>98</v>
      </c>
      <c r="O684" s="17" t="s">
        <v>101</v>
      </c>
      <c r="P684" s="17"/>
      <c r="Q684" s="17"/>
      <c r="R684" s="17"/>
      <c r="S684" s="17">
        <v>71</v>
      </c>
      <c r="T684" s="17">
        <v>67</v>
      </c>
      <c r="U684" s="19">
        <f t="shared" si="49"/>
        <v>0.94366197183098588</v>
      </c>
      <c r="V684" s="41">
        <f t="shared" si="48"/>
        <v>-5.6338028169014116</v>
      </c>
      <c r="W684" s="14"/>
      <c r="X684" s="17" t="s">
        <v>56</v>
      </c>
      <c r="Z684" s="17" t="s">
        <v>56</v>
      </c>
      <c r="AA684" s="17"/>
      <c r="AB684" s="17" t="s">
        <v>57</v>
      </c>
      <c r="AC684" s="17">
        <v>2008</v>
      </c>
      <c r="AD684" s="17">
        <v>5</v>
      </c>
      <c r="AE684" s="17"/>
      <c r="AF684" s="17"/>
      <c r="AG684" s="17">
        <v>1999</v>
      </c>
      <c r="AH684" s="14">
        <f t="shared" si="46"/>
        <v>9</v>
      </c>
      <c r="AI684" s="17">
        <f t="shared" si="47"/>
        <v>14</v>
      </c>
      <c r="AJ684" s="17"/>
      <c r="AK684" s="17" t="s">
        <v>58</v>
      </c>
      <c r="AL684" s="16" t="s">
        <v>1399</v>
      </c>
      <c r="AM684" s="15">
        <v>2014</v>
      </c>
      <c r="AN684" s="15" t="s">
        <v>470</v>
      </c>
      <c r="AO684" s="15" t="s">
        <v>56</v>
      </c>
      <c r="AP684" s="15"/>
      <c r="AQ684" s="15" t="s">
        <v>56</v>
      </c>
      <c r="AR684" s="15" t="s">
        <v>58</v>
      </c>
      <c r="AS684" s="15" t="s">
        <v>83</v>
      </c>
      <c r="AT684" s="12"/>
      <c r="AU684" s="45" t="s">
        <v>2671</v>
      </c>
      <c r="AV684" s="15"/>
      <c r="AW684" s="12" t="str">
        <f>B684&amp;C684&amp;L684&amp;M684&amp;O684&amp;U684&amp;AL684&amp;AM684</f>
        <v>GrenadaMoliniere-Beausejour MPAMacroalgaecover0.943661971830986Anderson2014</v>
      </c>
    </row>
    <row r="685" spans="1:49" ht="14.25" customHeight="1" x14ac:dyDescent="0.35">
      <c r="A685" s="12">
        <v>684</v>
      </c>
      <c r="B685" s="15" t="s">
        <v>1397</v>
      </c>
      <c r="C685" s="15" t="s">
        <v>2670</v>
      </c>
      <c r="D685" s="15" t="s">
        <v>2670</v>
      </c>
      <c r="E685" s="15" t="s">
        <v>1398</v>
      </c>
      <c r="F685" s="16" t="s">
        <v>50</v>
      </c>
      <c r="G685" s="16" t="s">
        <v>51</v>
      </c>
      <c r="H685" s="16" t="s">
        <v>108</v>
      </c>
      <c r="I685" s="16" t="s">
        <v>156</v>
      </c>
      <c r="J685" s="17"/>
      <c r="K685" s="17">
        <v>0.69</v>
      </c>
      <c r="L685" s="17"/>
      <c r="M685" s="17" t="s">
        <v>614</v>
      </c>
      <c r="N685" s="53" t="s">
        <v>98</v>
      </c>
      <c r="O685" s="17" t="s">
        <v>101</v>
      </c>
      <c r="P685" s="17"/>
      <c r="Q685" s="17"/>
      <c r="R685" s="17"/>
      <c r="S685" s="17">
        <v>10.26</v>
      </c>
      <c r="T685" s="17">
        <v>10</v>
      </c>
      <c r="U685" s="20">
        <f t="shared" si="49"/>
        <v>0.97465886939571156</v>
      </c>
      <c r="V685" s="41">
        <f t="shared" si="48"/>
        <v>-2.5341130604288442</v>
      </c>
      <c r="W685" s="17"/>
      <c r="X685" s="17" t="s">
        <v>56</v>
      </c>
      <c r="Z685" s="17" t="s">
        <v>56</v>
      </c>
      <c r="AA685" s="17"/>
      <c r="AB685" s="17" t="s">
        <v>57</v>
      </c>
      <c r="AC685" s="17">
        <v>2008</v>
      </c>
      <c r="AD685" s="17">
        <v>5</v>
      </c>
      <c r="AE685" s="17"/>
      <c r="AF685" s="17"/>
      <c r="AG685" s="17">
        <v>1999</v>
      </c>
      <c r="AH685" s="14">
        <f t="shared" si="46"/>
        <v>9</v>
      </c>
      <c r="AI685" s="17">
        <f t="shared" si="47"/>
        <v>14</v>
      </c>
      <c r="AJ685" s="17"/>
      <c r="AK685" s="17" t="s">
        <v>58</v>
      </c>
      <c r="AL685" s="16" t="s">
        <v>1399</v>
      </c>
      <c r="AM685" s="15">
        <v>2014</v>
      </c>
      <c r="AN685" s="15" t="s">
        <v>470</v>
      </c>
      <c r="AO685" s="15" t="s">
        <v>56</v>
      </c>
      <c r="AP685" s="15"/>
      <c r="AQ685" s="15" t="s">
        <v>56</v>
      </c>
      <c r="AR685" s="15" t="s">
        <v>58</v>
      </c>
      <c r="AS685" s="15" t="s">
        <v>83</v>
      </c>
      <c r="AT685" s="15"/>
      <c r="AU685" s="45" t="s">
        <v>2671</v>
      </c>
      <c r="AV685" s="15"/>
      <c r="AW685" s="12" t="str">
        <f>B685&amp;C685&amp;L685&amp;M685&amp;O685&amp;U685&amp;AL685&amp;AM685</f>
        <v>GrenadaMoliniere-Beausejour MPAHard coralcover0.974658869395712Anderson2014</v>
      </c>
    </row>
    <row r="686" spans="1:49" ht="14.25" customHeight="1" x14ac:dyDescent="0.35">
      <c r="A686" s="12">
        <v>685</v>
      </c>
      <c r="B686" s="15" t="s">
        <v>1397</v>
      </c>
      <c r="C686" s="15" t="s">
        <v>2670</v>
      </c>
      <c r="D686" s="15" t="s">
        <v>2670</v>
      </c>
      <c r="E686" s="15" t="s">
        <v>1398</v>
      </c>
      <c r="F686" s="13" t="s">
        <v>50</v>
      </c>
      <c r="G686" s="13" t="s">
        <v>51</v>
      </c>
      <c r="H686" s="16" t="s">
        <v>108</v>
      </c>
      <c r="I686" s="16" t="s">
        <v>156</v>
      </c>
      <c r="J686" s="17"/>
      <c r="K686" s="17">
        <v>0.69</v>
      </c>
      <c r="L686" s="17"/>
      <c r="M686" s="14" t="s">
        <v>472</v>
      </c>
      <c r="N686" s="53" t="s">
        <v>98</v>
      </c>
      <c r="O686" s="17" t="s">
        <v>101</v>
      </c>
      <c r="P686" s="17"/>
      <c r="Q686" s="17"/>
      <c r="R686" s="17"/>
      <c r="S686" s="17">
        <v>2.2999999999999998</v>
      </c>
      <c r="T686" s="17">
        <v>4.2</v>
      </c>
      <c r="U686" s="20">
        <f t="shared" si="49"/>
        <v>1.8260869565217392</v>
      </c>
      <c r="V686" s="41">
        <f t="shared" si="48"/>
        <v>82.608695652173921</v>
      </c>
      <c r="W686" s="17"/>
      <c r="X686" s="17" t="s">
        <v>56</v>
      </c>
      <c r="Z686" s="17" t="s">
        <v>56</v>
      </c>
      <c r="AA686" s="17"/>
      <c r="AB686" s="17" t="s">
        <v>57</v>
      </c>
      <c r="AC686" s="17">
        <v>2008</v>
      </c>
      <c r="AD686" s="17">
        <v>5</v>
      </c>
      <c r="AE686" s="17"/>
      <c r="AF686" s="17"/>
      <c r="AG686" s="17">
        <v>1999</v>
      </c>
      <c r="AH686" s="14">
        <f t="shared" si="46"/>
        <v>9</v>
      </c>
      <c r="AI686" s="17">
        <f t="shared" si="47"/>
        <v>14</v>
      </c>
      <c r="AJ686" s="17"/>
      <c r="AK686" s="17" t="s">
        <v>58</v>
      </c>
      <c r="AL686" s="16" t="s">
        <v>1399</v>
      </c>
      <c r="AM686" s="15">
        <v>2014</v>
      </c>
      <c r="AN686" s="15" t="s">
        <v>470</v>
      </c>
      <c r="AO686" s="15" t="s">
        <v>56</v>
      </c>
      <c r="AP686" s="15"/>
      <c r="AQ686" s="15" t="s">
        <v>56</v>
      </c>
      <c r="AR686" s="15" t="s">
        <v>58</v>
      </c>
      <c r="AS686" s="15" t="s">
        <v>83</v>
      </c>
      <c r="AT686" s="15"/>
      <c r="AU686" s="45" t="s">
        <v>2671</v>
      </c>
      <c r="AV686" s="15"/>
      <c r="AW686" s="12" t="str">
        <f>B686&amp;C686&amp;L686&amp;M686&amp;O686&amp;U686&amp;AL686&amp;AM686</f>
        <v>GrenadaMoliniere-Beausejour MPASpongecover1.82608695652174Anderson2014</v>
      </c>
    </row>
    <row r="687" spans="1:49" ht="14.25" customHeight="1" x14ac:dyDescent="0.35">
      <c r="A687" s="12">
        <v>686</v>
      </c>
      <c r="B687" s="12" t="s">
        <v>1397</v>
      </c>
      <c r="C687" s="12" t="s">
        <v>2670</v>
      </c>
      <c r="D687" s="12" t="s">
        <v>2670</v>
      </c>
      <c r="E687" s="12" t="s">
        <v>1398</v>
      </c>
      <c r="F687" s="13" t="s">
        <v>50</v>
      </c>
      <c r="G687" s="13" t="s">
        <v>51</v>
      </c>
      <c r="H687" s="13" t="s">
        <v>108</v>
      </c>
      <c r="I687" s="13" t="s">
        <v>156</v>
      </c>
      <c r="K687" s="14">
        <v>0.69</v>
      </c>
      <c r="L687" s="14"/>
      <c r="M687" s="18" t="s">
        <v>235</v>
      </c>
      <c r="N687" s="42" t="s">
        <v>98</v>
      </c>
      <c r="O687" s="17" t="s">
        <v>101</v>
      </c>
      <c r="P687" s="14"/>
      <c r="Q687" s="14"/>
      <c r="R687" s="14"/>
      <c r="S687" s="14">
        <v>1.06</v>
      </c>
      <c r="T687" s="14">
        <v>3.69</v>
      </c>
      <c r="U687" s="19">
        <f t="shared" si="49"/>
        <v>3.4811320754716979</v>
      </c>
      <c r="V687" s="41">
        <f t="shared" si="48"/>
        <v>248.11320754716979</v>
      </c>
      <c r="W687" s="14"/>
      <c r="X687" s="14" t="s">
        <v>56</v>
      </c>
      <c r="Z687" s="14" t="s">
        <v>56</v>
      </c>
      <c r="AA687" s="14"/>
      <c r="AB687" s="14" t="s">
        <v>57</v>
      </c>
      <c r="AC687" s="14">
        <v>2008</v>
      </c>
      <c r="AD687" s="14">
        <v>5</v>
      </c>
      <c r="AE687" s="14"/>
      <c r="AF687" s="14"/>
      <c r="AG687" s="14">
        <v>1999</v>
      </c>
      <c r="AH687" s="14">
        <f t="shared" si="46"/>
        <v>9</v>
      </c>
      <c r="AI687" s="17">
        <f t="shared" si="47"/>
        <v>14</v>
      </c>
      <c r="AJ687" s="14"/>
      <c r="AK687" s="14" t="s">
        <v>58</v>
      </c>
      <c r="AL687" s="13" t="s">
        <v>1399</v>
      </c>
      <c r="AM687" s="12">
        <v>2014</v>
      </c>
      <c r="AN687" s="12" t="s">
        <v>470</v>
      </c>
      <c r="AO687" s="12" t="s">
        <v>56</v>
      </c>
      <c r="AP687" s="12"/>
      <c r="AQ687" s="12" t="s">
        <v>56</v>
      </c>
      <c r="AR687" s="12" t="s">
        <v>58</v>
      </c>
      <c r="AS687" s="12" t="s">
        <v>83</v>
      </c>
      <c r="AT687" s="12"/>
      <c r="AU687" s="45" t="s">
        <v>2671</v>
      </c>
      <c r="AV687" s="15"/>
      <c r="AW687" s="12" t="str">
        <f>B687&amp;C687&amp;L687&amp;M687&amp;O687&amp;U687&amp;AL687&amp;AM687</f>
        <v>GrenadaMoliniere-Beausejour MPAGorgonianscover3.4811320754717Anderson2014</v>
      </c>
    </row>
    <row r="688" spans="1:49" ht="14.25" customHeight="1" x14ac:dyDescent="0.35">
      <c r="A688" s="12">
        <v>687</v>
      </c>
      <c r="B688" s="15" t="s">
        <v>75</v>
      </c>
      <c r="C688" s="12" t="s">
        <v>2757</v>
      </c>
      <c r="D688" s="12" t="s">
        <v>701</v>
      </c>
      <c r="E688" s="12" t="s">
        <v>171</v>
      </c>
      <c r="F688" s="13" t="s">
        <v>50</v>
      </c>
      <c r="G688" s="13" t="s">
        <v>51</v>
      </c>
      <c r="H688" s="13" t="s">
        <v>702</v>
      </c>
      <c r="I688" s="13" t="s">
        <v>156</v>
      </c>
      <c r="J688" s="14">
        <v>158</v>
      </c>
      <c r="K688" s="17"/>
      <c r="L688" s="14" t="s">
        <v>703</v>
      </c>
      <c r="M688" s="14" t="s">
        <v>704</v>
      </c>
      <c r="N688" s="14" t="s">
        <v>85</v>
      </c>
      <c r="O688" s="17" t="s">
        <v>70</v>
      </c>
      <c r="P688" s="14"/>
      <c r="Q688" s="14"/>
      <c r="R688" s="14"/>
      <c r="S688" s="14">
        <v>1.25</v>
      </c>
      <c r="T688" s="14">
        <v>3.02</v>
      </c>
      <c r="U688" s="19">
        <f t="shared" si="49"/>
        <v>2.4159999999999999</v>
      </c>
      <c r="V688" s="41">
        <f t="shared" si="48"/>
        <v>141.6</v>
      </c>
      <c r="W688" s="14"/>
      <c r="X688" s="14" t="s">
        <v>56</v>
      </c>
      <c r="Z688" s="14" t="s">
        <v>56</v>
      </c>
      <c r="AA688" s="14"/>
      <c r="AB688" s="14" t="s">
        <v>57</v>
      </c>
      <c r="AC688" s="14">
        <v>2002</v>
      </c>
      <c r="AD688" s="14">
        <v>10</v>
      </c>
      <c r="AE688" s="14"/>
      <c r="AF688" s="14"/>
      <c r="AG688" s="14">
        <v>1999</v>
      </c>
      <c r="AH688" s="14">
        <f t="shared" si="46"/>
        <v>3</v>
      </c>
      <c r="AI688" s="17">
        <f t="shared" si="47"/>
        <v>13</v>
      </c>
      <c r="AJ688" s="14"/>
      <c r="AK688" s="14" t="s">
        <v>58</v>
      </c>
      <c r="AL688" s="13" t="s">
        <v>705</v>
      </c>
      <c r="AM688" s="12">
        <v>2013</v>
      </c>
      <c r="AN688" s="12" t="s">
        <v>706</v>
      </c>
      <c r="AO688" s="12" t="s">
        <v>56</v>
      </c>
      <c r="AP688" s="12"/>
      <c r="AQ688" s="12" t="s">
        <v>56</v>
      </c>
      <c r="AR688" s="12" t="s">
        <v>58</v>
      </c>
      <c r="AS688" s="12" t="s">
        <v>258</v>
      </c>
      <c r="AT688" s="12"/>
      <c r="AU688" s="45" t="s">
        <v>707</v>
      </c>
      <c r="AV688" s="15"/>
      <c r="AW688" s="12" t="str">
        <f>B688&amp;C688&amp;L688&amp;M688&amp;O688&amp;U688&amp;AL688&amp;AM688</f>
        <v>United StatesDry Tortugas National Park Research AreaOcyurus chrysurusYellowtail Snapperbiomassden2.416Ault2013</v>
      </c>
    </row>
    <row r="689" spans="1:49" ht="14.25" customHeight="1" x14ac:dyDescent="0.35">
      <c r="A689" s="12">
        <v>688</v>
      </c>
      <c r="B689" s="15" t="s">
        <v>75</v>
      </c>
      <c r="C689" s="12" t="s">
        <v>2757</v>
      </c>
      <c r="D689" s="12" t="s">
        <v>701</v>
      </c>
      <c r="E689" s="12" t="s">
        <v>171</v>
      </c>
      <c r="F689" s="13" t="s">
        <v>50</v>
      </c>
      <c r="G689" s="13" t="s">
        <v>51</v>
      </c>
      <c r="H689" s="13" t="s">
        <v>702</v>
      </c>
      <c r="I689" s="13" t="s">
        <v>156</v>
      </c>
      <c r="J689" s="14">
        <v>158</v>
      </c>
      <c r="K689" s="14"/>
      <c r="L689" s="14" t="s">
        <v>708</v>
      </c>
      <c r="M689" s="14" t="s">
        <v>709</v>
      </c>
      <c r="N689" s="14" t="s">
        <v>85</v>
      </c>
      <c r="O689" s="17" t="s">
        <v>70</v>
      </c>
      <c r="P689" s="14"/>
      <c r="Q689" s="14"/>
      <c r="R689" s="14"/>
      <c r="S689" s="14"/>
      <c r="T689" s="14"/>
      <c r="U689" s="19">
        <v>0.66999999999999993</v>
      </c>
      <c r="V689" s="41">
        <f t="shared" si="48"/>
        <v>-33.000000000000007</v>
      </c>
      <c r="W689" s="14"/>
      <c r="X689" s="17" t="s">
        <v>56</v>
      </c>
      <c r="Z689" s="14" t="s">
        <v>56</v>
      </c>
      <c r="AA689" s="14"/>
      <c r="AB689" s="14" t="s">
        <v>57</v>
      </c>
      <c r="AC689" s="14">
        <v>2002</v>
      </c>
      <c r="AD689" s="14">
        <v>10</v>
      </c>
      <c r="AE689" s="14"/>
      <c r="AF689" s="14"/>
      <c r="AG689" s="14">
        <v>1999</v>
      </c>
      <c r="AH689" s="14">
        <f t="shared" si="46"/>
        <v>3</v>
      </c>
      <c r="AI689" s="17">
        <f t="shared" si="47"/>
        <v>13</v>
      </c>
      <c r="AJ689" s="14"/>
      <c r="AK689" s="14" t="s">
        <v>58</v>
      </c>
      <c r="AL689" s="13" t="s">
        <v>705</v>
      </c>
      <c r="AM689" s="12">
        <v>2013</v>
      </c>
      <c r="AN689" s="12" t="s">
        <v>706</v>
      </c>
      <c r="AO689" s="12" t="s">
        <v>56</v>
      </c>
      <c r="AP689" s="12"/>
      <c r="AQ689" s="12" t="s">
        <v>56</v>
      </c>
      <c r="AR689" s="12" t="s">
        <v>58</v>
      </c>
      <c r="AS689" s="12" t="s">
        <v>258</v>
      </c>
      <c r="AT689" s="12"/>
      <c r="AU689" s="45" t="s">
        <v>2758</v>
      </c>
      <c r="AV689" s="15"/>
      <c r="AW689" s="12" t="str">
        <f>B689&amp;C689&amp;L689&amp;M689&amp;O689&amp;U689&amp;AL689&amp;AM689</f>
        <v>United StatesDry Tortugas National Park Research AreaLachnolaimus maximusHogfishbiomassden0.67Ault2013</v>
      </c>
    </row>
    <row r="690" spans="1:49" ht="14.25" customHeight="1" x14ac:dyDescent="0.35">
      <c r="A690" s="12">
        <v>689</v>
      </c>
      <c r="B690" s="15" t="s">
        <v>75</v>
      </c>
      <c r="C690" s="12" t="s">
        <v>2757</v>
      </c>
      <c r="D690" s="12" t="s">
        <v>701</v>
      </c>
      <c r="E690" s="12" t="s">
        <v>171</v>
      </c>
      <c r="F690" s="13" t="s">
        <v>50</v>
      </c>
      <c r="G690" s="13" t="s">
        <v>51</v>
      </c>
      <c r="H690" s="13" t="s">
        <v>702</v>
      </c>
      <c r="I690" s="13" t="s">
        <v>156</v>
      </c>
      <c r="J690" s="14">
        <v>158</v>
      </c>
      <c r="K690" s="17"/>
      <c r="L690" s="14" t="s">
        <v>708</v>
      </c>
      <c r="M690" s="14" t="s">
        <v>709</v>
      </c>
      <c r="N690" s="14" t="s">
        <v>85</v>
      </c>
      <c r="O690" s="17" t="s">
        <v>70</v>
      </c>
      <c r="P690" s="14"/>
      <c r="Q690" s="14"/>
      <c r="R690" s="14"/>
      <c r="S690" s="14"/>
      <c r="T690" s="14"/>
      <c r="U690" s="19">
        <v>1.3900000000000001</v>
      </c>
      <c r="V690" s="41">
        <f t="shared" si="48"/>
        <v>39.000000000000014</v>
      </c>
      <c r="W690" s="14"/>
      <c r="X690" s="17" t="s">
        <v>56</v>
      </c>
      <c r="Z690" s="14" t="s">
        <v>56</v>
      </c>
      <c r="AA690" s="14"/>
      <c r="AB690" s="14" t="s">
        <v>57</v>
      </c>
      <c r="AC690" s="14">
        <v>2002</v>
      </c>
      <c r="AD690" s="14">
        <v>10</v>
      </c>
      <c r="AE690" s="14"/>
      <c r="AF690" s="14"/>
      <c r="AG690" s="14">
        <v>1999</v>
      </c>
      <c r="AH690" s="14">
        <f t="shared" si="46"/>
        <v>3</v>
      </c>
      <c r="AI690" s="17">
        <f t="shared" si="47"/>
        <v>13</v>
      </c>
      <c r="AJ690" s="14"/>
      <c r="AK690" s="14" t="s">
        <v>58</v>
      </c>
      <c r="AL690" s="13" t="s">
        <v>705</v>
      </c>
      <c r="AM690" s="12">
        <v>2013</v>
      </c>
      <c r="AN690" s="12" t="s">
        <v>706</v>
      </c>
      <c r="AO690" s="12" t="s">
        <v>56</v>
      </c>
      <c r="AP690" s="12"/>
      <c r="AQ690" s="12" t="s">
        <v>56</v>
      </c>
      <c r="AR690" s="12" t="s">
        <v>58</v>
      </c>
      <c r="AS690" s="12" t="s">
        <v>258</v>
      </c>
      <c r="AT690" s="12"/>
      <c r="AU690" s="45" t="s">
        <v>707</v>
      </c>
      <c r="AV690" s="15"/>
      <c r="AW690" s="12" t="str">
        <f>B690&amp;C690&amp;L690&amp;M690&amp;O690&amp;U690&amp;AL690&amp;AM690</f>
        <v>United StatesDry Tortugas National Park Research AreaLachnolaimus maximusHogfishbiomassden1.39Ault2013</v>
      </c>
    </row>
    <row r="691" spans="1:49" ht="14.25" customHeight="1" x14ac:dyDescent="0.35">
      <c r="A691" s="12">
        <v>690</v>
      </c>
      <c r="B691" s="15" t="s">
        <v>254</v>
      </c>
      <c r="C691" s="12" t="s">
        <v>2709</v>
      </c>
      <c r="D691" s="12" t="s">
        <v>2709</v>
      </c>
      <c r="E691" s="12" t="s">
        <v>136</v>
      </c>
      <c r="F691" s="13" t="s">
        <v>50</v>
      </c>
      <c r="G691" s="13" t="s">
        <v>51</v>
      </c>
      <c r="H691" s="13" t="s">
        <v>78</v>
      </c>
      <c r="I691" s="13" t="s">
        <v>156</v>
      </c>
      <c r="J691" s="14">
        <v>0.7</v>
      </c>
      <c r="K691" s="17"/>
      <c r="L691" s="14"/>
      <c r="M691" s="14" t="s">
        <v>54</v>
      </c>
      <c r="N691" s="14" t="s">
        <v>1070</v>
      </c>
      <c r="O691" s="17" t="s">
        <v>70</v>
      </c>
      <c r="P691" s="14"/>
      <c r="Q691" s="14"/>
      <c r="R691" s="14"/>
      <c r="S691" s="14">
        <f>AVERAGE(28.74,21.56,83.98)</f>
        <v>44.76</v>
      </c>
      <c r="T691" s="14">
        <v>118.56</v>
      </c>
      <c r="U691" s="19">
        <f t="shared" ref="U691:U754" si="50">IFERROR(IF(AND(Q691="",R691="",S691="",T691=""),"",IF(AND(Q691&lt;&gt;"",R691&lt;&gt;"",S691&lt;&gt;"",T691&lt;&gt;""),(T691/R691)/(S691/Q691),IF(AND(Q691&lt;&gt;"",R691&lt;&gt;""),R691/Q691,IF(AND(S691&lt;&gt;"",T691&lt;&gt;""),T691/S691,IF(AND(Q691&lt;&gt;"",S691&lt;&gt;""),Q691/S691,IF(AND(R691&lt;&gt;"",T691&lt;&gt;""),T691/R691)))))), "N/A")</f>
        <v>2.6487935656836461</v>
      </c>
      <c r="V691" s="41">
        <f t="shared" si="48"/>
        <v>164.87935656836461</v>
      </c>
      <c r="W691" s="14"/>
      <c r="X691" s="17" t="s">
        <v>56</v>
      </c>
      <c r="Z691" s="14" t="s">
        <v>56</v>
      </c>
      <c r="AA691" s="14"/>
      <c r="AB691" s="14" t="s">
        <v>57</v>
      </c>
      <c r="AC691" s="14">
        <v>2014</v>
      </c>
      <c r="AD691" s="14"/>
      <c r="AE691" s="14">
        <v>2</v>
      </c>
      <c r="AF691" s="14"/>
      <c r="AG691" s="14">
        <v>2006</v>
      </c>
      <c r="AH691" s="14">
        <f t="shared" si="46"/>
        <v>8</v>
      </c>
      <c r="AI691" s="17">
        <f t="shared" si="47"/>
        <v>8.1666666666666661</v>
      </c>
      <c r="AJ691" s="14"/>
      <c r="AK691" s="14" t="s">
        <v>56</v>
      </c>
      <c r="AL691" s="13" t="s">
        <v>1660</v>
      </c>
      <c r="AM691" s="12">
        <v>2019</v>
      </c>
      <c r="AN691" s="12" t="s">
        <v>150</v>
      </c>
      <c r="AO691" s="12" t="s">
        <v>56</v>
      </c>
      <c r="AP691" s="12"/>
      <c r="AQ691" s="12" t="s">
        <v>56</v>
      </c>
      <c r="AR691" s="12" t="s">
        <v>58</v>
      </c>
      <c r="AS691" s="12" t="s">
        <v>163</v>
      </c>
      <c r="AT691" s="12"/>
      <c r="AU691" s="45" t="s">
        <v>2859</v>
      </c>
      <c r="AV691" s="15"/>
      <c r="AW691" s="12" t="str">
        <f>B691&amp;C691&amp;L691&amp;M691&amp;O691&amp;U691&amp;AL691&amp;AM691</f>
        <v>MexicoPunta Prieta Marine ReserveFishbiomassden2.64879356568365Arias-Del-Razo2019</v>
      </c>
    </row>
    <row r="692" spans="1:49" ht="14.25" customHeight="1" x14ac:dyDescent="0.35">
      <c r="A692" s="12">
        <v>691</v>
      </c>
      <c r="B692" s="15" t="s">
        <v>254</v>
      </c>
      <c r="C692" s="12" t="s">
        <v>2709</v>
      </c>
      <c r="D692" s="12" t="s">
        <v>2709</v>
      </c>
      <c r="E692" s="12" t="s">
        <v>136</v>
      </c>
      <c r="F692" s="13" t="s">
        <v>50</v>
      </c>
      <c r="G692" s="13" t="s">
        <v>51</v>
      </c>
      <c r="H692" s="13" t="s">
        <v>78</v>
      </c>
      <c r="I692" s="13" t="s">
        <v>156</v>
      </c>
      <c r="J692" s="14">
        <v>0.7</v>
      </c>
      <c r="K692" s="14"/>
      <c r="L692" s="14"/>
      <c r="M692" s="14" t="s">
        <v>54</v>
      </c>
      <c r="N692" s="14" t="s">
        <v>1070</v>
      </c>
      <c r="O692" s="17" t="s">
        <v>55</v>
      </c>
      <c r="P692" s="14"/>
      <c r="Q692" s="14"/>
      <c r="R692" s="14"/>
      <c r="S692" s="14">
        <f>AVERAGE(29.92,24.08,18.69)</f>
        <v>24.23</v>
      </c>
      <c r="T692" s="14">
        <v>26.29</v>
      </c>
      <c r="U692" s="19">
        <f t="shared" si="50"/>
        <v>1.0850185720181593</v>
      </c>
      <c r="V692" s="41">
        <f t="shared" si="48"/>
        <v>8.5018572018159322</v>
      </c>
      <c r="W692" s="14"/>
      <c r="X692" s="17" t="s">
        <v>56</v>
      </c>
      <c r="Z692" s="14" t="s">
        <v>56</v>
      </c>
      <c r="AA692" s="14"/>
      <c r="AB692" s="14" t="s">
        <v>57</v>
      </c>
      <c r="AC692" s="14">
        <v>2014</v>
      </c>
      <c r="AD692" s="14"/>
      <c r="AE692" s="14">
        <v>2</v>
      </c>
      <c r="AF692" s="14"/>
      <c r="AG692" s="14">
        <v>2006</v>
      </c>
      <c r="AH692" s="14">
        <f t="shared" si="46"/>
        <v>8</v>
      </c>
      <c r="AI692" s="17">
        <f t="shared" si="47"/>
        <v>8.1666666666666661</v>
      </c>
      <c r="AJ692" s="14"/>
      <c r="AK692" s="14" t="s">
        <v>56</v>
      </c>
      <c r="AL692" s="13" t="s">
        <v>1660</v>
      </c>
      <c r="AM692" s="12">
        <v>2019</v>
      </c>
      <c r="AN692" s="12" t="s">
        <v>150</v>
      </c>
      <c r="AO692" s="12" t="s">
        <v>56</v>
      </c>
      <c r="AP692" s="12"/>
      <c r="AQ692" s="12" t="s">
        <v>56</v>
      </c>
      <c r="AR692" s="12" t="s">
        <v>58</v>
      </c>
      <c r="AS692" s="12" t="s">
        <v>163</v>
      </c>
      <c r="AT692" s="12"/>
      <c r="AU692" s="45" t="s">
        <v>1661</v>
      </c>
      <c r="AV692" s="15"/>
      <c r="AW692" s="12" t="str">
        <f>B692&amp;C692&amp;L692&amp;M692&amp;O692&amp;U692&amp;AL692&amp;AM692</f>
        <v>MexicoPunta Prieta Marine ReserveFishrichness1.08501857201816Arias-Del-Razo2019</v>
      </c>
    </row>
    <row r="693" spans="1:49" ht="14.25" customHeight="1" x14ac:dyDescent="0.35">
      <c r="A693" s="12">
        <v>692</v>
      </c>
      <c r="B693" s="15" t="s">
        <v>254</v>
      </c>
      <c r="C693" s="15" t="s">
        <v>2709</v>
      </c>
      <c r="D693" s="15" t="s">
        <v>2709</v>
      </c>
      <c r="E693" s="15" t="s">
        <v>136</v>
      </c>
      <c r="F693" s="16" t="s">
        <v>50</v>
      </c>
      <c r="G693" s="16" t="s">
        <v>51</v>
      </c>
      <c r="H693" s="16" t="s">
        <v>78</v>
      </c>
      <c r="I693" s="16" t="s">
        <v>156</v>
      </c>
      <c r="J693" s="17">
        <v>0.7</v>
      </c>
      <c r="K693" s="17"/>
      <c r="L693" s="17"/>
      <c r="M693" s="17" t="s">
        <v>1662</v>
      </c>
      <c r="N693" s="17" t="s">
        <v>1070</v>
      </c>
      <c r="O693" s="17" t="s">
        <v>55</v>
      </c>
      <c r="P693" s="17"/>
      <c r="Q693" s="17"/>
      <c r="R693" s="17"/>
      <c r="S693" s="17">
        <f>AVERAGE(10,11,13.26)</f>
        <v>11.42</v>
      </c>
      <c r="T693" s="17">
        <v>10.55</v>
      </c>
      <c r="U693" s="20">
        <f t="shared" si="50"/>
        <v>0.92381786339754823</v>
      </c>
      <c r="V693" s="41">
        <f t="shared" si="48"/>
        <v>-7.6182136602451767</v>
      </c>
      <c r="W693" s="17"/>
      <c r="X693" s="17" t="s">
        <v>56</v>
      </c>
      <c r="Z693" s="17" t="s">
        <v>56</v>
      </c>
      <c r="AA693" s="17"/>
      <c r="AB693" s="17" t="s">
        <v>57</v>
      </c>
      <c r="AC693" s="17">
        <v>2014</v>
      </c>
      <c r="AD693" s="17"/>
      <c r="AE693" s="17">
        <v>2</v>
      </c>
      <c r="AF693" s="17"/>
      <c r="AG693" s="17">
        <v>2006</v>
      </c>
      <c r="AH693" s="14">
        <f t="shared" si="46"/>
        <v>8</v>
      </c>
      <c r="AI693" s="17">
        <f t="shared" si="47"/>
        <v>8.1666666666666661</v>
      </c>
      <c r="AJ693" s="17"/>
      <c r="AK693" s="17" t="s">
        <v>56</v>
      </c>
      <c r="AL693" s="16" t="s">
        <v>1660</v>
      </c>
      <c r="AM693" s="15">
        <v>2019</v>
      </c>
      <c r="AN693" s="15" t="s">
        <v>150</v>
      </c>
      <c r="AO693" s="15" t="s">
        <v>56</v>
      </c>
      <c r="AP693" s="15"/>
      <c r="AQ693" s="15" t="s">
        <v>56</v>
      </c>
      <c r="AR693" s="15" t="s">
        <v>58</v>
      </c>
      <c r="AS693" s="15" t="s">
        <v>163</v>
      </c>
      <c r="AT693" s="15"/>
      <c r="AU693" s="45" t="s">
        <v>1661</v>
      </c>
      <c r="AV693" s="15"/>
      <c r="AW693" s="12" t="str">
        <f>B693&amp;C693&amp;L693&amp;M693&amp;O693&amp;U693&amp;AL693&amp;AM693</f>
        <v>MexicoPunta Prieta Marine ReserveMacroinvertebratesrichness0.923817863397548Arias-Del-Razo2019</v>
      </c>
    </row>
    <row r="694" spans="1:49" ht="14.25" customHeight="1" x14ac:dyDescent="0.35">
      <c r="A694" s="12">
        <v>693</v>
      </c>
      <c r="B694" s="15" t="s">
        <v>649</v>
      </c>
      <c r="C694" s="15" t="s">
        <v>650</v>
      </c>
      <c r="D694" s="15" t="s">
        <v>651</v>
      </c>
      <c r="E694" s="12" t="s">
        <v>171</v>
      </c>
      <c r="F694" s="13" t="s">
        <v>50</v>
      </c>
      <c r="G694" s="13" t="s">
        <v>428</v>
      </c>
      <c r="H694" s="16" t="s">
        <v>481</v>
      </c>
      <c r="I694" s="16" t="s">
        <v>156</v>
      </c>
      <c r="J694" s="17">
        <v>44</v>
      </c>
      <c r="K694" s="17"/>
      <c r="L694" s="17" t="s">
        <v>564</v>
      </c>
      <c r="M694" s="17" t="s">
        <v>652</v>
      </c>
      <c r="N694" s="14" t="s">
        <v>288</v>
      </c>
      <c r="O694" s="17" t="s">
        <v>101</v>
      </c>
      <c r="P694" s="17"/>
      <c r="Q694" s="17"/>
      <c r="R694" s="17"/>
      <c r="S694" s="17">
        <v>111.69</v>
      </c>
      <c r="T694" s="17">
        <v>315.47000000000003</v>
      </c>
      <c r="U694" s="19">
        <f t="shared" si="50"/>
        <v>2.8245142805980841</v>
      </c>
      <c r="V694" s="41">
        <f t="shared" si="48"/>
        <v>182.45142805980839</v>
      </c>
      <c r="W694" s="14"/>
      <c r="X694" s="17" t="s">
        <v>56</v>
      </c>
      <c r="Z694" s="17" t="s">
        <v>56</v>
      </c>
      <c r="AA694" s="17"/>
      <c r="AB694" s="17" t="s">
        <v>57</v>
      </c>
      <c r="AC694" s="17">
        <v>2014</v>
      </c>
      <c r="AD694" s="17"/>
      <c r="AE694" s="17">
        <v>1</v>
      </c>
      <c r="AF694" s="17"/>
      <c r="AG694" s="17">
        <v>1990</v>
      </c>
      <c r="AH694" s="14">
        <f t="shared" si="46"/>
        <v>24</v>
      </c>
      <c r="AI694" s="17">
        <f t="shared" si="47"/>
        <v>24.083333333333332</v>
      </c>
      <c r="AJ694" s="17"/>
      <c r="AK694" s="17" t="s">
        <v>56</v>
      </c>
      <c r="AL694" s="16" t="s">
        <v>653</v>
      </c>
      <c r="AM694" s="15">
        <v>2017</v>
      </c>
      <c r="AN694" s="15" t="s">
        <v>183</v>
      </c>
      <c r="AO694" s="15" t="s">
        <v>56</v>
      </c>
      <c r="AP694" s="15"/>
      <c r="AQ694" s="15" t="s">
        <v>56</v>
      </c>
      <c r="AR694" s="15" t="s">
        <v>58</v>
      </c>
      <c r="AS694" s="15" t="s">
        <v>163</v>
      </c>
      <c r="AT694" s="12"/>
      <c r="AU694" s="45" t="s">
        <v>654</v>
      </c>
      <c r="AV694" s="15"/>
      <c r="AW694" s="12" t="str">
        <f>B694&amp;C694&amp;L694&amp;M694&amp;O694&amp;U694&amp;AL694&amp;AM694</f>
        <v>Spain Columbretes Islands Marine Reserve OldCorallinalesMaerlcover2.82451428059808Barbera2017</v>
      </c>
    </row>
    <row r="695" spans="1:49" ht="14.25" customHeight="1" x14ac:dyDescent="0.35">
      <c r="A695" s="12">
        <v>694</v>
      </c>
      <c r="B695" s="15" t="s">
        <v>649</v>
      </c>
      <c r="C695" s="15" t="s">
        <v>650</v>
      </c>
      <c r="D695" s="15" t="s">
        <v>651</v>
      </c>
      <c r="E695" s="12" t="s">
        <v>171</v>
      </c>
      <c r="F695" s="13" t="s">
        <v>50</v>
      </c>
      <c r="G695" s="13" t="s">
        <v>428</v>
      </c>
      <c r="H695" s="16" t="s">
        <v>481</v>
      </c>
      <c r="I695" s="16" t="s">
        <v>156</v>
      </c>
      <c r="J695" s="17">
        <v>44</v>
      </c>
      <c r="K695" s="17"/>
      <c r="L695" s="17" t="s">
        <v>655</v>
      </c>
      <c r="M695" s="17" t="s">
        <v>656</v>
      </c>
      <c r="N695" s="14" t="s">
        <v>85</v>
      </c>
      <c r="O695" s="17" t="s">
        <v>101</v>
      </c>
      <c r="P695" s="17"/>
      <c r="Q695" s="17"/>
      <c r="R695" s="17"/>
      <c r="S695" s="17">
        <v>40.340000000000003</v>
      </c>
      <c r="T695" s="17">
        <v>30.51</v>
      </c>
      <c r="U695" s="19">
        <f t="shared" si="50"/>
        <v>0.75632126921170051</v>
      </c>
      <c r="V695" s="41">
        <f t="shared" si="48"/>
        <v>-24.367873078829948</v>
      </c>
      <c r="W695" s="14"/>
      <c r="X695" s="17" t="s">
        <v>56</v>
      </c>
      <c r="Z695" s="17" t="s">
        <v>56</v>
      </c>
      <c r="AA695" s="17"/>
      <c r="AB695" s="17" t="s">
        <v>57</v>
      </c>
      <c r="AC695" s="17">
        <v>2014</v>
      </c>
      <c r="AD695" s="17"/>
      <c r="AE695" s="17">
        <v>1</v>
      </c>
      <c r="AF695" s="17"/>
      <c r="AG695" s="17">
        <v>1990</v>
      </c>
      <c r="AH695" s="14">
        <f t="shared" si="46"/>
        <v>24</v>
      </c>
      <c r="AI695" s="17">
        <f t="shared" si="47"/>
        <v>24.083333333333332</v>
      </c>
      <c r="AJ695" s="17"/>
      <c r="AK695" s="17" t="s">
        <v>56</v>
      </c>
      <c r="AL695" s="16" t="s">
        <v>653</v>
      </c>
      <c r="AM695" s="15">
        <v>2017</v>
      </c>
      <c r="AN695" s="15" t="s">
        <v>183</v>
      </c>
      <c r="AO695" s="15" t="s">
        <v>56</v>
      </c>
      <c r="AP695" s="15"/>
      <c r="AQ695" s="15" t="s">
        <v>56</v>
      </c>
      <c r="AR695" s="15" t="s">
        <v>58</v>
      </c>
      <c r="AS695" s="15" t="s">
        <v>163</v>
      </c>
      <c r="AT695" s="12"/>
      <c r="AU695" s="45" t="s">
        <v>654</v>
      </c>
      <c r="AV695" s="15"/>
      <c r="AW695" s="12" t="str">
        <f>B695&amp;C695&amp;L695&amp;M695&amp;O695&amp;U695&amp;AL695&amp;AM695</f>
        <v>Spain Columbretes Islands Marine Reserve OldLithothamnion corallioidesMaerl speciescover0.756321269211701Barbera2017</v>
      </c>
    </row>
    <row r="696" spans="1:49" ht="14.25" customHeight="1" x14ac:dyDescent="0.35">
      <c r="A696" s="12">
        <v>695</v>
      </c>
      <c r="B696" s="15" t="s">
        <v>649</v>
      </c>
      <c r="C696" s="15" t="s">
        <v>650</v>
      </c>
      <c r="D696" s="15" t="s">
        <v>651</v>
      </c>
      <c r="E696" s="15" t="s">
        <v>171</v>
      </c>
      <c r="F696" s="16" t="s">
        <v>50</v>
      </c>
      <c r="G696" s="16" t="s">
        <v>428</v>
      </c>
      <c r="H696" s="16" t="s">
        <v>481</v>
      </c>
      <c r="I696" s="16" t="s">
        <v>156</v>
      </c>
      <c r="J696" s="17">
        <v>44</v>
      </c>
      <c r="K696" s="17"/>
      <c r="L696" s="17" t="s">
        <v>657</v>
      </c>
      <c r="M696" s="17" t="s">
        <v>656</v>
      </c>
      <c r="N696" s="14" t="s">
        <v>85</v>
      </c>
      <c r="O696" s="17" t="s">
        <v>101</v>
      </c>
      <c r="P696" s="17"/>
      <c r="Q696" s="17"/>
      <c r="R696" s="17"/>
      <c r="S696" s="17">
        <v>35.93</v>
      </c>
      <c r="T696" s="17">
        <v>35.42</v>
      </c>
      <c r="U696" s="20">
        <f t="shared" si="50"/>
        <v>0.98580573337044253</v>
      </c>
      <c r="V696" s="41">
        <f t="shared" si="48"/>
        <v>-1.4194266629557473</v>
      </c>
      <c r="W696" s="17"/>
      <c r="X696" s="17" t="s">
        <v>56</v>
      </c>
      <c r="Z696" s="17" t="s">
        <v>56</v>
      </c>
      <c r="AA696" s="17"/>
      <c r="AB696" s="17" t="s">
        <v>57</v>
      </c>
      <c r="AC696" s="17">
        <v>2014</v>
      </c>
      <c r="AD696" s="17"/>
      <c r="AE696" s="17">
        <v>1</v>
      </c>
      <c r="AF696" s="17"/>
      <c r="AG696" s="17">
        <v>1990</v>
      </c>
      <c r="AH696" s="14">
        <f t="shared" si="46"/>
        <v>24</v>
      </c>
      <c r="AI696" s="17">
        <f t="shared" si="47"/>
        <v>24.083333333333332</v>
      </c>
      <c r="AJ696" s="17"/>
      <c r="AK696" s="17" t="s">
        <v>56</v>
      </c>
      <c r="AL696" s="16" t="s">
        <v>653</v>
      </c>
      <c r="AM696" s="15">
        <v>2017</v>
      </c>
      <c r="AN696" s="15" t="s">
        <v>183</v>
      </c>
      <c r="AO696" s="15" t="s">
        <v>56</v>
      </c>
      <c r="AP696" s="15"/>
      <c r="AQ696" s="15" t="s">
        <v>56</v>
      </c>
      <c r="AR696" s="15" t="s">
        <v>58</v>
      </c>
      <c r="AS696" s="15" t="s">
        <v>163</v>
      </c>
      <c r="AT696" s="15"/>
      <c r="AU696" s="45" t="s">
        <v>654</v>
      </c>
      <c r="AV696" s="15"/>
      <c r="AW696" s="12" t="str">
        <f>B696&amp;C696&amp;L696&amp;M696&amp;O696&amp;U696&amp;AL696&amp;AM696</f>
        <v>Spain Columbretes Islands Marine Reserve OldSpongites fruticulosusMaerl speciescover0.985805733370443Barbera2017</v>
      </c>
    </row>
    <row r="697" spans="1:49" ht="14.25" customHeight="1" x14ac:dyDescent="0.35">
      <c r="A697" s="12">
        <v>696</v>
      </c>
      <c r="B697" s="15" t="s">
        <v>66</v>
      </c>
      <c r="C697" s="15" t="s">
        <v>1068</v>
      </c>
      <c r="D697" s="15" t="s">
        <v>1068</v>
      </c>
      <c r="E697" s="12" t="s">
        <v>136</v>
      </c>
      <c r="F697" s="13" t="s">
        <v>50</v>
      </c>
      <c r="G697" s="13" t="s">
        <v>51</v>
      </c>
      <c r="H697" s="16" t="s">
        <v>52</v>
      </c>
      <c r="I697" s="16" t="s">
        <v>53</v>
      </c>
      <c r="J697" s="17"/>
      <c r="K697" s="17">
        <v>138</v>
      </c>
      <c r="L697" s="17"/>
      <c r="M697" s="17" t="s">
        <v>69</v>
      </c>
      <c r="N697" s="14" t="s">
        <v>1070</v>
      </c>
      <c r="O697" s="17" t="s">
        <v>86</v>
      </c>
      <c r="P697" s="17"/>
      <c r="Q697" s="17">
        <v>841.5</v>
      </c>
      <c r="R697" s="17">
        <v>520.9</v>
      </c>
      <c r="S697" s="17">
        <v>461.25</v>
      </c>
      <c r="T697" s="17">
        <v>537.79999999999995</v>
      </c>
      <c r="U697" s="19">
        <f t="shared" si="50"/>
        <v>1.8835804821860849</v>
      </c>
      <c r="V697" s="41">
        <f t="shared" si="48"/>
        <v>88.358048218608488</v>
      </c>
      <c r="W697" s="14"/>
      <c r="X697" s="17" t="s">
        <v>56</v>
      </c>
      <c r="Z697" s="17" t="s">
        <v>56</v>
      </c>
      <c r="AA697" s="17"/>
      <c r="AB697" s="17" t="s">
        <v>111</v>
      </c>
      <c r="AC697" s="17">
        <v>1992</v>
      </c>
      <c r="AD697" s="17">
        <v>10</v>
      </c>
      <c r="AE697" s="17"/>
      <c r="AF697" s="17"/>
      <c r="AG697" s="17">
        <v>2005</v>
      </c>
      <c r="AH697" s="14">
        <f t="shared" si="46"/>
        <v>-13</v>
      </c>
      <c r="AI697" s="17">
        <f t="shared" si="47"/>
        <v>-3</v>
      </c>
      <c r="AJ697" s="17"/>
      <c r="AK697" s="17" t="s">
        <v>58</v>
      </c>
      <c r="AL697" s="16" t="s">
        <v>854</v>
      </c>
      <c r="AM697" s="15">
        <v>2017</v>
      </c>
      <c r="AN697" s="15" t="s">
        <v>82</v>
      </c>
      <c r="AO697" s="15" t="s">
        <v>58</v>
      </c>
      <c r="AP697" s="15" t="s">
        <v>855</v>
      </c>
      <c r="AQ697" s="15" t="s">
        <v>56</v>
      </c>
      <c r="AR697" s="15" t="s">
        <v>58</v>
      </c>
      <c r="AS697" s="15" t="s">
        <v>163</v>
      </c>
      <c r="AT697" s="12"/>
      <c r="AU697" s="45" t="s">
        <v>856</v>
      </c>
      <c r="AV697" s="15"/>
      <c r="AW697" s="12" t="str">
        <f>B697&amp;C697&amp;L697&amp;M697&amp;O697&amp;U697&amp;AL697&amp;AM697</f>
        <v>AustraliaKent Group Marine Nature Reservefishdensity1.88358048218608Bates2017</v>
      </c>
    </row>
    <row r="698" spans="1:49" ht="14.25" customHeight="1" x14ac:dyDescent="0.35">
      <c r="A698" s="12">
        <v>697</v>
      </c>
      <c r="B698" s="15" t="s">
        <v>66</v>
      </c>
      <c r="C698" s="15" t="s">
        <v>1068</v>
      </c>
      <c r="D698" s="15" t="s">
        <v>1068</v>
      </c>
      <c r="E698" s="12" t="s">
        <v>136</v>
      </c>
      <c r="F698" s="13" t="s">
        <v>50</v>
      </c>
      <c r="G698" s="13" t="s">
        <v>51</v>
      </c>
      <c r="H698" s="16" t="s">
        <v>52</v>
      </c>
      <c r="I698" s="16" t="s">
        <v>53</v>
      </c>
      <c r="J698" s="17"/>
      <c r="K698" s="17">
        <v>138</v>
      </c>
      <c r="L698" s="17"/>
      <c r="M698" s="17" t="s">
        <v>69</v>
      </c>
      <c r="N698" s="14" t="s">
        <v>1070</v>
      </c>
      <c r="O698" s="17" t="s">
        <v>55</v>
      </c>
      <c r="P698" s="17"/>
      <c r="Q698" s="17">
        <v>24.5</v>
      </c>
      <c r="R698" s="17">
        <v>19.7</v>
      </c>
      <c r="S698" s="17">
        <v>21.5</v>
      </c>
      <c r="T698" s="17">
        <v>20.100000000000001</v>
      </c>
      <c r="U698" s="19">
        <f t="shared" si="50"/>
        <v>1.1626726478573959</v>
      </c>
      <c r="V698" s="41">
        <f t="shared" si="48"/>
        <v>16.267264785739588</v>
      </c>
      <c r="W698" s="14"/>
      <c r="X698" s="17" t="s">
        <v>56</v>
      </c>
      <c r="Z698" s="17" t="s">
        <v>56</v>
      </c>
      <c r="AA698" s="17"/>
      <c r="AB698" s="17" t="s">
        <v>111</v>
      </c>
      <c r="AC698" s="17">
        <v>1992</v>
      </c>
      <c r="AD698" s="17">
        <v>10</v>
      </c>
      <c r="AE698" s="17"/>
      <c r="AF698" s="17"/>
      <c r="AG698" s="17">
        <v>2005</v>
      </c>
      <c r="AH698" s="14">
        <f t="shared" si="46"/>
        <v>-13</v>
      </c>
      <c r="AI698" s="17">
        <f t="shared" si="47"/>
        <v>-3</v>
      </c>
      <c r="AJ698" s="17"/>
      <c r="AK698" s="17" t="s">
        <v>58</v>
      </c>
      <c r="AL698" s="16" t="s">
        <v>854</v>
      </c>
      <c r="AM698" s="15">
        <v>2017</v>
      </c>
      <c r="AN698" s="15" t="s">
        <v>82</v>
      </c>
      <c r="AO698" s="15" t="s">
        <v>58</v>
      </c>
      <c r="AP698" s="15" t="s">
        <v>855</v>
      </c>
      <c r="AQ698" s="15" t="s">
        <v>56</v>
      </c>
      <c r="AR698" s="15" t="s">
        <v>58</v>
      </c>
      <c r="AS698" s="15" t="s">
        <v>163</v>
      </c>
      <c r="AT698" s="12"/>
      <c r="AU698" s="45" t="s">
        <v>856</v>
      </c>
      <c r="AV698" s="15"/>
      <c r="AW698" s="12" t="str">
        <f>B698&amp;C698&amp;L698&amp;M698&amp;O698&amp;U698&amp;AL698&amp;AM698</f>
        <v>AustraliaKent Group Marine Nature Reservefishrichness1.1626726478574Bates2017</v>
      </c>
    </row>
    <row r="699" spans="1:49" ht="14.25" customHeight="1" x14ac:dyDescent="0.35">
      <c r="A699" s="12">
        <v>698</v>
      </c>
      <c r="B699" s="15" t="s">
        <v>66</v>
      </c>
      <c r="C699" s="15" t="s">
        <v>1068</v>
      </c>
      <c r="D699" s="15" t="s">
        <v>1068</v>
      </c>
      <c r="E699" s="12" t="s">
        <v>136</v>
      </c>
      <c r="F699" s="13" t="s">
        <v>50</v>
      </c>
      <c r="G699" s="13" t="s">
        <v>51</v>
      </c>
      <c r="H699" s="16" t="s">
        <v>52</v>
      </c>
      <c r="I699" s="16" t="s">
        <v>53</v>
      </c>
      <c r="J699" s="17"/>
      <c r="K699" s="17">
        <v>138</v>
      </c>
      <c r="L699" s="17"/>
      <c r="M699" s="17" t="s">
        <v>857</v>
      </c>
      <c r="N699" s="14" t="s">
        <v>1070</v>
      </c>
      <c r="O699" s="17" t="s">
        <v>86</v>
      </c>
      <c r="P699" s="17"/>
      <c r="Q699" s="17">
        <v>47.5</v>
      </c>
      <c r="R699" s="17">
        <v>42.6</v>
      </c>
      <c r="S699" s="17">
        <v>61.5</v>
      </c>
      <c r="T699" s="17">
        <v>56</v>
      </c>
      <c r="U699" s="19">
        <f t="shared" si="50"/>
        <v>1.0153059277071643</v>
      </c>
      <c r="V699" s="41">
        <f t="shared" si="48"/>
        <v>1.5305927707164324</v>
      </c>
      <c r="W699" s="14"/>
      <c r="X699" s="17" t="s">
        <v>56</v>
      </c>
      <c r="Z699" s="17" t="s">
        <v>56</v>
      </c>
      <c r="AA699" s="17"/>
      <c r="AB699" s="17" t="s">
        <v>111</v>
      </c>
      <c r="AC699" s="17">
        <v>1992</v>
      </c>
      <c r="AD699" s="17">
        <v>10</v>
      </c>
      <c r="AE699" s="17"/>
      <c r="AF699" s="17"/>
      <c r="AG699" s="17">
        <v>2005</v>
      </c>
      <c r="AH699" s="14">
        <f t="shared" si="46"/>
        <v>-13</v>
      </c>
      <c r="AI699" s="17">
        <f t="shared" si="47"/>
        <v>-3</v>
      </c>
      <c r="AJ699" s="17"/>
      <c r="AK699" s="17" t="s">
        <v>58</v>
      </c>
      <c r="AL699" s="16" t="s">
        <v>854</v>
      </c>
      <c r="AM699" s="15">
        <v>2017</v>
      </c>
      <c r="AN699" s="15" t="s">
        <v>82</v>
      </c>
      <c r="AO699" s="15" t="s">
        <v>58</v>
      </c>
      <c r="AP699" s="15" t="s">
        <v>855</v>
      </c>
      <c r="AQ699" s="15" t="s">
        <v>56</v>
      </c>
      <c r="AR699" s="15" t="s">
        <v>58</v>
      </c>
      <c r="AS699" s="15" t="s">
        <v>163</v>
      </c>
      <c r="AT699" s="12"/>
      <c r="AU699" s="45" t="s">
        <v>856</v>
      </c>
      <c r="AV699" s="15"/>
      <c r="AW699" s="12" t="str">
        <f>B699&amp;C699&amp;L699&amp;M699&amp;O699&amp;U699&amp;AL699&amp;AM699</f>
        <v>AustraliaKent Group Marine Nature Reserveinvertebratesdensity1.01530592770716Bates2017</v>
      </c>
    </row>
    <row r="700" spans="1:49" ht="14.25" customHeight="1" x14ac:dyDescent="0.35">
      <c r="A700" s="12">
        <v>699</v>
      </c>
      <c r="B700" s="12" t="s">
        <v>66</v>
      </c>
      <c r="C700" s="12" t="s">
        <v>1068</v>
      </c>
      <c r="D700" s="12" t="s">
        <v>1068</v>
      </c>
      <c r="E700" s="12" t="s">
        <v>136</v>
      </c>
      <c r="F700" s="13" t="s">
        <v>50</v>
      </c>
      <c r="G700" s="13" t="s">
        <v>51</v>
      </c>
      <c r="H700" s="13" t="s">
        <v>52</v>
      </c>
      <c r="I700" s="13" t="s">
        <v>53</v>
      </c>
      <c r="J700" s="17"/>
      <c r="K700" s="17">
        <v>138</v>
      </c>
      <c r="L700" s="14"/>
      <c r="M700" s="14" t="s">
        <v>857</v>
      </c>
      <c r="N700" s="14" t="s">
        <v>1070</v>
      </c>
      <c r="O700" s="17" t="s">
        <v>55</v>
      </c>
      <c r="P700" s="14"/>
      <c r="Q700" s="14">
        <v>5.25</v>
      </c>
      <c r="R700" s="14">
        <v>4.3</v>
      </c>
      <c r="S700" s="14">
        <v>4.75</v>
      </c>
      <c r="T700" s="14">
        <v>4.3</v>
      </c>
      <c r="U700" s="19">
        <f t="shared" si="50"/>
        <v>1.1052631578947367</v>
      </c>
      <c r="V700" s="41">
        <f t="shared" si="48"/>
        <v>10.526315789473673</v>
      </c>
      <c r="W700" s="14"/>
      <c r="X700" s="17" t="s">
        <v>56</v>
      </c>
      <c r="Z700" s="14" t="s">
        <v>56</v>
      </c>
      <c r="AA700" s="14"/>
      <c r="AB700" s="14" t="s">
        <v>111</v>
      </c>
      <c r="AC700" s="14">
        <v>1992</v>
      </c>
      <c r="AD700" s="14">
        <v>10</v>
      </c>
      <c r="AE700" s="14"/>
      <c r="AF700" s="14"/>
      <c r="AG700" s="14">
        <v>2005</v>
      </c>
      <c r="AH700" s="14">
        <f t="shared" si="46"/>
        <v>-13</v>
      </c>
      <c r="AI700" s="17">
        <f t="shared" si="47"/>
        <v>-3</v>
      </c>
      <c r="AJ700" s="14"/>
      <c r="AK700" s="14" t="s">
        <v>58</v>
      </c>
      <c r="AL700" s="13" t="s">
        <v>854</v>
      </c>
      <c r="AM700" s="12">
        <v>2017</v>
      </c>
      <c r="AN700" s="12" t="s">
        <v>82</v>
      </c>
      <c r="AO700" s="12" t="s">
        <v>58</v>
      </c>
      <c r="AP700" s="12" t="s">
        <v>855</v>
      </c>
      <c r="AQ700" s="12" t="s">
        <v>56</v>
      </c>
      <c r="AR700" s="12" t="s">
        <v>58</v>
      </c>
      <c r="AS700" s="12" t="s">
        <v>163</v>
      </c>
      <c r="AT700" s="12"/>
      <c r="AU700" s="45" t="s">
        <v>856</v>
      </c>
      <c r="AV700" s="15"/>
      <c r="AW700" s="12" t="str">
        <f>B700&amp;C700&amp;L700&amp;M700&amp;O700&amp;U700&amp;AL700&amp;AM700</f>
        <v>AustraliaKent Group Marine Nature Reserveinvertebratesrichness1.10526315789474Bates2017</v>
      </c>
    </row>
    <row r="701" spans="1:49" ht="14.25" customHeight="1" x14ac:dyDescent="0.35">
      <c r="A701" s="12">
        <v>700</v>
      </c>
      <c r="B701" s="12" t="s">
        <v>66</v>
      </c>
      <c r="C701" s="12" t="s">
        <v>1068</v>
      </c>
      <c r="D701" s="12" t="s">
        <v>1068</v>
      </c>
      <c r="E701" s="12" t="s">
        <v>136</v>
      </c>
      <c r="F701" s="13" t="s">
        <v>50</v>
      </c>
      <c r="G701" s="13" t="s">
        <v>51</v>
      </c>
      <c r="H701" s="13" t="s">
        <v>52</v>
      </c>
      <c r="I701" s="13" t="s">
        <v>53</v>
      </c>
      <c r="J701" s="17"/>
      <c r="K701" s="17">
        <v>138</v>
      </c>
      <c r="L701" s="14"/>
      <c r="M701" s="14" t="s">
        <v>473</v>
      </c>
      <c r="N701" s="14" t="s">
        <v>1070</v>
      </c>
      <c r="O701" s="17" t="s">
        <v>86</v>
      </c>
      <c r="P701" s="14"/>
      <c r="Q701" s="14">
        <v>696.25</v>
      </c>
      <c r="R701" s="14">
        <v>886.9</v>
      </c>
      <c r="S701" s="14">
        <v>683.25</v>
      </c>
      <c r="T701" s="14">
        <v>657.2</v>
      </c>
      <c r="U701" s="19">
        <f t="shared" si="50"/>
        <v>0.75510695026444397</v>
      </c>
      <c r="V701" s="41">
        <f t="shared" si="48"/>
        <v>-24.489304973555605</v>
      </c>
      <c r="W701" s="14"/>
      <c r="X701" s="14" t="s">
        <v>56</v>
      </c>
      <c r="Z701" s="14" t="s">
        <v>56</v>
      </c>
      <c r="AA701" s="14"/>
      <c r="AB701" s="14" t="s">
        <v>111</v>
      </c>
      <c r="AC701" s="14">
        <v>1992</v>
      </c>
      <c r="AD701" s="14">
        <v>10</v>
      </c>
      <c r="AE701" s="14"/>
      <c r="AF701" s="14"/>
      <c r="AG701" s="14">
        <v>2005</v>
      </c>
      <c r="AH701" s="14">
        <f t="shared" si="46"/>
        <v>-13</v>
      </c>
      <c r="AI701" s="17">
        <f t="shared" si="47"/>
        <v>-3</v>
      </c>
      <c r="AJ701" s="14"/>
      <c r="AK701" s="14" t="s">
        <v>58</v>
      </c>
      <c r="AL701" s="13" t="s">
        <v>854</v>
      </c>
      <c r="AM701" s="12">
        <v>2017</v>
      </c>
      <c r="AN701" s="12" t="s">
        <v>82</v>
      </c>
      <c r="AO701" s="12" t="s">
        <v>58</v>
      </c>
      <c r="AP701" s="12" t="s">
        <v>855</v>
      </c>
      <c r="AQ701" s="12" t="s">
        <v>56</v>
      </c>
      <c r="AR701" s="12" t="s">
        <v>58</v>
      </c>
      <c r="AS701" s="12" t="s">
        <v>163</v>
      </c>
      <c r="AT701" s="12"/>
      <c r="AU701" s="45" t="s">
        <v>856</v>
      </c>
      <c r="AV701" s="15"/>
      <c r="AW701" s="12" t="str">
        <f>B701&amp;C701&amp;L701&amp;M701&amp;O701&amp;U701&amp;AL701&amp;AM701</f>
        <v>AustraliaKent Group Marine Nature ReserveAlgaedensity0.755106950264444Bates2017</v>
      </c>
    </row>
    <row r="702" spans="1:49" ht="14.25" customHeight="1" x14ac:dyDescent="0.35">
      <c r="A702" s="12">
        <v>701</v>
      </c>
      <c r="B702" s="12" t="s">
        <v>66</v>
      </c>
      <c r="C702" s="12" t="s">
        <v>1068</v>
      </c>
      <c r="D702" s="12" t="s">
        <v>1068</v>
      </c>
      <c r="E702" s="12" t="s">
        <v>136</v>
      </c>
      <c r="F702" s="13" t="s">
        <v>50</v>
      </c>
      <c r="G702" s="13" t="s">
        <v>51</v>
      </c>
      <c r="H702" s="13" t="s">
        <v>52</v>
      </c>
      <c r="I702" s="13" t="s">
        <v>53</v>
      </c>
      <c r="J702" s="17"/>
      <c r="K702" s="17">
        <v>138</v>
      </c>
      <c r="L702" s="14"/>
      <c r="M702" s="14" t="s">
        <v>473</v>
      </c>
      <c r="N702" s="14" t="s">
        <v>1070</v>
      </c>
      <c r="O702" s="17" t="s">
        <v>55</v>
      </c>
      <c r="P702" s="14"/>
      <c r="Q702" s="14">
        <v>7.25</v>
      </c>
      <c r="R702" s="14">
        <v>8.5</v>
      </c>
      <c r="S702" s="14">
        <v>6</v>
      </c>
      <c r="T702" s="14">
        <v>8.1</v>
      </c>
      <c r="U702" s="19">
        <f t="shared" si="50"/>
        <v>1.151470588235294</v>
      </c>
      <c r="V702" s="41">
        <f t="shared" si="48"/>
        <v>15.147058823529402</v>
      </c>
      <c r="W702" s="14"/>
      <c r="X702" s="14" t="s">
        <v>56</v>
      </c>
      <c r="Z702" s="14" t="s">
        <v>56</v>
      </c>
      <c r="AA702" s="14"/>
      <c r="AB702" s="14" t="s">
        <v>111</v>
      </c>
      <c r="AC702" s="14">
        <v>1992</v>
      </c>
      <c r="AD702" s="14">
        <v>10</v>
      </c>
      <c r="AE702" s="14"/>
      <c r="AF702" s="14"/>
      <c r="AG702" s="14">
        <v>2005</v>
      </c>
      <c r="AH702" s="14">
        <f t="shared" si="46"/>
        <v>-13</v>
      </c>
      <c r="AI702" s="17">
        <f t="shared" si="47"/>
        <v>-3</v>
      </c>
      <c r="AJ702" s="14"/>
      <c r="AK702" s="14" t="s">
        <v>58</v>
      </c>
      <c r="AL702" s="13" t="s">
        <v>854</v>
      </c>
      <c r="AM702" s="12">
        <v>2017</v>
      </c>
      <c r="AN702" s="12" t="s">
        <v>82</v>
      </c>
      <c r="AO702" s="12" t="s">
        <v>58</v>
      </c>
      <c r="AP702" s="12" t="s">
        <v>855</v>
      </c>
      <c r="AQ702" s="12" t="s">
        <v>56</v>
      </c>
      <c r="AR702" s="12" t="s">
        <v>58</v>
      </c>
      <c r="AS702" s="12" t="s">
        <v>163</v>
      </c>
      <c r="AT702" s="12"/>
      <c r="AU702" s="45" t="s">
        <v>856</v>
      </c>
      <c r="AV702" s="15"/>
      <c r="AW702" s="12" t="str">
        <f>B702&amp;C702&amp;L702&amp;M702&amp;O702&amp;U702&amp;AL702&amp;AM702</f>
        <v>AustraliaKent Group Marine Nature ReserveAlgaerichness1.15147058823529Bates2017</v>
      </c>
    </row>
    <row r="703" spans="1:49" ht="14.25" customHeight="1" x14ac:dyDescent="0.35">
      <c r="A703" s="12">
        <v>702</v>
      </c>
      <c r="B703" s="12" t="s">
        <v>66</v>
      </c>
      <c r="C703" s="12" t="s">
        <v>1650</v>
      </c>
      <c r="D703" s="12" t="s">
        <v>1650</v>
      </c>
      <c r="E703" s="12" t="s">
        <v>136</v>
      </c>
      <c r="F703" s="13" t="s">
        <v>50</v>
      </c>
      <c r="G703" s="13" t="s">
        <v>51</v>
      </c>
      <c r="H703" s="13" t="s">
        <v>52</v>
      </c>
      <c r="I703" s="13" t="s">
        <v>53</v>
      </c>
      <c r="J703" s="17"/>
      <c r="K703" s="17">
        <v>165</v>
      </c>
      <c r="L703" s="14"/>
      <c r="M703" s="14" t="s">
        <v>69</v>
      </c>
      <c r="N703" s="14" t="s">
        <v>1070</v>
      </c>
      <c r="O703" s="17" t="s">
        <v>86</v>
      </c>
      <c r="P703" s="14"/>
      <c r="Q703" s="14">
        <v>57.8</v>
      </c>
      <c r="R703" s="14">
        <v>289.5</v>
      </c>
      <c r="S703" s="14">
        <v>32.200000000000003</v>
      </c>
      <c r="T703" s="14">
        <v>155.19999999999999</v>
      </c>
      <c r="U703" s="19">
        <f t="shared" si="50"/>
        <v>0.96231025863826025</v>
      </c>
      <c r="V703" s="41">
        <f t="shared" si="48"/>
        <v>-3.7689741361739748</v>
      </c>
      <c r="W703" s="14"/>
      <c r="X703" s="14" t="s">
        <v>56</v>
      </c>
      <c r="Z703" s="14" t="s">
        <v>56</v>
      </c>
      <c r="AA703" s="14"/>
      <c r="AB703" s="14" t="s">
        <v>111</v>
      </c>
      <c r="AC703" s="14">
        <v>1992</v>
      </c>
      <c r="AD703" s="14">
        <v>10</v>
      </c>
      <c r="AE703" s="14"/>
      <c r="AF703" s="14"/>
      <c r="AG703" s="14">
        <v>2005</v>
      </c>
      <c r="AH703" s="14">
        <f t="shared" si="46"/>
        <v>-13</v>
      </c>
      <c r="AI703" s="17">
        <f t="shared" si="47"/>
        <v>-3</v>
      </c>
      <c r="AJ703" s="14"/>
      <c r="AK703" s="14" t="s">
        <v>58</v>
      </c>
      <c r="AL703" s="13" t="s">
        <v>854</v>
      </c>
      <c r="AM703" s="12">
        <v>2017</v>
      </c>
      <c r="AN703" s="12" t="s">
        <v>82</v>
      </c>
      <c r="AO703" s="12" t="s">
        <v>58</v>
      </c>
      <c r="AP703" s="12" t="s">
        <v>855</v>
      </c>
      <c r="AQ703" s="12" t="s">
        <v>56</v>
      </c>
      <c r="AR703" s="12" t="s">
        <v>58</v>
      </c>
      <c r="AS703" s="12" t="s">
        <v>163</v>
      </c>
      <c r="AT703" s="12"/>
      <c r="AU703" s="45" t="s">
        <v>2577</v>
      </c>
      <c r="AV703" s="15"/>
      <c r="AW703" s="12" t="str">
        <f>B703&amp;C703&amp;L703&amp;M703&amp;O703&amp;U703&amp;AL703&amp;AM703</f>
        <v>AustraliaPort Davey/Bathurst Harbour Marine Nature Reservefishdensity0.96231025863826Bates2017</v>
      </c>
    </row>
    <row r="704" spans="1:49" ht="14.25" customHeight="1" x14ac:dyDescent="0.35">
      <c r="A704" s="12">
        <v>703</v>
      </c>
      <c r="B704" s="12" t="s">
        <v>66</v>
      </c>
      <c r="C704" s="12" t="s">
        <v>1650</v>
      </c>
      <c r="D704" s="12" t="s">
        <v>1650</v>
      </c>
      <c r="E704" s="12" t="s">
        <v>136</v>
      </c>
      <c r="F704" s="13" t="s">
        <v>50</v>
      </c>
      <c r="G704" s="13" t="s">
        <v>51</v>
      </c>
      <c r="H704" s="13" t="s">
        <v>52</v>
      </c>
      <c r="I704" s="13" t="s">
        <v>53</v>
      </c>
      <c r="J704" s="17"/>
      <c r="K704" s="17">
        <v>165</v>
      </c>
      <c r="L704" s="14"/>
      <c r="M704" s="14" t="s">
        <v>69</v>
      </c>
      <c r="N704" s="14" t="s">
        <v>1070</v>
      </c>
      <c r="O704" s="17" t="s">
        <v>55</v>
      </c>
      <c r="P704" s="14"/>
      <c r="Q704" s="14">
        <v>6.6</v>
      </c>
      <c r="R704" s="14">
        <v>10</v>
      </c>
      <c r="S704" s="14">
        <v>7.2</v>
      </c>
      <c r="T704" s="14">
        <v>10.6</v>
      </c>
      <c r="U704" s="19">
        <f t="shared" si="50"/>
        <v>0.97166666666666657</v>
      </c>
      <c r="V704" s="41">
        <f t="shared" si="48"/>
        <v>-2.8333333333333433</v>
      </c>
      <c r="W704" s="14"/>
      <c r="X704" s="14" t="s">
        <v>56</v>
      </c>
      <c r="Z704" s="14" t="s">
        <v>56</v>
      </c>
      <c r="AA704" s="14"/>
      <c r="AB704" s="14" t="s">
        <v>111</v>
      </c>
      <c r="AC704" s="14">
        <v>1992</v>
      </c>
      <c r="AD704" s="14">
        <v>10</v>
      </c>
      <c r="AE704" s="14"/>
      <c r="AF704" s="14"/>
      <c r="AG704" s="14">
        <v>2005</v>
      </c>
      <c r="AH704" s="14">
        <f t="shared" ref="AH704:AH767" si="51">IF(OR(AG704="NA",AC704="NA"),"NA",IF(OR(AC704="",AG704=""), "", AC704-AG704))</f>
        <v>-13</v>
      </c>
      <c r="AI704" s="17">
        <f t="shared" ref="AI704:AI767" si="52">IF(AH704="NA", "NA",IF(OR(AH704="",AND(AD704="",AE704="")), "",AH704+AD704+AE704/12))</f>
        <v>-3</v>
      </c>
      <c r="AJ704" s="14"/>
      <c r="AK704" s="14" t="s">
        <v>58</v>
      </c>
      <c r="AL704" s="13" t="s">
        <v>854</v>
      </c>
      <c r="AM704" s="12">
        <v>2017</v>
      </c>
      <c r="AN704" s="12" t="s">
        <v>82</v>
      </c>
      <c r="AO704" s="12" t="s">
        <v>58</v>
      </c>
      <c r="AP704" s="12" t="s">
        <v>855</v>
      </c>
      <c r="AQ704" s="12" t="s">
        <v>56</v>
      </c>
      <c r="AR704" s="12" t="s">
        <v>58</v>
      </c>
      <c r="AS704" s="12" t="s">
        <v>163</v>
      </c>
      <c r="AT704" s="12"/>
      <c r="AU704" s="45" t="s">
        <v>2577</v>
      </c>
      <c r="AV704" s="15"/>
      <c r="AW704" s="12" t="str">
        <f>B704&amp;C704&amp;L704&amp;M704&amp;O704&amp;U704&amp;AL704&amp;AM704</f>
        <v>AustraliaPort Davey/Bathurst Harbour Marine Nature Reservefishrichness0.971666666666667Bates2017</v>
      </c>
    </row>
    <row r="705" spans="1:49" ht="14.25" customHeight="1" x14ac:dyDescent="0.35">
      <c r="A705" s="12">
        <v>704</v>
      </c>
      <c r="B705" s="12" t="s">
        <v>66</v>
      </c>
      <c r="C705" s="12" t="s">
        <v>1650</v>
      </c>
      <c r="D705" s="12" t="s">
        <v>1650</v>
      </c>
      <c r="E705" s="12" t="s">
        <v>136</v>
      </c>
      <c r="F705" s="13" t="s">
        <v>50</v>
      </c>
      <c r="G705" s="13" t="s">
        <v>51</v>
      </c>
      <c r="H705" s="13" t="s">
        <v>52</v>
      </c>
      <c r="I705" s="13" t="s">
        <v>53</v>
      </c>
      <c r="J705" s="17"/>
      <c r="K705" s="17">
        <v>165</v>
      </c>
      <c r="L705" s="14"/>
      <c r="M705" s="14" t="s">
        <v>857</v>
      </c>
      <c r="N705" s="14" t="s">
        <v>1070</v>
      </c>
      <c r="O705" s="17" t="s">
        <v>86</v>
      </c>
      <c r="P705" s="14"/>
      <c r="Q705" s="14">
        <v>34.4</v>
      </c>
      <c r="R705" s="14">
        <v>29</v>
      </c>
      <c r="S705" s="14">
        <v>16</v>
      </c>
      <c r="T705" s="14">
        <v>147.4</v>
      </c>
      <c r="U705" s="19">
        <f t="shared" si="50"/>
        <v>10.927931034482759</v>
      </c>
      <c r="V705" s="41">
        <f t="shared" si="48"/>
        <v>992.79310344827593</v>
      </c>
      <c r="W705" s="14"/>
      <c r="X705" s="14" t="s">
        <v>56</v>
      </c>
      <c r="Z705" s="14" t="s">
        <v>56</v>
      </c>
      <c r="AA705" s="14"/>
      <c r="AB705" s="14" t="s">
        <v>111</v>
      </c>
      <c r="AC705" s="14">
        <v>1992</v>
      </c>
      <c r="AD705" s="14">
        <v>10</v>
      </c>
      <c r="AE705" s="14"/>
      <c r="AF705" s="14"/>
      <c r="AG705" s="14">
        <v>2005</v>
      </c>
      <c r="AH705" s="14">
        <f t="shared" si="51"/>
        <v>-13</v>
      </c>
      <c r="AI705" s="17">
        <f t="shared" si="52"/>
        <v>-3</v>
      </c>
      <c r="AJ705" s="14"/>
      <c r="AK705" s="14" t="s">
        <v>58</v>
      </c>
      <c r="AL705" s="13" t="s">
        <v>854</v>
      </c>
      <c r="AM705" s="12">
        <v>2017</v>
      </c>
      <c r="AN705" s="12" t="s">
        <v>82</v>
      </c>
      <c r="AO705" s="12" t="s">
        <v>58</v>
      </c>
      <c r="AP705" s="12" t="s">
        <v>855</v>
      </c>
      <c r="AQ705" s="12" t="s">
        <v>56</v>
      </c>
      <c r="AR705" s="12" t="s">
        <v>58</v>
      </c>
      <c r="AS705" s="12" t="s">
        <v>163</v>
      </c>
      <c r="AT705" s="12"/>
      <c r="AU705" s="45" t="s">
        <v>2577</v>
      </c>
      <c r="AV705" s="15"/>
      <c r="AW705" s="12" t="str">
        <f>B705&amp;C705&amp;L705&amp;M705&amp;O705&amp;U705&amp;AL705&amp;AM705</f>
        <v>AustraliaPort Davey/Bathurst Harbour Marine Nature Reserveinvertebratesdensity10.9279310344828Bates2017</v>
      </c>
    </row>
    <row r="706" spans="1:49" ht="14.25" customHeight="1" x14ac:dyDescent="0.35">
      <c r="A706" s="12">
        <v>705</v>
      </c>
      <c r="B706" s="12" t="s">
        <v>66</v>
      </c>
      <c r="C706" s="12" t="s">
        <v>1650</v>
      </c>
      <c r="D706" s="12" t="s">
        <v>1650</v>
      </c>
      <c r="E706" s="12" t="s">
        <v>136</v>
      </c>
      <c r="F706" s="13" t="s">
        <v>50</v>
      </c>
      <c r="G706" s="13" t="s">
        <v>51</v>
      </c>
      <c r="H706" s="13" t="s">
        <v>52</v>
      </c>
      <c r="I706" s="13" t="s">
        <v>53</v>
      </c>
      <c r="J706" s="17"/>
      <c r="K706" s="17">
        <v>165</v>
      </c>
      <c r="L706" s="14"/>
      <c r="M706" s="14" t="s">
        <v>857</v>
      </c>
      <c r="N706" s="14" t="s">
        <v>1070</v>
      </c>
      <c r="O706" s="17" t="s">
        <v>55</v>
      </c>
      <c r="P706" s="14"/>
      <c r="Q706" s="14">
        <v>6.2</v>
      </c>
      <c r="R706" s="14">
        <v>2.5</v>
      </c>
      <c r="S706" s="14">
        <v>2.2000000000000002</v>
      </c>
      <c r="T706" s="14">
        <v>7.6</v>
      </c>
      <c r="U706" s="19">
        <f t="shared" si="50"/>
        <v>8.5672727272727265</v>
      </c>
      <c r="V706" s="41">
        <f t="shared" ref="V706:V769" si="53">IFERROR(IF(U706 = "", "",(U706-1)*100),"N/A")</f>
        <v>756.72727272727263</v>
      </c>
      <c r="W706" s="14"/>
      <c r="X706" s="14" t="s">
        <v>56</v>
      </c>
      <c r="Z706" s="14" t="s">
        <v>56</v>
      </c>
      <c r="AA706" s="14"/>
      <c r="AB706" s="14" t="s">
        <v>111</v>
      </c>
      <c r="AC706" s="14">
        <v>1992</v>
      </c>
      <c r="AD706" s="14">
        <v>10</v>
      </c>
      <c r="AE706" s="14"/>
      <c r="AF706" s="14"/>
      <c r="AG706" s="14">
        <v>2005</v>
      </c>
      <c r="AH706" s="14">
        <f t="shared" si="51"/>
        <v>-13</v>
      </c>
      <c r="AI706" s="17">
        <f t="shared" si="52"/>
        <v>-3</v>
      </c>
      <c r="AJ706" s="14"/>
      <c r="AK706" s="14" t="s">
        <v>58</v>
      </c>
      <c r="AL706" s="13" t="s">
        <v>854</v>
      </c>
      <c r="AM706" s="12">
        <v>2017</v>
      </c>
      <c r="AN706" s="12" t="s">
        <v>82</v>
      </c>
      <c r="AO706" s="12" t="s">
        <v>58</v>
      </c>
      <c r="AP706" s="12" t="s">
        <v>855</v>
      </c>
      <c r="AQ706" s="12" t="s">
        <v>56</v>
      </c>
      <c r="AR706" s="12" t="s">
        <v>58</v>
      </c>
      <c r="AS706" s="12" t="s">
        <v>163</v>
      </c>
      <c r="AT706" s="12"/>
      <c r="AU706" s="45" t="s">
        <v>2577</v>
      </c>
      <c r="AV706" s="15"/>
      <c r="AW706" s="12" t="str">
        <f>B706&amp;C706&amp;L706&amp;M706&amp;O706&amp;U706&amp;AL706&amp;AM706</f>
        <v>AustraliaPort Davey/Bathurst Harbour Marine Nature Reserveinvertebratesrichness8.56727272727273Bates2017</v>
      </c>
    </row>
    <row r="707" spans="1:49" ht="14.25" customHeight="1" x14ac:dyDescent="0.35">
      <c r="A707" s="12">
        <v>706</v>
      </c>
      <c r="B707" s="12" t="s">
        <v>66</v>
      </c>
      <c r="C707" s="12" t="s">
        <v>1650</v>
      </c>
      <c r="D707" s="12" t="s">
        <v>1650</v>
      </c>
      <c r="E707" s="12" t="s">
        <v>136</v>
      </c>
      <c r="F707" s="13" t="s">
        <v>50</v>
      </c>
      <c r="G707" s="13" t="s">
        <v>51</v>
      </c>
      <c r="H707" s="13" t="s">
        <v>52</v>
      </c>
      <c r="I707" s="13" t="s">
        <v>53</v>
      </c>
      <c r="J707" s="17"/>
      <c r="K707" s="17">
        <v>165</v>
      </c>
      <c r="L707" s="14"/>
      <c r="M707" s="14" t="s">
        <v>473</v>
      </c>
      <c r="N707" s="14" t="s">
        <v>1070</v>
      </c>
      <c r="O707" s="17" t="s">
        <v>86</v>
      </c>
      <c r="P707" s="14"/>
      <c r="Q707" s="14">
        <v>504</v>
      </c>
      <c r="R707" s="14">
        <v>314</v>
      </c>
      <c r="S707" s="14">
        <v>629.6</v>
      </c>
      <c r="T707" s="14">
        <v>402.6</v>
      </c>
      <c r="U707" s="19">
        <f t="shared" si="50"/>
        <v>1.0263841565567866</v>
      </c>
      <c r="V707" s="41">
        <f t="shared" si="53"/>
        <v>2.6384156556786609</v>
      </c>
      <c r="W707" s="14"/>
      <c r="X707" s="14" t="s">
        <v>56</v>
      </c>
      <c r="Z707" s="14" t="s">
        <v>56</v>
      </c>
      <c r="AA707" s="14"/>
      <c r="AB707" s="14" t="s">
        <v>111</v>
      </c>
      <c r="AC707" s="14">
        <v>1992</v>
      </c>
      <c r="AD707" s="14">
        <v>10</v>
      </c>
      <c r="AE707" s="14"/>
      <c r="AF707" s="14"/>
      <c r="AG707" s="14">
        <v>2005</v>
      </c>
      <c r="AH707" s="14">
        <f t="shared" si="51"/>
        <v>-13</v>
      </c>
      <c r="AI707" s="17">
        <f t="shared" si="52"/>
        <v>-3</v>
      </c>
      <c r="AJ707" s="14"/>
      <c r="AK707" s="14" t="s">
        <v>58</v>
      </c>
      <c r="AL707" s="13" t="s">
        <v>854</v>
      </c>
      <c r="AM707" s="12">
        <v>2017</v>
      </c>
      <c r="AN707" s="12" t="s">
        <v>82</v>
      </c>
      <c r="AO707" s="12" t="s">
        <v>58</v>
      </c>
      <c r="AP707" s="12" t="s">
        <v>855</v>
      </c>
      <c r="AQ707" s="12" t="s">
        <v>56</v>
      </c>
      <c r="AR707" s="12" t="s">
        <v>58</v>
      </c>
      <c r="AS707" s="12" t="s">
        <v>163</v>
      </c>
      <c r="AT707" s="12"/>
      <c r="AU707" s="45" t="s">
        <v>2577</v>
      </c>
      <c r="AV707" s="15"/>
      <c r="AW707" s="12" t="str">
        <f>B707&amp;C707&amp;L707&amp;M707&amp;O707&amp;U707&amp;AL707&amp;AM707</f>
        <v>AustraliaPort Davey/Bathurst Harbour Marine Nature ReserveAlgaedensity1.02638415655679Bates2017</v>
      </c>
    </row>
    <row r="708" spans="1:49" ht="14.25" customHeight="1" x14ac:dyDescent="0.35">
      <c r="A708" s="12">
        <v>707</v>
      </c>
      <c r="B708" s="12" t="s">
        <v>66</v>
      </c>
      <c r="C708" s="12" t="s">
        <v>1650</v>
      </c>
      <c r="D708" s="12" t="s">
        <v>1650</v>
      </c>
      <c r="E708" s="12" t="s">
        <v>136</v>
      </c>
      <c r="F708" s="13" t="s">
        <v>50</v>
      </c>
      <c r="G708" s="13" t="s">
        <v>51</v>
      </c>
      <c r="H708" s="13" t="s">
        <v>52</v>
      </c>
      <c r="I708" s="13" t="s">
        <v>53</v>
      </c>
      <c r="J708" s="17"/>
      <c r="K708" s="17">
        <v>165</v>
      </c>
      <c r="L708" s="14"/>
      <c r="M708" s="14" t="s">
        <v>473</v>
      </c>
      <c r="N708" s="14" t="s">
        <v>1070</v>
      </c>
      <c r="O708" s="17" t="s">
        <v>55</v>
      </c>
      <c r="P708" s="14"/>
      <c r="Q708" s="14">
        <v>4.8</v>
      </c>
      <c r="R708" s="14">
        <v>4.5</v>
      </c>
      <c r="S708" s="14">
        <v>6.8</v>
      </c>
      <c r="T708" s="14">
        <v>6.8</v>
      </c>
      <c r="U708" s="19">
        <f t="shared" si="50"/>
        <v>1.0666666666666667</v>
      </c>
      <c r="V708" s="41">
        <f t="shared" si="53"/>
        <v>6.6666666666666652</v>
      </c>
      <c r="W708" s="14"/>
      <c r="X708" s="14" t="s">
        <v>56</v>
      </c>
      <c r="Z708" s="14" t="s">
        <v>56</v>
      </c>
      <c r="AA708" s="14"/>
      <c r="AB708" s="14" t="s">
        <v>111</v>
      </c>
      <c r="AC708" s="14">
        <v>1992</v>
      </c>
      <c r="AD708" s="14">
        <v>10</v>
      </c>
      <c r="AE708" s="14"/>
      <c r="AF708" s="14"/>
      <c r="AG708" s="14">
        <v>2005</v>
      </c>
      <c r="AH708" s="14">
        <f t="shared" si="51"/>
        <v>-13</v>
      </c>
      <c r="AI708" s="17">
        <f t="shared" si="52"/>
        <v>-3</v>
      </c>
      <c r="AJ708" s="14"/>
      <c r="AK708" s="14" t="s">
        <v>58</v>
      </c>
      <c r="AL708" s="13" t="s">
        <v>854</v>
      </c>
      <c r="AM708" s="12">
        <v>2017</v>
      </c>
      <c r="AN708" s="12" t="s">
        <v>82</v>
      </c>
      <c r="AO708" s="12" t="s">
        <v>58</v>
      </c>
      <c r="AP708" s="12" t="s">
        <v>855</v>
      </c>
      <c r="AQ708" s="12" t="s">
        <v>56</v>
      </c>
      <c r="AR708" s="12" t="s">
        <v>58</v>
      </c>
      <c r="AS708" s="12" t="s">
        <v>163</v>
      </c>
      <c r="AT708" s="12"/>
      <c r="AU708" s="45" t="s">
        <v>2577</v>
      </c>
      <c r="AV708" s="15"/>
      <c r="AW708" s="12" t="str">
        <f>B708&amp;C708&amp;L708&amp;M708&amp;O708&amp;U708&amp;AL708&amp;AM708</f>
        <v>AustraliaPort Davey/Bathurst Harbour Marine Nature ReserveAlgaerichness1.06666666666667Bates2017</v>
      </c>
    </row>
    <row r="709" spans="1:49" ht="14.25" customHeight="1" x14ac:dyDescent="0.35">
      <c r="A709" s="12">
        <v>708</v>
      </c>
      <c r="B709" s="12" t="s">
        <v>66</v>
      </c>
      <c r="C709" s="12" t="s">
        <v>853</v>
      </c>
      <c r="D709" s="12" t="s">
        <v>853</v>
      </c>
      <c r="E709" s="12" t="s">
        <v>136</v>
      </c>
      <c r="F709" s="13" t="s">
        <v>50</v>
      </c>
      <c r="G709" s="13" t="s">
        <v>51</v>
      </c>
      <c r="H709" s="13" t="s">
        <v>52</v>
      </c>
      <c r="I709" s="13" t="s">
        <v>53</v>
      </c>
      <c r="J709" s="17"/>
      <c r="K709" s="17">
        <v>1</v>
      </c>
      <c r="L709" s="14"/>
      <c r="M709" s="14" t="s">
        <v>69</v>
      </c>
      <c r="N709" s="14" t="s">
        <v>1070</v>
      </c>
      <c r="O709" s="17" t="s">
        <v>86</v>
      </c>
      <c r="P709" s="14"/>
      <c r="Q709" s="14">
        <v>25.333333333333332</v>
      </c>
      <c r="R709" s="14">
        <v>68</v>
      </c>
      <c r="S709" s="14">
        <v>240.5</v>
      </c>
      <c r="T709" s="14">
        <v>446.25</v>
      </c>
      <c r="U709" s="19">
        <f t="shared" si="50"/>
        <v>0.69126819126819128</v>
      </c>
      <c r="V709" s="41">
        <f t="shared" si="53"/>
        <v>-30.873180873180871</v>
      </c>
      <c r="W709" s="14"/>
      <c r="X709" s="14" t="s">
        <v>56</v>
      </c>
      <c r="Z709" s="14" t="s">
        <v>56</v>
      </c>
      <c r="AA709" s="14"/>
      <c r="AB709" s="14" t="s">
        <v>111</v>
      </c>
      <c r="AC709" s="14">
        <v>1992</v>
      </c>
      <c r="AD709" s="14">
        <v>10</v>
      </c>
      <c r="AE709" s="14"/>
      <c r="AF709" s="14"/>
      <c r="AG709" s="14">
        <v>1992</v>
      </c>
      <c r="AH709" s="14">
        <f t="shared" si="51"/>
        <v>0</v>
      </c>
      <c r="AI709" s="17">
        <f t="shared" si="52"/>
        <v>10</v>
      </c>
      <c r="AJ709" s="14"/>
      <c r="AK709" s="14" t="s">
        <v>58</v>
      </c>
      <c r="AL709" s="13" t="s">
        <v>854</v>
      </c>
      <c r="AM709" s="12">
        <v>2017</v>
      </c>
      <c r="AN709" s="12" t="s">
        <v>82</v>
      </c>
      <c r="AO709" s="12" t="s">
        <v>58</v>
      </c>
      <c r="AP709" s="12" t="s">
        <v>855</v>
      </c>
      <c r="AQ709" s="12" t="s">
        <v>56</v>
      </c>
      <c r="AR709" s="12" t="s">
        <v>58</v>
      </c>
      <c r="AS709" s="12" t="s">
        <v>163</v>
      </c>
      <c r="AT709" s="12"/>
      <c r="AU709" s="45" t="s">
        <v>2572</v>
      </c>
      <c r="AV709" s="15"/>
      <c r="AW709" s="12" t="str">
        <f>B709&amp;C709&amp;L709&amp;M709&amp;O709&amp;U709&amp;AL709&amp;AM709</f>
        <v>AustraliaGovernor Island Marine Nature Reservefishdensity0.691268191268191Bates2017</v>
      </c>
    </row>
    <row r="710" spans="1:49" ht="14.25" customHeight="1" x14ac:dyDescent="0.35">
      <c r="A710" s="12">
        <v>709</v>
      </c>
      <c r="B710" s="12" t="s">
        <v>66</v>
      </c>
      <c r="C710" s="12" t="s">
        <v>853</v>
      </c>
      <c r="D710" s="12" t="s">
        <v>853</v>
      </c>
      <c r="E710" s="12" t="s">
        <v>136</v>
      </c>
      <c r="F710" s="13" t="s">
        <v>50</v>
      </c>
      <c r="G710" s="13" t="s">
        <v>51</v>
      </c>
      <c r="H710" s="13" t="s">
        <v>52</v>
      </c>
      <c r="I710" s="13" t="s">
        <v>53</v>
      </c>
      <c r="J710" s="17"/>
      <c r="K710" s="17">
        <v>1</v>
      </c>
      <c r="L710" s="14"/>
      <c r="M710" s="14" t="s">
        <v>69</v>
      </c>
      <c r="N710" s="14" t="s">
        <v>1070</v>
      </c>
      <c r="O710" s="17" t="s">
        <v>55</v>
      </c>
      <c r="P710" s="14"/>
      <c r="Q710" s="14">
        <v>7.333333333333333</v>
      </c>
      <c r="R710" s="14">
        <v>10.333333333333334</v>
      </c>
      <c r="S710" s="14">
        <v>16.5</v>
      </c>
      <c r="T710" s="14">
        <v>17.25</v>
      </c>
      <c r="U710" s="19">
        <f t="shared" si="50"/>
        <v>0.74193548387096764</v>
      </c>
      <c r="V710" s="41">
        <f t="shared" si="53"/>
        <v>-25.806451612903235</v>
      </c>
      <c r="W710" s="14"/>
      <c r="X710" s="14" t="s">
        <v>56</v>
      </c>
      <c r="Z710" s="14" t="s">
        <v>56</v>
      </c>
      <c r="AA710" s="14"/>
      <c r="AB710" s="14" t="s">
        <v>111</v>
      </c>
      <c r="AC710" s="14">
        <v>1992</v>
      </c>
      <c r="AD710" s="14">
        <v>10</v>
      </c>
      <c r="AE710" s="14"/>
      <c r="AF710" s="14"/>
      <c r="AG710" s="14">
        <v>1992</v>
      </c>
      <c r="AH710" s="14">
        <f t="shared" si="51"/>
        <v>0</v>
      </c>
      <c r="AI710" s="17">
        <f t="shared" si="52"/>
        <v>10</v>
      </c>
      <c r="AJ710" s="14"/>
      <c r="AK710" s="14" t="s">
        <v>58</v>
      </c>
      <c r="AL710" s="13" t="s">
        <v>854</v>
      </c>
      <c r="AM710" s="12">
        <v>2017</v>
      </c>
      <c r="AN710" s="12" t="s">
        <v>82</v>
      </c>
      <c r="AO710" s="12" t="s">
        <v>58</v>
      </c>
      <c r="AP710" s="12" t="s">
        <v>855</v>
      </c>
      <c r="AQ710" s="12" t="s">
        <v>56</v>
      </c>
      <c r="AR710" s="12" t="s">
        <v>58</v>
      </c>
      <c r="AS710" s="12" t="s">
        <v>163</v>
      </c>
      <c r="AT710" s="12"/>
      <c r="AU710" s="45" t="s">
        <v>2572</v>
      </c>
      <c r="AV710" s="15"/>
      <c r="AW710" s="12" t="str">
        <f>B710&amp;C710&amp;L710&amp;M710&amp;O710&amp;U710&amp;AL710&amp;AM710</f>
        <v>AustraliaGovernor Island Marine Nature Reservefishrichness0.741935483870968Bates2017</v>
      </c>
    </row>
    <row r="711" spans="1:49" ht="14.25" customHeight="1" x14ac:dyDescent="0.35">
      <c r="A711" s="12">
        <v>710</v>
      </c>
      <c r="B711" s="12" t="s">
        <v>66</v>
      </c>
      <c r="C711" s="12" t="s">
        <v>853</v>
      </c>
      <c r="D711" s="12" t="s">
        <v>853</v>
      </c>
      <c r="E711" s="12" t="s">
        <v>136</v>
      </c>
      <c r="F711" s="13" t="s">
        <v>50</v>
      </c>
      <c r="G711" s="13" t="s">
        <v>51</v>
      </c>
      <c r="H711" s="13" t="s">
        <v>52</v>
      </c>
      <c r="I711" s="13" t="s">
        <v>53</v>
      </c>
      <c r="J711" s="17"/>
      <c r="K711" s="17">
        <v>1</v>
      </c>
      <c r="L711" s="14"/>
      <c r="M711" s="14" t="s">
        <v>857</v>
      </c>
      <c r="N711" s="14" t="s">
        <v>1070</v>
      </c>
      <c r="O711" s="17" t="s">
        <v>86</v>
      </c>
      <c r="P711" s="14"/>
      <c r="Q711" s="14">
        <v>116.66666666666667</v>
      </c>
      <c r="R711" s="14">
        <v>98</v>
      </c>
      <c r="S711" s="14">
        <v>33.5</v>
      </c>
      <c r="T711" s="14">
        <v>103.75</v>
      </c>
      <c r="U711" s="19">
        <f t="shared" si="50"/>
        <v>3.6869225302061124</v>
      </c>
      <c r="V711" s="41">
        <f t="shared" si="53"/>
        <v>268.69225302061125</v>
      </c>
      <c r="W711" s="14"/>
      <c r="X711" s="14" t="s">
        <v>56</v>
      </c>
      <c r="Z711" s="14" t="s">
        <v>56</v>
      </c>
      <c r="AA711" s="14"/>
      <c r="AB711" s="14" t="s">
        <v>111</v>
      </c>
      <c r="AC711" s="14">
        <v>1992</v>
      </c>
      <c r="AD711" s="14">
        <v>10</v>
      </c>
      <c r="AE711" s="14"/>
      <c r="AF711" s="14"/>
      <c r="AG711" s="14">
        <v>1992</v>
      </c>
      <c r="AH711" s="14">
        <f t="shared" si="51"/>
        <v>0</v>
      </c>
      <c r="AI711" s="17">
        <f t="shared" si="52"/>
        <v>10</v>
      </c>
      <c r="AJ711" s="14"/>
      <c r="AK711" s="14" t="s">
        <v>58</v>
      </c>
      <c r="AL711" s="13" t="s">
        <v>854</v>
      </c>
      <c r="AM711" s="12">
        <v>2017</v>
      </c>
      <c r="AN711" s="12" t="s">
        <v>82</v>
      </c>
      <c r="AO711" s="12" t="s">
        <v>58</v>
      </c>
      <c r="AP711" s="12" t="s">
        <v>855</v>
      </c>
      <c r="AQ711" s="12" t="s">
        <v>56</v>
      </c>
      <c r="AR711" s="12" t="s">
        <v>58</v>
      </c>
      <c r="AS711" s="12" t="s">
        <v>163</v>
      </c>
      <c r="AT711" s="12"/>
      <c r="AU711" s="45" t="s">
        <v>2572</v>
      </c>
      <c r="AV711" s="15"/>
      <c r="AW711" s="12" t="str">
        <f>B711&amp;C711&amp;L711&amp;M711&amp;O711&amp;U711&amp;AL711&amp;AM711</f>
        <v>AustraliaGovernor Island Marine Nature Reserveinvertebratesdensity3.68692253020611Bates2017</v>
      </c>
    </row>
    <row r="712" spans="1:49" ht="14.25" customHeight="1" x14ac:dyDescent="0.35">
      <c r="A712" s="12">
        <v>711</v>
      </c>
      <c r="B712" s="12" t="s">
        <v>66</v>
      </c>
      <c r="C712" s="12" t="s">
        <v>853</v>
      </c>
      <c r="D712" s="12" t="s">
        <v>853</v>
      </c>
      <c r="E712" s="12" t="s">
        <v>136</v>
      </c>
      <c r="F712" s="13" t="s">
        <v>50</v>
      </c>
      <c r="G712" s="13" t="s">
        <v>51</v>
      </c>
      <c r="H712" s="13" t="s">
        <v>52</v>
      </c>
      <c r="I712" s="13" t="s">
        <v>53</v>
      </c>
      <c r="J712" s="17"/>
      <c r="K712" s="17">
        <v>1</v>
      </c>
      <c r="L712" s="14"/>
      <c r="M712" s="14" t="s">
        <v>857</v>
      </c>
      <c r="N712" s="14" t="s">
        <v>1070</v>
      </c>
      <c r="O712" s="17" t="s">
        <v>55</v>
      </c>
      <c r="P712" s="14"/>
      <c r="Q712" s="14">
        <v>5</v>
      </c>
      <c r="R712" s="14">
        <v>6.666666666666667</v>
      </c>
      <c r="S712" s="14">
        <v>6.5</v>
      </c>
      <c r="T712" s="14">
        <v>10</v>
      </c>
      <c r="U712" s="19">
        <f t="shared" si="50"/>
        <v>1.1538461538461537</v>
      </c>
      <c r="V712" s="41">
        <f t="shared" si="53"/>
        <v>15.384615384615374</v>
      </c>
      <c r="W712" s="14"/>
      <c r="X712" s="14" t="s">
        <v>56</v>
      </c>
      <c r="Z712" s="14" t="s">
        <v>56</v>
      </c>
      <c r="AA712" s="14"/>
      <c r="AB712" s="14" t="s">
        <v>111</v>
      </c>
      <c r="AC712" s="14">
        <v>1992</v>
      </c>
      <c r="AD712" s="14">
        <v>10</v>
      </c>
      <c r="AE712" s="14"/>
      <c r="AF712" s="14"/>
      <c r="AG712" s="14">
        <v>1992</v>
      </c>
      <c r="AH712" s="14">
        <f t="shared" si="51"/>
        <v>0</v>
      </c>
      <c r="AI712" s="17">
        <f t="shared" si="52"/>
        <v>10</v>
      </c>
      <c r="AJ712" s="14"/>
      <c r="AK712" s="14" t="s">
        <v>58</v>
      </c>
      <c r="AL712" s="13" t="s">
        <v>854</v>
      </c>
      <c r="AM712" s="12">
        <v>2017</v>
      </c>
      <c r="AN712" s="12" t="s">
        <v>82</v>
      </c>
      <c r="AO712" s="12" t="s">
        <v>58</v>
      </c>
      <c r="AP712" s="12" t="s">
        <v>855</v>
      </c>
      <c r="AQ712" s="12" t="s">
        <v>56</v>
      </c>
      <c r="AR712" s="12" t="s">
        <v>58</v>
      </c>
      <c r="AS712" s="12" t="s">
        <v>163</v>
      </c>
      <c r="AT712" s="12"/>
      <c r="AU712" s="45" t="s">
        <v>2572</v>
      </c>
      <c r="AV712" s="15"/>
      <c r="AW712" s="12" t="str">
        <f>B712&amp;C712&amp;L712&amp;M712&amp;O712&amp;U712&amp;AL712&amp;AM712</f>
        <v>AustraliaGovernor Island Marine Nature Reserveinvertebratesrichness1.15384615384615Bates2017</v>
      </c>
    </row>
    <row r="713" spans="1:49" ht="14.25" customHeight="1" x14ac:dyDescent="0.35">
      <c r="A713" s="12">
        <v>712</v>
      </c>
      <c r="B713" s="12" t="s">
        <v>66</v>
      </c>
      <c r="C713" s="12" t="s">
        <v>853</v>
      </c>
      <c r="D713" s="12" t="s">
        <v>853</v>
      </c>
      <c r="E713" s="12" t="s">
        <v>136</v>
      </c>
      <c r="F713" s="13" t="s">
        <v>50</v>
      </c>
      <c r="G713" s="13" t="s">
        <v>51</v>
      </c>
      <c r="H713" s="13" t="s">
        <v>52</v>
      </c>
      <c r="I713" s="13" t="s">
        <v>53</v>
      </c>
      <c r="J713" s="17"/>
      <c r="K713" s="17">
        <v>1</v>
      </c>
      <c r="L713" s="14"/>
      <c r="M713" s="14" t="s">
        <v>473</v>
      </c>
      <c r="N713" s="14" t="s">
        <v>1070</v>
      </c>
      <c r="O713" s="17" t="s">
        <v>86</v>
      </c>
      <c r="P713" s="14"/>
      <c r="Q713" s="14">
        <v>969.33333333333337</v>
      </c>
      <c r="R713" s="14">
        <v>744</v>
      </c>
      <c r="S713" s="14">
        <v>948.5</v>
      </c>
      <c r="T713" s="14">
        <v>963.5</v>
      </c>
      <c r="U713" s="19">
        <f t="shared" si="50"/>
        <v>1.3234715066044669</v>
      </c>
      <c r="V713" s="41">
        <f t="shared" si="53"/>
        <v>32.347150660446687</v>
      </c>
      <c r="W713" s="14"/>
      <c r="X713" s="14" t="s">
        <v>56</v>
      </c>
      <c r="Z713" s="14" t="s">
        <v>56</v>
      </c>
      <c r="AA713" s="14"/>
      <c r="AB713" s="14" t="s">
        <v>111</v>
      </c>
      <c r="AC713" s="14">
        <v>1992</v>
      </c>
      <c r="AD713" s="14">
        <v>10</v>
      </c>
      <c r="AE713" s="14"/>
      <c r="AF713" s="14"/>
      <c r="AG713" s="14">
        <v>1992</v>
      </c>
      <c r="AH713" s="14">
        <f t="shared" si="51"/>
        <v>0</v>
      </c>
      <c r="AI713" s="17">
        <f t="shared" si="52"/>
        <v>10</v>
      </c>
      <c r="AJ713" s="14"/>
      <c r="AK713" s="14" t="s">
        <v>58</v>
      </c>
      <c r="AL713" s="13" t="s">
        <v>854</v>
      </c>
      <c r="AM713" s="12">
        <v>2017</v>
      </c>
      <c r="AN713" s="12" t="s">
        <v>82</v>
      </c>
      <c r="AO713" s="12" t="s">
        <v>58</v>
      </c>
      <c r="AP713" s="12" t="s">
        <v>855</v>
      </c>
      <c r="AQ713" s="12" t="s">
        <v>56</v>
      </c>
      <c r="AR713" s="12" t="s">
        <v>58</v>
      </c>
      <c r="AS713" s="12" t="s">
        <v>163</v>
      </c>
      <c r="AT713" s="12"/>
      <c r="AU713" s="45" t="s">
        <v>2572</v>
      </c>
      <c r="AV713" s="15"/>
      <c r="AW713" s="12" t="str">
        <f>B713&amp;C713&amp;L713&amp;M713&amp;O713&amp;U713&amp;AL713&amp;AM713</f>
        <v>AustraliaGovernor Island Marine Nature ReserveAlgaedensity1.32347150660447Bates2017</v>
      </c>
    </row>
    <row r="714" spans="1:49" ht="14.25" customHeight="1" x14ac:dyDescent="0.35">
      <c r="A714" s="12">
        <v>713</v>
      </c>
      <c r="B714" s="12" t="s">
        <v>66</v>
      </c>
      <c r="C714" s="12" t="s">
        <v>853</v>
      </c>
      <c r="D714" s="12" t="s">
        <v>853</v>
      </c>
      <c r="E714" s="12" t="s">
        <v>136</v>
      </c>
      <c r="F714" s="13" t="s">
        <v>50</v>
      </c>
      <c r="G714" s="13" t="s">
        <v>51</v>
      </c>
      <c r="H714" s="13" t="s">
        <v>52</v>
      </c>
      <c r="I714" s="13" t="s">
        <v>53</v>
      </c>
      <c r="J714" s="17"/>
      <c r="K714" s="17">
        <v>1</v>
      </c>
      <c r="L714" s="14"/>
      <c r="M714" s="14" t="s">
        <v>473</v>
      </c>
      <c r="N714" s="14" t="s">
        <v>1070</v>
      </c>
      <c r="O714" s="17" t="s">
        <v>55</v>
      </c>
      <c r="P714" s="14"/>
      <c r="Q714" s="14">
        <v>6</v>
      </c>
      <c r="R714" s="14">
        <v>4.333333333333333</v>
      </c>
      <c r="S714" s="14">
        <v>4.5</v>
      </c>
      <c r="T714" s="14">
        <v>5.25</v>
      </c>
      <c r="U714" s="19">
        <f t="shared" si="50"/>
        <v>1.6153846153846156</v>
      </c>
      <c r="V714" s="41">
        <f t="shared" si="53"/>
        <v>61.538461538461561</v>
      </c>
      <c r="W714" s="14"/>
      <c r="X714" s="14" t="s">
        <v>56</v>
      </c>
      <c r="Z714" s="14" t="s">
        <v>56</v>
      </c>
      <c r="AA714" s="14"/>
      <c r="AB714" s="14" t="s">
        <v>111</v>
      </c>
      <c r="AC714" s="14">
        <v>1992</v>
      </c>
      <c r="AD714" s="14">
        <v>10</v>
      </c>
      <c r="AE714" s="14"/>
      <c r="AF714" s="14"/>
      <c r="AG714" s="14">
        <v>1992</v>
      </c>
      <c r="AH714" s="14">
        <f t="shared" si="51"/>
        <v>0</v>
      </c>
      <c r="AI714" s="17">
        <f t="shared" si="52"/>
        <v>10</v>
      </c>
      <c r="AJ714" s="14"/>
      <c r="AK714" s="14" t="s">
        <v>58</v>
      </c>
      <c r="AL714" s="13" t="s">
        <v>854</v>
      </c>
      <c r="AM714" s="12">
        <v>2017</v>
      </c>
      <c r="AN714" s="12" t="s">
        <v>82</v>
      </c>
      <c r="AO714" s="12" t="s">
        <v>58</v>
      </c>
      <c r="AP714" s="12" t="s">
        <v>855</v>
      </c>
      <c r="AQ714" s="12" t="s">
        <v>56</v>
      </c>
      <c r="AR714" s="12" t="s">
        <v>58</v>
      </c>
      <c r="AS714" s="12" t="s">
        <v>163</v>
      </c>
      <c r="AT714" s="12"/>
      <c r="AU714" s="45" t="s">
        <v>2572</v>
      </c>
      <c r="AV714" s="15"/>
      <c r="AW714" s="12" t="str">
        <f>B714&amp;C714&amp;L714&amp;M714&amp;O714&amp;U714&amp;AL714&amp;AM714</f>
        <v>AustraliaGovernor Island Marine Nature ReserveAlgaerichness1.61538461538462Bates2017</v>
      </c>
    </row>
    <row r="715" spans="1:49" ht="14.25" customHeight="1" x14ac:dyDescent="0.35">
      <c r="A715" s="12">
        <v>714</v>
      </c>
      <c r="B715" s="12" t="s">
        <v>66</v>
      </c>
      <c r="C715" s="12" t="s">
        <v>1298</v>
      </c>
      <c r="D715" s="12" t="s">
        <v>1298</v>
      </c>
      <c r="E715" s="12" t="s">
        <v>136</v>
      </c>
      <c r="F715" s="13" t="s">
        <v>50</v>
      </c>
      <c r="G715" s="13" t="s">
        <v>51</v>
      </c>
      <c r="H715" s="13" t="s">
        <v>52</v>
      </c>
      <c r="I715" s="13" t="s">
        <v>53</v>
      </c>
      <c r="J715" s="17"/>
      <c r="K715" s="17">
        <v>12</v>
      </c>
      <c r="L715" s="14"/>
      <c r="M715" s="14" t="s">
        <v>69</v>
      </c>
      <c r="N715" s="14" t="s">
        <v>1070</v>
      </c>
      <c r="O715" s="17" t="s">
        <v>86</v>
      </c>
      <c r="P715" s="14"/>
      <c r="Q715" s="14">
        <v>276.36363636363637</v>
      </c>
      <c r="R715" s="14">
        <v>253.2</v>
      </c>
      <c r="S715" s="14">
        <v>798.5</v>
      </c>
      <c r="T715" s="14">
        <v>822.5</v>
      </c>
      <c r="U715" s="19">
        <f t="shared" si="50"/>
        <v>1.1242895739003667</v>
      </c>
      <c r="V715" s="41">
        <f t="shared" si="53"/>
        <v>12.428957390036665</v>
      </c>
      <c r="W715" s="14"/>
      <c r="X715" s="14" t="s">
        <v>56</v>
      </c>
      <c r="Z715" s="14" t="s">
        <v>56</v>
      </c>
      <c r="AA715" s="14"/>
      <c r="AB715" s="14" t="s">
        <v>111</v>
      </c>
      <c r="AC715" s="14">
        <v>1992</v>
      </c>
      <c r="AD715" s="14">
        <v>10</v>
      </c>
      <c r="AE715" s="14"/>
      <c r="AF715" s="14"/>
      <c r="AG715" s="14">
        <v>1992</v>
      </c>
      <c r="AH715" s="14">
        <f t="shared" si="51"/>
        <v>0</v>
      </c>
      <c r="AI715" s="17">
        <f t="shared" si="52"/>
        <v>10</v>
      </c>
      <c r="AJ715" s="14"/>
      <c r="AK715" s="14" t="s">
        <v>58</v>
      </c>
      <c r="AL715" s="13" t="s">
        <v>854</v>
      </c>
      <c r="AM715" s="12">
        <v>2017</v>
      </c>
      <c r="AN715" s="12" t="s">
        <v>82</v>
      </c>
      <c r="AO715" s="12" t="s">
        <v>58</v>
      </c>
      <c r="AP715" s="12" t="s">
        <v>855</v>
      </c>
      <c r="AQ715" s="12" t="s">
        <v>56</v>
      </c>
      <c r="AR715" s="12" t="s">
        <v>58</v>
      </c>
      <c r="AS715" s="12" t="s">
        <v>163</v>
      </c>
      <c r="AT715" s="12"/>
      <c r="AU715" s="45" t="s">
        <v>856</v>
      </c>
      <c r="AV715" s="15"/>
      <c r="AW715" s="12" t="str">
        <f>B715&amp;C715&amp;L715&amp;M715&amp;O715&amp;U715&amp;AL715&amp;AM715</f>
        <v>AustraliaMaria Island Marine Nature Reservefishdensity1.12428957390037Bates2017</v>
      </c>
    </row>
    <row r="716" spans="1:49" ht="14.25" customHeight="1" x14ac:dyDescent="0.35">
      <c r="A716" s="12">
        <v>715</v>
      </c>
      <c r="B716" s="12" t="s">
        <v>66</v>
      </c>
      <c r="C716" s="15" t="s">
        <v>1298</v>
      </c>
      <c r="D716" s="15" t="s">
        <v>1298</v>
      </c>
      <c r="E716" s="15" t="s">
        <v>136</v>
      </c>
      <c r="F716" s="13" t="s">
        <v>50</v>
      </c>
      <c r="G716" s="13" t="s">
        <v>51</v>
      </c>
      <c r="H716" s="16" t="s">
        <v>52</v>
      </c>
      <c r="I716" s="16" t="s">
        <v>53</v>
      </c>
      <c r="J716" s="17"/>
      <c r="K716" s="17">
        <v>12</v>
      </c>
      <c r="L716" s="17"/>
      <c r="M716" s="17" t="s">
        <v>69</v>
      </c>
      <c r="N716" s="14" t="s">
        <v>1070</v>
      </c>
      <c r="O716" s="17" t="s">
        <v>55</v>
      </c>
      <c r="P716" s="17"/>
      <c r="Q716" s="17">
        <v>16.181818181818183</v>
      </c>
      <c r="R716" s="17">
        <v>13.5</v>
      </c>
      <c r="S716" s="17">
        <v>16.5</v>
      </c>
      <c r="T716" s="17">
        <v>20.333333333333332</v>
      </c>
      <c r="U716" s="20">
        <f t="shared" si="50"/>
        <v>1.477128184198891</v>
      </c>
      <c r="V716" s="41">
        <f t="shared" si="53"/>
        <v>47.712818419889103</v>
      </c>
      <c r="W716" s="17"/>
      <c r="X716" s="17" t="s">
        <v>56</v>
      </c>
      <c r="Y716" s="17"/>
      <c r="Z716" s="17" t="s">
        <v>56</v>
      </c>
      <c r="AA716" s="17"/>
      <c r="AB716" s="17" t="s">
        <v>111</v>
      </c>
      <c r="AC716" s="17">
        <v>1992</v>
      </c>
      <c r="AD716" s="17">
        <v>10</v>
      </c>
      <c r="AE716" s="17"/>
      <c r="AF716" s="17"/>
      <c r="AG716" s="17">
        <v>1992</v>
      </c>
      <c r="AH716" s="14">
        <f t="shared" si="51"/>
        <v>0</v>
      </c>
      <c r="AI716" s="17">
        <f t="shared" si="52"/>
        <v>10</v>
      </c>
      <c r="AJ716" s="17"/>
      <c r="AK716" s="17" t="s">
        <v>58</v>
      </c>
      <c r="AL716" s="16" t="s">
        <v>854</v>
      </c>
      <c r="AM716" s="15">
        <v>2017</v>
      </c>
      <c r="AN716" s="12" t="s">
        <v>82</v>
      </c>
      <c r="AO716" s="15" t="s">
        <v>58</v>
      </c>
      <c r="AP716" s="15" t="s">
        <v>855</v>
      </c>
      <c r="AQ716" s="15" t="s">
        <v>56</v>
      </c>
      <c r="AR716" s="15" t="s">
        <v>58</v>
      </c>
      <c r="AS716" s="15" t="s">
        <v>163</v>
      </c>
      <c r="AT716" s="15"/>
      <c r="AU716" s="45" t="s">
        <v>856</v>
      </c>
      <c r="AV716" s="15"/>
      <c r="AW716" s="12" t="str">
        <f>B716&amp;C716&amp;L716&amp;M716&amp;O716&amp;U716&amp;AL716&amp;AM716</f>
        <v>AustraliaMaria Island Marine Nature Reservefishrichness1.47712818419889Bates2017</v>
      </c>
    </row>
    <row r="717" spans="1:49" ht="14.25" customHeight="1" x14ac:dyDescent="0.35">
      <c r="A717" s="12">
        <v>716</v>
      </c>
      <c r="B717" s="12" t="s">
        <v>66</v>
      </c>
      <c r="C717" s="15" t="s">
        <v>1298</v>
      </c>
      <c r="D717" s="15" t="s">
        <v>1298</v>
      </c>
      <c r="E717" s="15" t="s">
        <v>136</v>
      </c>
      <c r="F717" s="13" t="s">
        <v>50</v>
      </c>
      <c r="G717" s="13" t="s">
        <v>51</v>
      </c>
      <c r="H717" s="16" t="s">
        <v>52</v>
      </c>
      <c r="I717" s="16" t="s">
        <v>53</v>
      </c>
      <c r="J717" s="17"/>
      <c r="K717" s="17">
        <v>12</v>
      </c>
      <c r="L717" s="17"/>
      <c r="M717" s="17" t="s">
        <v>857</v>
      </c>
      <c r="N717" s="14" t="s">
        <v>1070</v>
      </c>
      <c r="O717" s="17" t="s">
        <v>86</v>
      </c>
      <c r="P717" s="17"/>
      <c r="Q717" s="17">
        <v>71.727272727272734</v>
      </c>
      <c r="R717" s="17">
        <v>58.2</v>
      </c>
      <c r="S717" s="17">
        <v>85.333333333333329</v>
      </c>
      <c r="T717" s="17">
        <v>36.666666666666664</v>
      </c>
      <c r="U717" s="20">
        <f t="shared" si="50"/>
        <v>0.52955863402061853</v>
      </c>
      <c r="V717" s="41">
        <f t="shared" si="53"/>
        <v>-47.044136597938149</v>
      </c>
      <c r="W717" s="17"/>
      <c r="X717" s="17" t="s">
        <v>56</v>
      </c>
      <c r="Y717" s="17"/>
      <c r="Z717" s="17" t="s">
        <v>56</v>
      </c>
      <c r="AA717" s="17"/>
      <c r="AB717" s="17" t="s">
        <v>111</v>
      </c>
      <c r="AC717" s="17">
        <v>1992</v>
      </c>
      <c r="AD717" s="17">
        <v>10</v>
      </c>
      <c r="AE717" s="17"/>
      <c r="AF717" s="17"/>
      <c r="AG717" s="17">
        <v>1992</v>
      </c>
      <c r="AH717" s="14">
        <f t="shared" si="51"/>
        <v>0</v>
      </c>
      <c r="AI717" s="17">
        <f t="shared" si="52"/>
        <v>10</v>
      </c>
      <c r="AJ717" s="17"/>
      <c r="AK717" s="17" t="s">
        <v>58</v>
      </c>
      <c r="AL717" s="16" t="s">
        <v>854</v>
      </c>
      <c r="AM717" s="15">
        <v>2017</v>
      </c>
      <c r="AN717" s="12" t="s">
        <v>82</v>
      </c>
      <c r="AO717" s="15" t="s">
        <v>58</v>
      </c>
      <c r="AP717" s="15" t="s">
        <v>855</v>
      </c>
      <c r="AQ717" s="15" t="s">
        <v>56</v>
      </c>
      <c r="AR717" s="15" t="s">
        <v>58</v>
      </c>
      <c r="AS717" s="15" t="s">
        <v>163</v>
      </c>
      <c r="AT717" s="15"/>
      <c r="AU717" s="45" t="s">
        <v>856</v>
      </c>
      <c r="AV717" s="15"/>
      <c r="AW717" s="12" t="str">
        <f>B717&amp;C717&amp;L717&amp;M717&amp;O717&amp;U717&amp;AL717&amp;AM717</f>
        <v>AustraliaMaria Island Marine Nature Reserveinvertebratesdensity0.529558634020619Bates2017</v>
      </c>
    </row>
    <row r="718" spans="1:49" ht="14.25" customHeight="1" x14ac:dyDescent="0.35">
      <c r="A718" s="12">
        <v>717</v>
      </c>
      <c r="B718" s="12" t="s">
        <v>66</v>
      </c>
      <c r="C718" s="15" t="s">
        <v>1298</v>
      </c>
      <c r="D718" s="15" t="s">
        <v>1298</v>
      </c>
      <c r="E718" s="15" t="s">
        <v>136</v>
      </c>
      <c r="F718" s="16" t="s">
        <v>50</v>
      </c>
      <c r="G718" s="16" t="s">
        <v>51</v>
      </c>
      <c r="H718" s="16" t="s">
        <v>52</v>
      </c>
      <c r="I718" s="16" t="s">
        <v>53</v>
      </c>
      <c r="J718" s="17"/>
      <c r="K718" s="17">
        <v>12</v>
      </c>
      <c r="L718" s="17"/>
      <c r="M718" s="17" t="s">
        <v>857</v>
      </c>
      <c r="N718" s="14" t="s">
        <v>1070</v>
      </c>
      <c r="O718" s="17" t="s">
        <v>55</v>
      </c>
      <c r="P718" s="17"/>
      <c r="Q718" s="17">
        <v>6.3636363636363633</v>
      </c>
      <c r="R718" s="17">
        <v>6.1</v>
      </c>
      <c r="S718" s="17">
        <v>7.5</v>
      </c>
      <c r="T718" s="17">
        <v>5.166666666666667</v>
      </c>
      <c r="U718" s="20">
        <f t="shared" si="50"/>
        <v>0.71866203013744001</v>
      </c>
      <c r="V718" s="41">
        <f t="shared" si="53"/>
        <v>-28.133796986255998</v>
      </c>
      <c r="W718" s="17"/>
      <c r="X718" s="17" t="s">
        <v>56</v>
      </c>
      <c r="Y718" s="17"/>
      <c r="Z718" s="17" t="s">
        <v>56</v>
      </c>
      <c r="AA718" s="17"/>
      <c r="AB718" s="17" t="s">
        <v>111</v>
      </c>
      <c r="AC718" s="17">
        <v>1992</v>
      </c>
      <c r="AD718" s="17">
        <v>10</v>
      </c>
      <c r="AE718" s="17"/>
      <c r="AF718" s="17"/>
      <c r="AG718" s="17">
        <v>1992</v>
      </c>
      <c r="AH718" s="14">
        <f t="shared" si="51"/>
        <v>0</v>
      </c>
      <c r="AI718" s="17">
        <f t="shared" si="52"/>
        <v>10</v>
      </c>
      <c r="AJ718" s="17"/>
      <c r="AK718" s="17" t="s">
        <v>58</v>
      </c>
      <c r="AL718" s="16" t="s">
        <v>854</v>
      </c>
      <c r="AM718" s="15">
        <v>2017</v>
      </c>
      <c r="AN718" s="12" t="s">
        <v>82</v>
      </c>
      <c r="AO718" s="15" t="s">
        <v>58</v>
      </c>
      <c r="AP718" s="15" t="s">
        <v>855</v>
      </c>
      <c r="AQ718" s="15" t="s">
        <v>56</v>
      </c>
      <c r="AR718" s="15" t="s">
        <v>58</v>
      </c>
      <c r="AS718" s="15" t="s">
        <v>163</v>
      </c>
      <c r="AT718" s="15"/>
      <c r="AU718" s="45" t="s">
        <v>856</v>
      </c>
      <c r="AV718" s="15"/>
      <c r="AW718" s="12" t="str">
        <f>B718&amp;C718&amp;L718&amp;M718&amp;O718&amp;U718&amp;AL718&amp;AM718</f>
        <v>AustraliaMaria Island Marine Nature Reserveinvertebratesrichness0.71866203013744Bates2017</v>
      </c>
    </row>
    <row r="719" spans="1:49" ht="14.25" customHeight="1" x14ac:dyDescent="0.35">
      <c r="A719" s="12">
        <v>718</v>
      </c>
      <c r="B719" s="12" t="s">
        <v>66</v>
      </c>
      <c r="C719" s="15" t="s">
        <v>1298</v>
      </c>
      <c r="D719" s="15" t="s">
        <v>1298</v>
      </c>
      <c r="E719" s="15" t="s">
        <v>136</v>
      </c>
      <c r="F719" s="16" t="s">
        <v>50</v>
      </c>
      <c r="G719" s="16" t="s">
        <v>51</v>
      </c>
      <c r="H719" s="16" t="s">
        <v>52</v>
      </c>
      <c r="I719" s="16" t="s">
        <v>53</v>
      </c>
      <c r="K719" s="17">
        <v>12</v>
      </c>
      <c r="L719" s="17"/>
      <c r="M719" s="17" t="s">
        <v>473</v>
      </c>
      <c r="N719" s="14" t="s">
        <v>1070</v>
      </c>
      <c r="O719" s="17" t="s">
        <v>86</v>
      </c>
      <c r="P719" s="17"/>
      <c r="Q719" s="17">
        <v>1022.0909090909091</v>
      </c>
      <c r="R719" s="17">
        <v>803.6</v>
      </c>
      <c r="S719" s="17">
        <v>902.66666666666663</v>
      </c>
      <c r="T719" s="17">
        <v>866</v>
      </c>
      <c r="U719" s="20">
        <f t="shared" si="50"/>
        <v>1.2202254651971325</v>
      </c>
      <c r="V719" s="41">
        <f t="shared" si="53"/>
        <v>22.022546519713249</v>
      </c>
      <c r="W719" s="17"/>
      <c r="X719" s="17" t="s">
        <v>56</v>
      </c>
      <c r="Y719" s="17"/>
      <c r="Z719" s="17" t="s">
        <v>56</v>
      </c>
      <c r="AA719" s="17"/>
      <c r="AB719" s="17" t="s">
        <v>111</v>
      </c>
      <c r="AC719" s="17">
        <v>1992</v>
      </c>
      <c r="AD719" s="17">
        <v>10</v>
      </c>
      <c r="AE719" s="17"/>
      <c r="AF719" s="17"/>
      <c r="AG719" s="17">
        <v>1992</v>
      </c>
      <c r="AH719" s="14">
        <f t="shared" si="51"/>
        <v>0</v>
      </c>
      <c r="AI719" s="17">
        <f t="shared" si="52"/>
        <v>10</v>
      </c>
      <c r="AJ719" s="17"/>
      <c r="AK719" s="17" t="s">
        <v>58</v>
      </c>
      <c r="AL719" s="16" t="s">
        <v>854</v>
      </c>
      <c r="AM719" s="15">
        <v>2017</v>
      </c>
      <c r="AN719" s="12" t="s">
        <v>82</v>
      </c>
      <c r="AO719" s="15" t="s">
        <v>58</v>
      </c>
      <c r="AP719" s="15" t="s">
        <v>855</v>
      </c>
      <c r="AQ719" s="15" t="s">
        <v>56</v>
      </c>
      <c r="AR719" s="15" t="s">
        <v>58</v>
      </c>
      <c r="AS719" s="15" t="s">
        <v>163</v>
      </c>
      <c r="AT719" s="15"/>
      <c r="AU719" s="45" t="s">
        <v>856</v>
      </c>
      <c r="AV719" s="15"/>
      <c r="AW719" s="12" t="str">
        <f>B719&amp;C719&amp;L719&amp;M719&amp;O719&amp;U719&amp;AL719&amp;AM719</f>
        <v>AustraliaMaria Island Marine Nature ReserveAlgaedensity1.22022546519713Bates2017</v>
      </c>
    </row>
    <row r="720" spans="1:49" ht="14.25" customHeight="1" x14ac:dyDescent="0.35">
      <c r="A720" s="12">
        <v>719</v>
      </c>
      <c r="B720" s="12" t="s">
        <v>66</v>
      </c>
      <c r="C720" s="12" t="s">
        <v>1298</v>
      </c>
      <c r="D720" s="12" t="s">
        <v>1298</v>
      </c>
      <c r="E720" s="12" t="s">
        <v>136</v>
      </c>
      <c r="F720" s="16" t="s">
        <v>50</v>
      </c>
      <c r="G720" s="16" t="s">
        <v>51</v>
      </c>
      <c r="H720" s="13" t="s">
        <v>52</v>
      </c>
      <c r="I720" s="13" t="s">
        <v>53</v>
      </c>
      <c r="K720" s="17">
        <v>12</v>
      </c>
      <c r="L720" s="14"/>
      <c r="M720" s="14" t="s">
        <v>473</v>
      </c>
      <c r="N720" s="14" t="s">
        <v>1070</v>
      </c>
      <c r="O720" s="17" t="s">
        <v>55</v>
      </c>
      <c r="P720" s="14"/>
      <c r="Q720" s="14">
        <v>9.1818181818181817</v>
      </c>
      <c r="R720" s="14">
        <v>8.3000000000000007</v>
      </c>
      <c r="S720" s="14">
        <v>10.5</v>
      </c>
      <c r="T720" s="14">
        <v>10.166666666666666</v>
      </c>
      <c r="U720" s="19">
        <f t="shared" si="50"/>
        <v>1.0711243241363722</v>
      </c>
      <c r="V720" s="41">
        <f t="shared" si="53"/>
        <v>7.1124324136372152</v>
      </c>
      <c r="W720" s="14"/>
      <c r="X720" s="14" t="s">
        <v>56</v>
      </c>
      <c r="Z720" s="14" t="s">
        <v>56</v>
      </c>
      <c r="AA720" s="14"/>
      <c r="AB720" s="14" t="s">
        <v>111</v>
      </c>
      <c r="AC720" s="14">
        <v>1992</v>
      </c>
      <c r="AD720" s="14">
        <v>10</v>
      </c>
      <c r="AE720" s="14"/>
      <c r="AF720" s="14"/>
      <c r="AG720" s="14">
        <v>1992</v>
      </c>
      <c r="AH720" s="14">
        <f t="shared" si="51"/>
        <v>0</v>
      </c>
      <c r="AI720" s="17">
        <f t="shared" si="52"/>
        <v>10</v>
      </c>
      <c r="AJ720" s="14"/>
      <c r="AK720" s="14" t="s">
        <v>58</v>
      </c>
      <c r="AL720" s="13" t="s">
        <v>854</v>
      </c>
      <c r="AM720" s="12">
        <v>2017</v>
      </c>
      <c r="AN720" s="12" t="s">
        <v>82</v>
      </c>
      <c r="AO720" s="12" t="s">
        <v>58</v>
      </c>
      <c r="AP720" s="12" t="s">
        <v>855</v>
      </c>
      <c r="AQ720" s="12" t="s">
        <v>56</v>
      </c>
      <c r="AR720" s="12" t="s">
        <v>58</v>
      </c>
      <c r="AS720" s="12" t="s">
        <v>163</v>
      </c>
      <c r="AT720" s="12"/>
      <c r="AU720" s="45" t="s">
        <v>856</v>
      </c>
      <c r="AV720" s="15"/>
      <c r="AW720" s="12" t="str">
        <f>B720&amp;C720&amp;L720&amp;M720&amp;O720&amp;U720&amp;AL720&amp;AM720</f>
        <v>AustraliaMaria Island Marine Nature ReserveAlgaerichness1.07112432413637Bates2017</v>
      </c>
    </row>
    <row r="721" spans="1:49" ht="14.25" customHeight="1" x14ac:dyDescent="0.35">
      <c r="A721" s="12">
        <v>720</v>
      </c>
      <c r="B721" s="12" t="s">
        <v>66</v>
      </c>
      <c r="C721" s="44" t="s">
        <v>1489</v>
      </c>
      <c r="D721" s="44" t="s">
        <v>1489</v>
      </c>
      <c r="E721" s="12" t="s">
        <v>136</v>
      </c>
      <c r="F721" s="13" t="s">
        <v>50</v>
      </c>
      <c r="G721" s="13" t="s">
        <v>51</v>
      </c>
      <c r="H721" s="13" t="s">
        <v>52</v>
      </c>
      <c r="I721" s="13" t="s">
        <v>53</v>
      </c>
      <c r="K721" s="17">
        <v>7</v>
      </c>
      <c r="L721" s="14"/>
      <c r="M721" s="14" t="s">
        <v>69</v>
      </c>
      <c r="N721" s="14" t="s">
        <v>1070</v>
      </c>
      <c r="O721" s="17" t="s">
        <v>86</v>
      </c>
      <c r="P721" s="14"/>
      <c r="Q721" s="14">
        <v>1907</v>
      </c>
      <c r="R721" s="14">
        <v>925.5</v>
      </c>
      <c r="S721" s="14">
        <v>5297</v>
      </c>
      <c r="T721" s="14">
        <v>3181</v>
      </c>
      <c r="U721" s="19">
        <f t="shared" si="50"/>
        <v>1.2373938868590899</v>
      </c>
      <c r="V721" s="41">
        <f t="shared" si="53"/>
        <v>23.739388685908992</v>
      </c>
      <c r="W721" s="14"/>
      <c r="X721" s="14" t="s">
        <v>56</v>
      </c>
      <c r="Z721" s="14" t="s">
        <v>56</v>
      </c>
      <c r="AA721" s="14"/>
      <c r="AB721" s="14" t="s">
        <v>111</v>
      </c>
      <c r="AC721" s="14">
        <v>1992</v>
      </c>
      <c r="AD721" s="14">
        <v>10</v>
      </c>
      <c r="AE721" s="14"/>
      <c r="AF721" s="14"/>
      <c r="AG721" s="14">
        <v>1992</v>
      </c>
      <c r="AH721" s="14">
        <f t="shared" si="51"/>
        <v>0</v>
      </c>
      <c r="AI721" s="17">
        <f t="shared" si="52"/>
        <v>10</v>
      </c>
      <c r="AJ721" s="14"/>
      <c r="AK721" s="14" t="s">
        <v>58</v>
      </c>
      <c r="AL721" s="13" t="s">
        <v>854</v>
      </c>
      <c r="AM721" s="12">
        <v>2017</v>
      </c>
      <c r="AN721" s="12" t="s">
        <v>82</v>
      </c>
      <c r="AO721" s="12" t="s">
        <v>58</v>
      </c>
      <c r="AP721" s="12" t="s">
        <v>855</v>
      </c>
      <c r="AQ721" s="12" t="s">
        <v>56</v>
      </c>
      <c r="AR721" s="12" t="s">
        <v>58</v>
      </c>
      <c r="AS721" s="12" t="s">
        <v>163</v>
      </c>
      <c r="AT721" s="12"/>
      <c r="AU721" s="45" t="s">
        <v>856</v>
      </c>
      <c r="AV721" s="15"/>
      <c r="AW721" s="12" t="str">
        <f>B721&amp;C721&amp;L721&amp;M721&amp;O721&amp;U721&amp;AL721&amp;AM721</f>
        <v>AustraliaNinepin Point Marine Nature Reservefishdensity1.23739388685909Bates2017</v>
      </c>
    </row>
    <row r="722" spans="1:49" ht="14.25" customHeight="1" x14ac:dyDescent="0.35">
      <c r="A722" s="12">
        <v>721</v>
      </c>
      <c r="B722" s="12" t="s">
        <v>66</v>
      </c>
      <c r="C722" s="44" t="s">
        <v>1489</v>
      </c>
      <c r="D722" s="44" t="s">
        <v>1489</v>
      </c>
      <c r="E722" s="12" t="s">
        <v>136</v>
      </c>
      <c r="F722" s="13" t="s">
        <v>50</v>
      </c>
      <c r="G722" s="13" t="s">
        <v>51</v>
      </c>
      <c r="H722" s="13" t="s">
        <v>52</v>
      </c>
      <c r="I722" s="13" t="s">
        <v>53</v>
      </c>
      <c r="K722" s="17">
        <v>7</v>
      </c>
      <c r="L722" s="14"/>
      <c r="M722" s="14" t="s">
        <v>69</v>
      </c>
      <c r="N722" s="14" t="s">
        <v>1070</v>
      </c>
      <c r="O722" s="17" t="s">
        <v>55</v>
      </c>
      <c r="P722" s="14"/>
      <c r="Q722" s="14">
        <v>15</v>
      </c>
      <c r="R722" s="14">
        <v>16.5</v>
      </c>
      <c r="S722" s="14">
        <v>14</v>
      </c>
      <c r="T722" s="14">
        <v>22</v>
      </c>
      <c r="U722" s="19">
        <f t="shared" si="50"/>
        <v>1.4285714285714284</v>
      </c>
      <c r="V722" s="41">
        <f t="shared" si="53"/>
        <v>42.85714285714284</v>
      </c>
      <c r="W722" s="14"/>
      <c r="X722" s="14" t="s">
        <v>56</v>
      </c>
      <c r="Z722" s="14" t="s">
        <v>56</v>
      </c>
      <c r="AA722" s="14"/>
      <c r="AB722" s="14" t="s">
        <v>111</v>
      </c>
      <c r="AC722" s="14">
        <v>1992</v>
      </c>
      <c r="AD722" s="14">
        <v>10</v>
      </c>
      <c r="AE722" s="14"/>
      <c r="AF722" s="14"/>
      <c r="AG722" s="14">
        <v>1992</v>
      </c>
      <c r="AH722" s="14">
        <f t="shared" si="51"/>
        <v>0</v>
      </c>
      <c r="AI722" s="17">
        <f t="shared" si="52"/>
        <v>10</v>
      </c>
      <c r="AJ722" s="14"/>
      <c r="AK722" s="14" t="s">
        <v>58</v>
      </c>
      <c r="AL722" s="13" t="s">
        <v>854</v>
      </c>
      <c r="AM722" s="12">
        <v>2017</v>
      </c>
      <c r="AN722" s="12" t="s">
        <v>82</v>
      </c>
      <c r="AO722" s="12" t="s">
        <v>58</v>
      </c>
      <c r="AP722" s="12" t="s">
        <v>855</v>
      </c>
      <c r="AQ722" s="12" t="s">
        <v>56</v>
      </c>
      <c r="AR722" s="12" t="s">
        <v>58</v>
      </c>
      <c r="AS722" s="12" t="s">
        <v>163</v>
      </c>
      <c r="AT722" s="12"/>
      <c r="AU722" s="45" t="s">
        <v>856</v>
      </c>
      <c r="AV722" s="15"/>
      <c r="AW722" s="12" t="str">
        <f>B722&amp;C722&amp;L722&amp;M722&amp;O722&amp;U722&amp;AL722&amp;AM722</f>
        <v>AustraliaNinepin Point Marine Nature Reservefishrichness1.42857142857143Bates2017</v>
      </c>
    </row>
    <row r="723" spans="1:49" ht="14.25" customHeight="1" x14ac:dyDescent="0.35">
      <c r="A723" s="12">
        <v>722</v>
      </c>
      <c r="B723" s="12" t="s">
        <v>66</v>
      </c>
      <c r="C723" s="44" t="s">
        <v>1489</v>
      </c>
      <c r="D723" s="44" t="s">
        <v>1489</v>
      </c>
      <c r="E723" s="12" t="s">
        <v>136</v>
      </c>
      <c r="F723" s="13" t="s">
        <v>50</v>
      </c>
      <c r="G723" s="13" t="s">
        <v>51</v>
      </c>
      <c r="H723" s="13" t="s">
        <v>52</v>
      </c>
      <c r="I723" s="13" t="s">
        <v>53</v>
      </c>
      <c r="K723" s="17">
        <v>7</v>
      </c>
      <c r="L723" s="14"/>
      <c r="M723" s="14" t="s">
        <v>857</v>
      </c>
      <c r="N723" s="14" t="s">
        <v>1070</v>
      </c>
      <c r="O723" s="17" t="s">
        <v>86</v>
      </c>
      <c r="P723" s="14"/>
      <c r="Q723" s="14">
        <v>9.6666666666666661</v>
      </c>
      <c r="R723" s="14">
        <v>22</v>
      </c>
      <c r="S723" s="14">
        <v>34</v>
      </c>
      <c r="T723" s="14">
        <v>80</v>
      </c>
      <c r="U723" s="19">
        <f t="shared" si="50"/>
        <v>1.0338680926916219</v>
      </c>
      <c r="V723" s="41">
        <f t="shared" si="53"/>
        <v>3.3868092691621943</v>
      </c>
      <c r="W723" s="14"/>
      <c r="X723" s="14" t="s">
        <v>56</v>
      </c>
      <c r="Z723" s="14" t="s">
        <v>56</v>
      </c>
      <c r="AA723" s="14"/>
      <c r="AB723" s="14" t="s">
        <v>111</v>
      </c>
      <c r="AC723" s="14">
        <v>1992</v>
      </c>
      <c r="AD723" s="14">
        <v>10</v>
      </c>
      <c r="AE723" s="14"/>
      <c r="AF723" s="14"/>
      <c r="AG723" s="14">
        <v>1992</v>
      </c>
      <c r="AH723" s="14">
        <f t="shared" si="51"/>
        <v>0</v>
      </c>
      <c r="AI723" s="17">
        <f t="shared" si="52"/>
        <v>10</v>
      </c>
      <c r="AJ723" s="14"/>
      <c r="AK723" s="14" t="s">
        <v>58</v>
      </c>
      <c r="AL723" s="13" t="s">
        <v>854</v>
      </c>
      <c r="AM723" s="12">
        <v>2017</v>
      </c>
      <c r="AN723" s="12" t="s">
        <v>82</v>
      </c>
      <c r="AO723" s="12" t="s">
        <v>58</v>
      </c>
      <c r="AP723" s="12" t="s">
        <v>855</v>
      </c>
      <c r="AQ723" s="12" t="s">
        <v>56</v>
      </c>
      <c r="AR723" s="12" t="s">
        <v>58</v>
      </c>
      <c r="AS723" s="12" t="s">
        <v>163</v>
      </c>
      <c r="AT723" s="12"/>
      <c r="AU723" s="45" t="s">
        <v>856</v>
      </c>
      <c r="AV723" s="15"/>
      <c r="AW723" s="12" t="str">
        <f>B723&amp;C723&amp;L723&amp;M723&amp;O723&amp;U723&amp;AL723&amp;AM723</f>
        <v>AustraliaNinepin Point Marine Nature Reserveinvertebratesdensity1.03386809269162Bates2017</v>
      </c>
    </row>
    <row r="724" spans="1:49" ht="14.25" customHeight="1" x14ac:dyDescent="0.35">
      <c r="A724" s="12">
        <v>723</v>
      </c>
      <c r="B724" s="12" t="s">
        <v>66</v>
      </c>
      <c r="C724" s="44" t="s">
        <v>1489</v>
      </c>
      <c r="D724" s="44" t="s">
        <v>1489</v>
      </c>
      <c r="E724" s="12" t="s">
        <v>136</v>
      </c>
      <c r="F724" s="13" t="s">
        <v>50</v>
      </c>
      <c r="G724" s="13" t="s">
        <v>51</v>
      </c>
      <c r="H724" s="13" t="s">
        <v>52</v>
      </c>
      <c r="I724" s="13" t="s">
        <v>53</v>
      </c>
      <c r="K724" s="17">
        <v>7</v>
      </c>
      <c r="L724" s="14"/>
      <c r="M724" s="14" t="s">
        <v>857</v>
      </c>
      <c r="N724" s="14" t="s">
        <v>1070</v>
      </c>
      <c r="O724" s="17" t="s">
        <v>55</v>
      </c>
      <c r="P724" s="14"/>
      <c r="Q724" s="14">
        <v>2.3333333333333335</v>
      </c>
      <c r="R724" s="14">
        <v>4</v>
      </c>
      <c r="S724" s="14">
        <v>5.5</v>
      </c>
      <c r="T724" s="14">
        <v>8</v>
      </c>
      <c r="U724" s="19">
        <f t="shared" si="50"/>
        <v>0.84848484848484851</v>
      </c>
      <c r="V724" s="41">
        <f t="shared" si="53"/>
        <v>-15.151515151515149</v>
      </c>
      <c r="W724" s="14"/>
      <c r="X724" s="14" t="s">
        <v>56</v>
      </c>
      <c r="Z724" s="14" t="s">
        <v>56</v>
      </c>
      <c r="AA724" s="14"/>
      <c r="AB724" s="14" t="s">
        <v>111</v>
      </c>
      <c r="AC724" s="14">
        <v>1992</v>
      </c>
      <c r="AD724" s="14">
        <v>10</v>
      </c>
      <c r="AE724" s="14"/>
      <c r="AF724" s="14"/>
      <c r="AG724" s="14">
        <v>1992</v>
      </c>
      <c r="AH724" s="14">
        <f t="shared" si="51"/>
        <v>0</v>
      </c>
      <c r="AI724" s="17">
        <f t="shared" si="52"/>
        <v>10</v>
      </c>
      <c r="AJ724" s="14"/>
      <c r="AK724" s="14" t="s">
        <v>58</v>
      </c>
      <c r="AL724" s="13" t="s">
        <v>854</v>
      </c>
      <c r="AM724" s="12">
        <v>2017</v>
      </c>
      <c r="AN724" s="12" t="s">
        <v>82</v>
      </c>
      <c r="AO724" s="12" t="s">
        <v>58</v>
      </c>
      <c r="AP724" s="12" t="s">
        <v>855</v>
      </c>
      <c r="AQ724" s="12" t="s">
        <v>56</v>
      </c>
      <c r="AR724" s="12" t="s">
        <v>58</v>
      </c>
      <c r="AS724" s="12" t="s">
        <v>163</v>
      </c>
      <c r="AT724" s="12"/>
      <c r="AU724" s="45" t="s">
        <v>856</v>
      </c>
      <c r="AV724" s="15"/>
      <c r="AW724" s="12" t="str">
        <f>B724&amp;C724&amp;L724&amp;M724&amp;O724&amp;U724&amp;AL724&amp;AM724</f>
        <v>AustraliaNinepin Point Marine Nature Reserveinvertebratesrichness0.848484848484849Bates2017</v>
      </c>
    </row>
    <row r="725" spans="1:49" ht="14.25" customHeight="1" x14ac:dyDescent="0.35">
      <c r="A725" s="12">
        <v>724</v>
      </c>
      <c r="B725" s="12" t="s">
        <v>66</v>
      </c>
      <c r="C725" s="44" t="s">
        <v>1489</v>
      </c>
      <c r="D725" s="44" t="s">
        <v>1489</v>
      </c>
      <c r="E725" s="12" t="s">
        <v>136</v>
      </c>
      <c r="F725" s="13" t="s">
        <v>50</v>
      </c>
      <c r="G725" s="13" t="s">
        <v>51</v>
      </c>
      <c r="H725" s="13" t="s">
        <v>52</v>
      </c>
      <c r="I725" s="13" t="s">
        <v>53</v>
      </c>
      <c r="K725" s="17">
        <v>7</v>
      </c>
      <c r="L725" s="14"/>
      <c r="M725" s="14" t="s">
        <v>473</v>
      </c>
      <c r="N725" s="14" t="s">
        <v>1070</v>
      </c>
      <c r="O725" s="17" t="s">
        <v>86</v>
      </c>
      <c r="P725" s="14"/>
      <c r="Q725" s="14">
        <v>342</v>
      </c>
      <c r="R725" s="14">
        <v>422.5</v>
      </c>
      <c r="S725" s="14">
        <v>512.5</v>
      </c>
      <c r="T725" s="14">
        <v>572</v>
      </c>
      <c r="U725" s="19">
        <f t="shared" si="50"/>
        <v>0.90344465290806764</v>
      </c>
      <c r="V725" s="41">
        <f t="shared" si="53"/>
        <v>-9.6555347091932369</v>
      </c>
      <c r="W725" s="14"/>
      <c r="X725" s="14" t="s">
        <v>56</v>
      </c>
      <c r="Z725" s="14" t="s">
        <v>56</v>
      </c>
      <c r="AA725" s="14"/>
      <c r="AB725" s="14" t="s">
        <v>111</v>
      </c>
      <c r="AC725" s="14">
        <v>1992</v>
      </c>
      <c r="AD725" s="14">
        <v>10</v>
      </c>
      <c r="AE725" s="14"/>
      <c r="AF725" s="14"/>
      <c r="AG725" s="14">
        <v>1992</v>
      </c>
      <c r="AH725" s="14">
        <f t="shared" si="51"/>
        <v>0</v>
      </c>
      <c r="AI725" s="17">
        <f t="shared" si="52"/>
        <v>10</v>
      </c>
      <c r="AJ725" s="14"/>
      <c r="AK725" s="14" t="s">
        <v>58</v>
      </c>
      <c r="AL725" s="13" t="s">
        <v>854</v>
      </c>
      <c r="AM725" s="12">
        <v>2017</v>
      </c>
      <c r="AN725" s="12" t="s">
        <v>82</v>
      </c>
      <c r="AO725" s="12" t="s">
        <v>58</v>
      </c>
      <c r="AP725" s="12" t="s">
        <v>855</v>
      </c>
      <c r="AQ725" s="12" t="s">
        <v>56</v>
      </c>
      <c r="AR725" s="12" t="s">
        <v>58</v>
      </c>
      <c r="AS725" s="12" t="s">
        <v>163</v>
      </c>
      <c r="AT725" s="12"/>
      <c r="AU725" s="45" t="s">
        <v>856</v>
      </c>
      <c r="AV725" s="15"/>
      <c r="AW725" s="12" t="str">
        <f>B725&amp;C725&amp;L725&amp;M725&amp;O725&amp;U725&amp;AL725&amp;AM725</f>
        <v>AustraliaNinepin Point Marine Nature ReserveAlgaedensity0.903444652908068Bates2017</v>
      </c>
    </row>
    <row r="726" spans="1:49" ht="14.25" customHeight="1" x14ac:dyDescent="0.35">
      <c r="A726" s="12">
        <v>725</v>
      </c>
      <c r="B726" s="12" t="s">
        <v>66</v>
      </c>
      <c r="C726" s="44" t="s">
        <v>1489</v>
      </c>
      <c r="D726" s="44" t="s">
        <v>1489</v>
      </c>
      <c r="E726" s="12" t="s">
        <v>136</v>
      </c>
      <c r="F726" s="13" t="s">
        <v>50</v>
      </c>
      <c r="G726" s="13" t="s">
        <v>51</v>
      </c>
      <c r="H726" s="13" t="s">
        <v>52</v>
      </c>
      <c r="I726" s="13" t="s">
        <v>53</v>
      </c>
      <c r="K726" s="17">
        <v>7</v>
      </c>
      <c r="L726" s="14"/>
      <c r="M726" s="14" t="s">
        <v>473</v>
      </c>
      <c r="N726" s="14" t="s">
        <v>1070</v>
      </c>
      <c r="O726" s="17" t="s">
        <v>55</v>
      </c>
      <c r="P726" s="14"/>
      <c r="Q726" s="14">
        <v>7.666666666666667</v>
      </c>
      <c r="R726" s="14">
        <v>6.5</v>
      </c>
      <c r="S726" s="14">
        <v>10.5</v>
      </c>
      <c r="T726" s="14">
        <v>7</v>
      </c>
      <c r="U726" s="19">
        <f t="shared" si="50"/>
        <v>0.78632478632478642</v>
      </c>
      <c r="V726" s="41">
        <f t="shared" si="53"/>
        <v>-21.367521367521359</v>
      </c>
      <c r="W726" s="14"/>
      <c r="X726" s="14" t="s">
        <v>56</v>
      </c>
      <c r="Z726" s="14" t="s">
        <v>56</v>
      </c>
      <c r="AA726" s="14"/>
      <c r="AB726" s="14" t="s">
        <v>111</v>
      </c>
      <c r="AC726" s="14">
        <v>1992</v>
      </c>
      <c r="AD726" s="14">
        <v>10</v>
      </c>
      <c r="AE726" s="14"/>
      <c r="AF726" s="14"/>
      <c r="AG726" s="14">
        <v>1992</v>
      </c>
      <c r="AH726" s="14">
        <f t="shared" si="51"/>
        <v>0</v>
      </c>
      <c r="AI726" s="17">
        <f t="shared" si="52"/>
        <v>10</v>
      </c>
      <c r="AJ726" s="14"/>
      <c r="AK726" s="14" t="s">
        <v>58</v>
      </c>
      <c r="AL726" s="13" t="s">
        <v>854</v>
      </c>
      <c r="AM726" s="12">
        <v>2017</v>
      </c>
      <c r="AN726" s="12" t="s">
        <v>82</v>
      </c>
      <c r="AO726" s="12" t="s">
        <v>58</v>
      </c>
      <c r="AP726" s="12" t="s">
        <v>855</v>
      </c>
      <c r="AQ726" s="12" t="s">
        <v>56</v>
      </c>
      <c r="AR726" s="12" t="s">
        <v>58</v>
      </c>
      <c r="AS726" s="12" t="s">
        <v>163</v>
      </c>
      <c r="AT726" s="12"/>
      <c r="AU726" s="45" t="s">
        <v>856</v>
      </c>
      <c r="AV726" s="15"/>
      <c r="AW726" s="12" t="str">
        <f>B726&amp;C726&amp;L726&amp;M726&amp;O726&amp;U726&amp;AL726&amp;AM726</f>
        <v>AustraliaNinepin Point Marine Nature ReserveAlgaerichness0.786324786324786Bates2017</v>
      </c>
    </row>
    <row r="727" spans="1:49" ht="14.25" customHeight="1" x14ac:dyDescent="0.35">
      <c r="A727" s="12">
        <v>726</v>
      </c>
      <c r="B727" s="12" t="s">
        <v>66</v>
      </c>
      <c r="C727" s="12" t="s">
        <v>1983</v>
      </c>
      <c r="D727" s="12" t="s">
        <v>1983</v>
      </c>
      <c r="E727" s="12" t="s">
        <v>136</v>
      </c>
      <c r="F727" s="13" t="s">
        <v>50</v>
      </c>
      <c r="G727" s="13" t="s">
        <v>51</v>
      </c>
      <c r="H727" s="13" t="s">
        <v>52</v>
      </c>
      <c r="I727" s="13" t="s">
        <v>53</v>
      </c>
      <c r="J727" s="14">
        <v>0.72</v>
      </c>
      <c r="K727" s="17"/>
      <c r="L727" s="14"/>
      <c r="M727" s="14" t="s">
        <v>69</v>
      </c>
      <c r="N727" s="14" t="s">
        <v>1070</v>
      </c>
      <c r="O727" s="17" t="s">
        <v>86</v>
      </c>
      <c r="P727" s="14"/>
      <c r="Q727" s="14">
        <v>128.25</v>
      </c>
      <c r="R727" s="14">
        <v>239.6</v>
      </c>
      <c r="S727" s="14">
        <v>158</v>
      </c>
      <c r="T727" s="14">
        <v>2660.5</v>
      </c>
      <c r="U727" s="19">
        <f t="shared" si="50"/>
        <v>9.0131528549692526</v>
      </c>
      <c r="V727" s="41">
        <f t="shared" si="53"/>
        <v>801.3152854969253</v>
      </c>
      <c r="W727" s="14"/>
      <c r="X727" s="14" t="s">
        <v>56</v>
      </c>
      <c r="Z727" s="14" t="s">
        <v>56</v>
      </c>
      <c r="AA727" s="14"/>
      <c r="AB727" s="14" t="s">
        <v>111</v>
      </c>
      <c r="AC727" s="14">
        <v>1992</v>
      </c>
      <c r="AD727" s="14">
        <v>10</v>
      </c>
      <c r="AE727" s="14"/>
      <c r="AF727" s="14"/>
      <c r="AG727" s="14">
        <v>1992</v>
      </c>
      <c r="AH727" s="14">
        <f t="shared" si="51"/>
        <v>0</v>
      </c>
      <c r="AI727" s="17">
        <f t="shared" si="52"/>
        <v>10</v>
      </c>
      <c r="AJ727" s="14"/>
      <c r="AK727" s="14" t="s">
        <v>58</v>
      </c>
      <c r="AL727" s="13" t="s">
        <v>854</v>
      </c>
      <c r="AM727" s="12">
        <v>2017</v>
      </c>
      <c r="AN727" s="12" t="s">
        <v>82</v>
      </c>
      <c r="AO727" s="12" t="s">
        <v>58</v>
      </c>
      <c r="AP727" s="12" t="s">
        <v>855</v>
      </c>
      <c r="AQ727" s="12" t="s">
        <v>56</v>
      </c>
      <c r="AR727" s="12" t="s">
        <v>58</v>
      </c>
      <c r="AS727" s="12" t="s">
        <v>163</v>
      </c>
      <c r="AT727" s="12"/>
      <c r="AU727" s="45" t="s">
        <v>856</v>
      </c>
      <c r="AV727" s="15"/>
      <c r="AW727" s="12" t="str">
        <f>B727&amp;C727&amp;L727&amp;M727&amp;O727&amp;U727&amp;AL727&amp;AM727</f>
        <v>AustraliaTinderbox Marine Nature Reservefishdensity9.01315285496925Bates2017</v>
      </c>
    </row>
    <row r="728" spans="1:49" ht="14.25" customHeight="1" x14ac:dyDescent="0.35">
      <c r="A728" s="12">
        <v>727</v>
      </c>
      <c r="B728" s="12" t="s">
        <v>66</v>
      </c>
      <c r="C728" s="12" t="s">
        <v>1983</v>
      </c>
      <c r="D728" s="12" t="s">
        <v>1983</v>
      </c>
      <c r="E728" s="12" t="s">
        <v>136</v>
      </c>
      <c r="F728" s="13" t="s">
        <v>50</v>
      </c>
      <c r="G728" s="13" t="s">
        <v>51</v>
      </c>
      <c r="H728" s="13" t="s">
        <v>52</v>
      </c>
      <c r="I728" s="13" t="s">
        <v>53</v>
      </c>
      <c r="J728" s="14">
        <v>0.72</v>
      </c>
      <c r="K728" s="17"/>
      <c r="L728" s="14"/>
      <c r="M728" s="14" t="s">
        <v>69</v>
      </c>
      <c r="N728" s="14" t="s">
        <v>1070</v>
      </c>
      <c r="O728" s="17" t="s">
        <v>55</v>
      </c>
      <c r="P728" s="14"/>
      <c r="Q728" s="14">
        <v>12.75</v>
      </c>
      <c r="R728" s="14">
        <v>13.8</v>
      </c>
      <c r="S728" s="14">
        <v>24</v>
      </c>
      <c r="T728" s="14">
        <v>24.5</v>
      </c>
      <c r="U728" s="19">
        <f t="shared" si="50"/>
        <v>0.94316123188405787</v>
      </c>
      <c r="V728" s="41">
        <f t="shared" si="53"/>
        <v>-5.6838768115942129</v>
      </c>
      <c r="W728" s="14"/>
      <c r="X728" s="14" t="s">
        <v>56</v>
      </c>
      <c r="Z728" s="14" t="s">
        <v>56</v>
      </c>
      <c r="AA728" s="14"/>
      <c r="AB728" s="14" t="s">
        <v>111</v>
      </c>
      <c r="AC728" s="14">
        <v>1992</v>
      </c>
      <c r="AD728" s="14">
        <v>10</v>
      </c>
      <c r="AE728" s="14"/>
      <c r="AF728" s="14"/>
      <c r="AG728" s="14">
        <v>1992</v>
      </c>
      <c r="AH728" s="14">
        <f t="shared" si="51"/>
        <v>0</v>
      </c>
      <c r="AI728" s="17">
        <f t="shared" si="52"/>
        <v>10</v>
      </c>
      <c r="AJ728" s="14"/>
      <c r="AK728" s="14" t="s">
        <v>58</v>
      </c>
      <c r="AL728" s="13" t="s">
        <v>854</v>
      </c>
      <c r="AM728" s="12">
        <v>2017</v>
      </c>
      <c r="AN728" s="12" t="s">
        <v>82</v>
      </c>
      <c r="AO728" s="12" t="s">
        <v>58</v>
      </c>
      <c r="AP728" s="12" t="s">
        <v>855</v>
      </c>
      <c r="AQ728" s="12" t="s">
        <v>56</v>
      </c>
      <c r="AR728" s="12" t="s">
        <v>58</v>
      </c>
      <c r="AS728" s="12" t="s">
        <v>163</v>
      </c>
      <c r="AT728" s="12"/>
      <c r="AU728" s="45" t="s">
        <v>856</v>
      </c>
      <c r="AV728" s="15"/>
      <c r="AW728" s="12" t="str">
        <f>B728&amp;C728&amp;L728&amp;M728&amp;O728&amp;U728&amp;AL728&amp;AM728</f>
        <v>AustraliaTinderbox Marine Nature Reservefishrichness0.943161231884058Bates2017</v>
      </c>
    </row>
    <row r="729" spans="1:49" ht="14.25" customHeight="1" x14ac:dyDescent="0.35">
      <c r="A729" s="12">
        <v>728</v>
      </c>
      <c r="B729" s="12" t="s">
        <v>66</v>
      </c>
      <c r="C729" s="12" t="s">
        <v>1983</v>
      </c>
      <c r="D729" s="12" t="s">
        <v>1983</v>
      </c>
      <c r="E729" s="12" t="s">
        <v>136</v>
      </c>
      <c r="F729" s="13" t="s">
        <v>50</v>
      </c>
      <c r="G729" s="13" t="s">
        <v>51</v>
      </c>
      <c r="H729" s="13" t="s">
        <v>52</v>
      </c>
      <c r="I729" s="13" t="s">
        <v>53</v>
      </c>
      <c r="J729" s="14">
        <v>0.72</v>
      </c>
      <c r="K729" s="17"/>
      <c r="L729" s="14"/>
      <c r="M729" s="14" t="s">
        <v>857</v>
      </c>
      <c r="N729" s="14" t="s">
        <v>1070</v>
      </c>
      <c r="O729" s="14" t="s">
        <v>86</v>
      </c>
      <c r="P729" s="14"/>
      <c r="Q729" s="14">
        <v>48.5</v>
      </c>
      <c r="R729" s="14">
        <v>49</v>
      </c>
      <c r="S729" s="14">
        <v>57</v>
      </c>
      <c r="T729" s="14">
        <v>77</v>
      </c>
      <c r="U729" s="19">
        <f t="shared" si="50"/>
        <v>1.3370927318295738</v>
      </c>
      <c r="V729" s="41">
        <f t="shared" si="53"/>
        <v>33.709273182957375</v>
      </c>
      <c r="W729" s="14"/>
      <c r="X729" s="14" t="s">
        <v>56</v>
      </c>
      <c r="Z729" s="14" t="s">
        <v>56</v>
      </c>
      <c r="AA729" s="14"/>
      <c r="AB729" s="14" t="s">
        <v>111</v>
      </c>
      <c r="AC729" s="14">
        <v>1992</v>
      </c>
      <c r="AD729" s="14">
        <v>10</v>
      </c>
      <c r="AE729" s="14"/>
      <c r="AF729" s="14"/>
      <c r="AG729" s="14">
        <v>1992</v>
      </c>
      <c r="AH729" s="14">
        <f t="shared" si="51"/>
        <v>0</v>
      </c>
      <c r="AI729" s="17">
        <f t="shared" si="52"/>
        <v>10</v>
      </c>
      <c r="AJ729" s="14"/>
      <c r="AK729" s="14" t="s">
        <v>58</v>
      </c>
      <c r="AL729" s="13" t="s">
        <v>854</v>
      </c>
      <c r="AM729" s="12">
        <v>2017</v>
      </c>
      <c r="AN729" s="12" t="s">
        <v>82</v>
      </c>
      <c r="AO729" s="12" t="s">
        <v>58</v>
      </c>
      <c r="AP729" s="12" t="s">
        <v>855</v>
      </c>
      <c r="AQ729" s="12" t="s">
        <v>56</v>
      </c>
      <c r="AR729" s="12" t="s">
        <v>58</v>
      </c>
      <c r="AS729" s="12" t="s">
        <v>163</v>
      </c>
      <c r="AT729" s="12"/>
      <c r="AU729" s="45" t="s">
        <v>856</v>
      </c>
      <c r="AV729" s="15"/>
      <c r="AW729" s="12" t="str">
        <f>B729&amp;C729&amp;L729&amp;M729&amp;O729&amp;U729&amp;AL729&amp;AM729</f>
        <v>AustraliaTinderbox Marine Nature Reserveinvertebratesdensity1.33709273182957Bates2017</v>
      </c>
    </row>
    <row r="730" spans="1:49" ht="14.25" customHeight="1" x14ac:dyDescent="0.35">
      <c r="A730" s="12">
        <v>729</v>
      </c>
      <c r="B730" s="12" t="s">
        <v>66</v>
      </c>
      <c r="C730" s="12" t="s">
        <v>1983</v>
      </c>
      <c r="D730" s="12" t="s">
        <v>1983</v>
      </c>
      <c r="E730" s="12" t="s">
        <v>136</v>
      </c>
      <c r="F730" s="13" t="s">
        <v>50</v>
      </c>
      <c r="G730" s="13" t="s">
        <v>51</v>
      </c>
      <c r="H730" s="13" t="s">
        <v>52</v>
      </c>
      <c r="I730" s="13" t="s">
        <v>53</v>
      </c>
      <c r="J730" s="14">
        <v>0.72</v>
      </c>
      <c r="K730" s="14"/>
      <c r="L730" s="14"/>
      <c r="M730" s="14" t="s">
        <v>857</v>
      </c>
      <c r="N730" s="14" t="s">
        <v>1070</v>
      </c>
      <c r="O730" s="17" t="s">
        <v>55</v>
      </c>
      <c r="P730" s="14"/>
      <c r="Q730" s="14">
        <v>4.25</v>
      </c>
      <c r="R730" s="14">
        <v>4.5999999999999996</v>
      </c>
      <c r="S730" s="14">
        <v>10</v>
      </c>
      <c r="T730" s="14">
        <v>8.5</v>
      </c>
      <c r="U730" s="19">
        <f t="shared" si="50"/>
        <v>0.78532608695652184</v>
      </c>
      <c r="V730" s="41">
        <f t="shared" si="53"/>
        <v>-21.467391304347817</v>
      </c>
      <c r="W730" s="14"/>
      <c r="X730" s="14" t="s">
        <v>56</v>
      </c>
      <c r="Z730" s="14" t="s">
        <v>56</v>
      </c>
      <c r="AA730" s="14"/>
      <c r="AB730" s="14" t="s">
        <v>111</v>
      </c>
      <c r="AC730" s="14">
        <v>1992</v>
      </c>
      <c r="AD730" s="14">
        <v>10</v>
      </c>
      <c r="AE730" s="14"/>
      <c r="AF730" s="14"/>
      <c r="AG730" s="14">
        <v>1992</v>
      </c>
      <c r="AH730" s="14">
        <f t="shared" si="51"/>
        <v>0</v>
      </c>
      <c r="AI730" s="17">
        <f t="shared" si="52"/>
        <v>10</v>
      </c>
      <c r="AJ730" s="14"/>
      <c r="AK730" s="14" t="s">
        <v>58</v>
      </c>
      <c r="AL730" s="13" t="s">
        <v>854</v>
      </c>
      <c r="AM730" s="12">
        <v>2017</v>
      </c>
      <c r="AN730" s="12" t="s">
        <v>82</v>
      </c>
      <c r="AO730" s="12" t="s">
        <v>58</v>
      </c>
      <c r="AP730" s="12" t="s">
        <v>855</v>
      </c>
      <c r="AQ730" s="12" t="s">
        <v>56</v>
      </c>
      <c r="AR730" s="12" t="s">
        <v>58</v>
      </c>
      <c r="AS730" s="12" t="s">
        <v>163</v>
      </c>
      <c r="AT730" s="12"/>
      <c r="AU730" s="45" t="s">
        <v>856</v>
      </c>
      <c r="AV730" s="15"/>
      <c r="AW730" s="12" t="str">
        <f>B730&amp;C730&amp;L730&amp;M730&amp;O730&amp;U730&amp;AL730&amp;AM730</f>
        <v>AustraliaTinderbox Marine Nature Reserveinvertebratesrichness0.785326086956522Bates2017</v>
      </c>
    </row>
    <row r="731" spans="1:49" ht="14.25" customHeight="1" x14ac:dyDescent="0.35">
      <c r="A731" s="12">
        <v>730</v>
      </c>
      <c r="B731" s="12" t="s">
        <v>66</v>
      </c>
      <c r="C731" s="12" t="s">
        <v>1983</v>
      </c>
      <c r="D731" s="12" t="s">
        <v>1983</v>
      </c>
      <c r="E731" s="12" t="s">
        <v>136</v>
      </c>
      <c r="F731" s="13" t="s">
        <v>50</v>
      </c>
      <c r="G731" s="13" t="s">
        <v>51</v>
      </c>
      <c r="H731" s="13" t="s">
        <v>52</v>
      </c>
      <c r="I731" s="13" t="s">
        <v>53</v>
      </c>
      <c r="J731" s="14">
        <v>0.72</v>
      </c>
      <c r="K731" s="17"/>
      <c r="L731" s="14"/>
      <c r="M731" s="14" t="s">
        <v>473</v>
      </c>
      <c r="N731" s="14" t="s">
        <v>1070</v>
      </c>
      <c r="O731" s="17" t="s">
        <v>86</v>
      </c>
      <c r="P731" s="14"/>
      <c r="Q731" s="14">
        <v>433</v>
      </c>
      <c r="R731" s="14">
        <v>459.2</v>
      </c>
      <c r="S731" s="14">
        <v>922</v>
      </c>
      <c r="T731" s="14">
        <v>849</v>
      </c>
      <c r="U731" s="19">
        <f t="shared" si="50"/>
        <v>0.86828597504289273</v>
      </c>
      <c r="V731" s="41">
        <f t="shared" si="53"/>
        <v>-13.171402495710726</v>
      </c>
      <c r="W731" s="14"/>
      <c r="X731" s="14" t="s">
        <v>56</v>
      </c>
      <c r="Z731" s="14" t="s">
        <v>56</v>
      </c>
      <c r="AA731" s="14"/>
      <c r="AB731" s="14" t="s">
        <v>111</v>
      </c>
      <c r="AC731" s="14">
        <v>1992</v>
      </c>
      <c r="AD731" s="14">
        <v>10</v>
      </c>
      <c r="AE731" s="14"/>
      <c r="AF731" s="14"/>
      <c r="AG731" s="14">
        <v>1992</v>
      </c>
      <c r="AH731" s="14">
        <f t="shared" si="51"/>
        <v>0</v>
      </c>
      <c r="AI731" s="17">
        <f t="shared" si="52"/>
        <v>10</v>
      </c>
      <c r="AJ731" s="14"/>
      <c r="AK731" s="14" t="s">
        <v>58</v>
      </c>
      <c r="AL731" s="13" t="s">
        <v>854</v>
      </c>
      <c r="AM731" s="12">
        <v>2017</v>
      </c>
      <c r="AN731" s="12" t="s">
        <v>82</v>
      </c>
      <c r="AO731" s="12" t="s">
        <v>58</v>
      </c>
      <c r="AP731" s="12" t="s">
        <v>855</v>
      </c>
      <c r="AQ731" s="12" t="s">
        <v>56</v>
      </c>
      <c r="AR731" s="12" t="s">
        <v>58</v>
      </c>
      <c r="AS731" s="12" t="s">
        <v>163</v>
      </c>
      <c r="AT731" s="12"/>
      <c r="AU731" s="45" t="s">
        <v>856</v>
      </c>
      <c r="AV731" s="15"/>
      <c r="AW731" s="12" t="str">
        <f>B731&amp;C731&amp;L731&amp;M731&amp;O731&amp;U731&amp;AL731&amp;AM731</f>
        <v>AustraliaTinderbox Marine Nature ReserveAlgaedensity0.868285975042893Bates2017</v>
      </c>
    </row>
    <row r="732" spans="1:49" ht="14.25" customHeight="1" x14ac:dyDescent="0.35">
      <c r="A732" s="12">
        <v>731</v>
      </c>
      <c r="B732" s="12" t="s">
        <v>66</v>
      </c>
      <c r="C732" s="12" t="s">
        <v>1983</v>
      </c>
      <c r="D732" s="12" t="s">
        <v>1983</v>
      </c>
      <c r="E732" s="12" t="s">
        <v>136</v>
      </c>
      <c r="F732" s="13" t="s">
        <v>50</v>
      </c>
      <c r="G732" s="13" t="s">
        <v>51</v>
      </c>
      <c r="H732" s="13" t="s">
        <v>52</v>
      </c>
      <c r="I732" s="13" t="s">
        <v>53</v>
      </c>
      <c r="J732" s="14">
        <v>0.72</v>
      </c>
      <c r="K732" s="17"/>
      <c r="L732" s="14"/>
      <c r="M732" s="14" t="s">
        <v>473</v>
      </c>
      <c r="N732" s="14" t="s">
        <v>1070</v>
      </c>
      <c r="O732" s="17" t="s">
        <v>55</v>
      </c>
      <c r="P732" s="14"/>
      <c r="Q732" s="14">
        <v>3.25</v>
      </c>
      <c r="R732" s="14">
        <v>4.2</v>
      </c>
      <c r="S732" s="14">
        <v>11</v>
      </c>
      <c r="T732" s="14">
        <v>4.5</v>
      </c>
      <c r="U732" s="19">
        <f t="shared" si="50"/>
        <v>0.31655844155844154</v>
      </c>
      <c r="V732" s="41">
        <f t="shared" si="53"/>
        <v>-68.34415584415585</v>
      </c>
      <c r="W732" s="14"/>
      <c r="X732" s="14" t="s">
        <v>56</v>
      </c>
      <c r="Z732" s="14" t="s">
        <v>56</v>
      </c>
      <c r="AA732" s="14"/>
      <c r="AB732" s="14" t="s">
        <v>111</v>
      </c>
      <c r="AC732" s="14">
        <v>1992</v>
      </c>
      <c r="AD732" s="14">
        <v>10</v>
      </c>
      <c r="AE732" s="14"/>
      <c r="AF732" s="14"/>
      <c r="AG732" s="14">
        <v>1992</v>
      </c>
      <c r="AH732" s="14">
        <f t="shared" si="51"/>
        <v>0</v>
      </c>
      <c r="AI732" s="17">
        <f t="shared" si="52"/>
        <v>10</v>
      </c>
      <c r="AJ732" s="14"/>
      <c r="AK732" s="14" t="s">
        <v>58</v>
      </c>
      <c r="AL732" s="13" t="s">
        <v>854</v>
      </c>
      <c r="AM732" s="12">
        <v>2017</v>
      </c>
      <c r="AN732" s="12" t="s">
        <v>82</v>
      </c>
      <c r="AO732" s="12" t="s">
        <v>58</v>
      </c>
      <c r="AP732" s="12" t="s">
        <v>855</v>
      </c>
      <c r="AQ732" s="12" t="s">
        <v>56</v>
      </c>
      <c r="AR732" s="12" t="s">
        <v>58</v>
      </c>
      <c r="AS732" s="12" t="s">
        <v>163</v>
      </c>
      <c r="AT732" s="12"/>
      <c r="AU732" s="45" t="s">
        <v>856</v>
      </c>
      <c r="AV732" s="15"/>
      <c r="AW732" s="12" t="str">
        <f>B732&amp;C732&amp;L732&amp;M732&amp;O732&amp;U732&amp;AL732&amp;AM732</f>
        <v>AustraliaTinderbox Marine Nature ReserveAlgaerichness0.316558441558442Bates2017</v>
      </c>
    </row>
    <row r="733" spans="1:49" ht="14.25" customHeight="1" x14ac:dyDescent="0.35">
      <c r="A733" s="12">
        <v>732</v>
      </c>
      <c r="B733" s="12" t="s">
        <v>66</v>
      </c>
      <c r="C733" s="12" t="s">
        <v>1298</v>
      </c>
      <c r="D733" s="12" t="s">
        <v>1298</v>
      </c>
      <c r="E733" s="12" t="s">
        <v>136</v>
      </c>
      <c r="F733" s="13" t="s">
        <v>50</v>
      </c>
      <c r="G733" s="13" t="s">
        <v>51</v>
      </c>
      <c r="H733" s="13" t="s">
        <v>52</v>
      </c>
      <c r="I733" s="13" t="s">
        <v>53</v>
      </c>
      <c r="K733" s="17">
        <v>12</v>
      </c>
      <c r="L733" s="14" t="s">
        <v>865</v>
      </c>
      <c r="M733" s="14" t="s">
        <v>2781</v>
      </c>
      <c r="N733" s="14" t="s">
        <v>85</v>
      </c>
      <c r="O733" s="17" t="s">
        <v>86</v>
      </c>
      <c r="P733" s="14"/>
      <c r="Q733" s="14">
        <f>541.66*5000</f>
        <v>2708300</v>
      </c>
      <c r="R733" s="14">
        <f>433.33*5000</f>
        <v>2166650</v>
      </c>
      <c r="S733" s="14">
        <f>550*5000</f>
        <v>2750000</v>
      </c>
      <c r="T733" s="14">
        <f>233.33*5000</f>
        <v>1166650</v>
      </c>
      <c r="U733" s="19">
        <f t="shared" si="50"/>
        <v>0.53029300700914483</v>
      </c>
      <c r="V733" s="41">
        <f t="shared" si="53"/>
        <v>-46.970699299085517</v>
      </c>
      <c r="W733" s="14"/>
      <c r="X733" s="14" t="s">
        <v>56</v>
      </c>
      <c r="Z733" s="14" t="s">
        <v>56</v>
      </c>
      <c r="AA733" s="14"/>
      <c r="AB733" s="14" t="s">
        <v>111</v>
      </c>
      <c r="AC733" s="14">
        <v>1992</v>
      </c>
      <c r="AD733" s="14">
        <v>10</v>
      </c>
      <c r="AE733" s="14"/>
      <c r="AF733" s="14"/>
      <c r="AG733" s="14">
        <v>1992</v>
      </c>
      <c r="AH733" s="14">
        <f t="shared" si="51"/>
        <v>0</v>
      </c>
      <c r="AI733" s="17">
        <f t="shared" si="52"/>
        <v>10</v>
      </c>
      <c r="AJ733" s="14"/>
      <c r="AK733" s="14" t="s">
        <v>58</v>
      </c>
      <c r="AL733" s="13" t="s">
        <v>859</v>
      </c>
      <c r="AM733" s="12">
        <v>2009</v>
      </c>
      <c r="AN733" s="12" t="s">
        <v>860</v>
      </c>
      <c r="AO733" s="12" t="s">
        <v>56</v>
      </c>
      <c r="AP733" s="12" t="s">
        <v>861</v>
      </c>
      <c r="AQ733" s="12" t="s">
        <v>56</v>
      </c>
      <c r="AR733" s="12" t="s">
        <v>58</v>
      </c>
      <c r="AS733" s="12" t="s">
        <v>163</v>
      </c>
      <c r="AT733" s="12"/>
      <c r="AU733" s="45" t="s">
        <v>862</v>
      </c>
      <c r="AV733" s="15"/>
      <c r="AW733" s="12" t="str">
        <f>B733&amp;C733&amp;L733&amp;M733&amp;O733&amp;U733&amp;AL733&amp;AM733</f>
        <v>AustraliaMaria Island Marine Nature ReserveHeliocidaris erythrogrammanative purple urchindensity0.530293007009145Barrett2009</v>
      </c>
    </row>
    <row r="734" spans="1:49" ht="14.25" customHeight="1" x14ac:dyDescent="0.35">
      <c r="A734" s="12">
        <v>733</v>
      </c>
      <c r="B734" s="12" t="s">
        <v>66</v>
      </c>
      <c r="C734" s="12" t="s">
        <v>1298</v>
      </c>
      <c r="D734" s="12" t="s">
        <v>1298</v>
      </c>
      <c r="E734" s="12" t="s">
        <v>136</v>
      </c>
      <c r="F734" s="13" t="s">
        <v>50</v>
      </c>
      <c r="G734" s="13" t="s">
        <v>51</v>
      </c>
      <c r="H734" s="13" t="s">
        <v>52</v>
      </c>
      <c r="I734" s="13" t="s">
        <v>53</v>
      </c>
      <c r="K734" s="17">
        <v>12</v>
      </c>
      <c r="L734" s="14" t="s">
        <v>444</v>
      </c>
      <c r="M734" s="14" t="s">
        <v>1299</v>
      </c>
      <c r="N734" s="14" t="s">
        <v>85</v>
      </c>
      <c r="O734" s="17" t="s">
        <v>86</v>
      </c>
      <c r="P734" s="14"/>
      <c r="Q734" s="14">
        <v>8870.9677419354502</v>
      </c>
      <c r="R734" s="14">
        <v>806.45161290322994</v>
      </c>
      <c r="S734" s="14">
        <v>56451.612903225498</v>
      </c>
      <c r="T734" s="14">
        <v>3225.8064516129198</v>
      </c>
      <c r="U734" s="19">
        <f t="shared" si="50"/>
        <v>0.62857142857142967</v>
      </c>
      <c r="V734" s="41">
        <f t="shared" si="53"/>
        <v>-37.142857142857032</v>
      </c>
      <c r="W734" s="14"/>
      <c r="X734" s="14" t="s">
        <v>56</v>
      </c>
      <c r="Z734" s="14" t="s">
        <v>56</v>
      </c>
      <c r="AA734" s="14"/>
      <c r="AB734" s="14" t="s">
        <v>111</v>
      </c>
      <c r="AC734" s="14">
        <v>1992</v>
      </c>
      <c r="AD734" s="14">
        <v>10</v>
      </c>
      <c r="AE734" s="14"/>
      <c r="AF734" s="14"/>
      <c r="AG734" s="14">
        <v>1992</v>
      </c>
      <c r="AH734" s="14">
        <f t="shared" si="51"/>
        <v>0</v>
      </c>
      <c r="AI734" s="17">
        <f t="shared" si="52"/>
        <v>10</v>
      </c>
      <c r="AJ734" s="14"/>
      <c r="AK734" s="14" t="s">
        <v>58</v>
      </c>
      <c r="AL734" s="13" t="s">
        <v>859</v>
      </c>
      <c r="AM734" s="12">
        <v>2009</v>
      </c>
      <c r="AN734" s="12" t="s">
        <v>860</v>
      </c>
      <c r="AO734" s="12" t="s">
        <v>56</v>
      </c>
      <c r="AP734" s="12" t="s">
        <v>861</v>
      </c>
      <c r="AQ734" s="12" t="s">
        <v>56</v>
      </c>
      <c r="AR734" s="12" t="s">
        <v>58</v>
      </c>
      <c r="AS734" s="12" t="s">
        <v>163</v>
      </c>
      <c r="AT734" s="12"/>
      <c r="AU734" s="45" t="s">
        <v>862</v>
      </c>
      <c r="AV734" s="15"/>
      <c r="AW734" s="12" t="str">
        <f>B734&amp;C734&amp;L734&amp;M734&amp;O734&amp;U734&amp;AL734&amp;AM734</f>
        <v>AustraliaMaria Island Marine Nature ReserveCentrostephanus rodgersiiLongspined Sea Urchindensity0.62857142857143Barrett2009</v>
      </c>
    </row>
    <row r="735" spans="1:49" ht="14.25" customHeight="1" x14ac:dyDescent="0.35">
      <c r="A735" s="12">
        <v>734</v>
      </c>
      <c r="B735" s="15" t="s">
        <v>66</v>
      </c>
      <c r="C735" s="15" t="s">
        <v>1298</v>
      </c>
      <c r="D735" s="15" t="s">
        <v>1298</v>
      </c>
      <c r="E735" s="15" t="s">
        <v>136</v>
      </c>
      <c r="F735" s="16" t="s">
        <v>50</v>
      </c>
      <c r="G735" s="16" t="s">
        <v>51</v>
      </c>
      <c r="H735" s="16" t="s">
        <v>52</v>
      </c>
      <c r="I735" s="16" t="s">
        <v>53</v>
      </c>
      <c r="K735" s="17">
        <v>12</v>
      </c>
      <c r="L735" s="17" t="s">
        <v>1300</v>
      </c>
      <c r="M735" s="17" t="s">
        <v>1301</v>
      </c>
      <c r="N735" s="14" t="s">
        <v>85</v>
      </c>
      <c r="O735" s="17" t="s">
        <v>86</v>
      </c>
      <c r="P735" s="17"/>
      <c r="Q735" s="17">
        <v>109195.40229885049</v>
      </c>
      <c r="R735" s="17">
        <v>11494.252873563251</v>
      </c>
      <c r="S735" s="17">
        <v>57471.264367816002</v>
      </c>
      <c r="T735" s="17">
        <v>17241.379310344801</v>
      </c>
      <c r="U735" s="20">
        <f t="shared" si="50"/>
        <v>2.8499999999999894</v>
      </c>
      <c r="V735" s="41">
        <f t="shared" si="53"/>
        <v>184.99999999999895</v>
      </c>
      <c r="W735" s="17"/>
      <c r="X735" s="17" t="s">
        <v>56</v>
      </c>
      <c r="Z735" s="17" t="s">
        <v>56</v>
      </c>
      <c r="AA735" s="17"/>
      <c r="AB735" s="17" t="s">
        <v>111</v>
      </c>
      <c r="AC735" s="17">
        <v>1992</v>
      </c>
      <c r="AD735" s="17">
        <v>10</v>
      </c>
      <c r="AE735" s="17"/>
      <c r="AF735" s="17"/>
      <c r="AG735" s="17">
        <v>1992</v>
      </c>
      <c r="AH735" s="14">
        <f t="shared" si="51"/>
        <v>0</v>
      </c>
      <c r="AI735" s="17">
        <f t="shared" si="52"/>
        <v>10</v>
      </c>
      <c r="AJ735" s="17"/>
      <c r="AK735" s="17" t="s">
        <v>58</v>
      </c>
      <c r="AL735" s="16" t="s">
        <v>859</v>
      </c>
      <c r="AM735" s="15">
        <v>2009</v>
      </c>
      <c r="AN735" s="15" t="s">
        <v>860</v>
      </c>
      <c r="AO735" s="15" t="s">
        <v>56</v>
      </c>
      <c r="AP735" s="15" t="s">
        <v>861</v>
      </c>
      <c r="AQ735" s="15" t="s">
        <v>56</v>
      </c>
      <c r="AR735" s="15" t="s">
        <v>58</v>
      </c>
      <c r="AS735" s="15" t="s">
        <v>163</v>
      </c>
      <c r="AT735" s="15"/>
      <c r="AU735" s="45" t="s">
        <v>862</v>
      </c>
      <c r="AV735" s="15"/>
      <c r="AW735" s="12" t="str">
        <f>B735&amp;C735&amp;L735&amp;M735&amp;O735&amp;U735&amp;AL735&amp;AM735</f>
        <v>AustraliaMaria Island Marine Nature ReserveGoniocidaris tubariaThorny Sea Urchindensity2.84999999999999Barrett2009</v>
      </c>
    </row>
    <row r="736" spans="1:49" ht="14.25" customHeight="1" x14ac:dyDescent="0.35">
      <c r="A736" s="12">
        <v>735</v>
      </c>
      <c r="B736" s="12" t="s">
        <v>66</v>
      </c>
      <c r="C736" s="12" t="s">
        <v>1298</v>
      </c>
      <c r="D736" s="12" t="s">
        <v>1298</v>
      </c>
      <c r="E736" s="12" t="s">
        <v>136</v>
      </c>
      <c r="F736" s="13" t="s">
        <v>50</v>
      </c>
      <c r="G736" s="13" t="s">
        <v>51</v>
      </c>
      <c r="H736" s="13" t="s">
        <v>52</v>
      </c>
      <c r="I736" s="13" t="s">
        <v>53</v>
      </c>
      <c r="K736" s="14">
        <v>12</v>
      </c>
      <c r="L736" s="14" t="s">
        <v>1302</v>
      </c>
      <c r="M736" s="14" t="s">
        <v>1303</v>
      </c>
      <c r="N736" s="14" t="s">
        <v>85</v>
      </c>
      <c r="O736" s="17" t="s">
        <v>86</v>
      </c>
      <c r="P736" s="14"/>
      <c r="Q736" s="14">
        <v>127192.98245614</v>
      </c>
      <c r="R736" s="14">
        <v>29239.766081871301</v>
      </c>
      <c r="S736" s="14">
        <v>74561.403508771502</v>
      </c>
      <c r="T736" s="14">
        <v>20467.8362573099</v>
      </c>
      <c r="U736" s="19">
        <f t="shared" si="50"/>
        <v>1.1941176470588264</v>
      </c>
      <c r="V736" s="41">
        <f t="shared" si="53"/>
        <v>19.411764705882639</v>
      </c>
      <c r="W736" s="14"/>
      <c r="X736" s="14" t="s">
        <v>56</v>
      </c>
      <c r="Z736" s="14" t="s">
        <v>56</v>
      </c>
      <c r="AA736" s="14"/>
      <c r="AB736" s="14" t="s">
        <v>111</v>
      </c>
      <c r="AC736" s="14">
        <v>1992</v>
      </c>
      <c r="AD736" s="14">
        <v>10</v>
      </c>
      <c r="AE736" s="14"/>
      <c r="AF736" s="14"/>
      <c r="AG736" s="14">
        <v>1992</v>
      </c>
      <c r="AH736" s="14">
        <f t="shared" si="51"/>
        <v>0</v>
      </c>
      <c r="AI736" s="17">
        <f t="shared" si="52"/>
        <v>10</v>
      </c>
      <c r="AJ736" s="14"/>
      <c r="AK736" s="14" t="s">
        <v>58</v>
      </c>
      <c r="AL736" s="13" t="s">
        <v>859</v>
      </c>
      <c r="AM736" s="12">
        <v>2009</v>
      </c>
      <c r="AN736" s="12" t="s">
        <v>860</v>
      </c>
      <c r="AO736" s="12" t="s">
        <v>56</v>
      </c>
      <c r="AP736" s="12" t="s">
        <v>861</v>
      </c>
      <c r="AQ736" s="12" t="s">
        <v>56</v>
      </c>
      <c r="AR736" s="12" t="s">
        <v>58</v>
      </c>
      <c r="AS736" s="12" t="s">
        <v>163</v>
      </c>
      <c r="AT736" s="12"/>
      <c r="AU736" s="45" t="s">
        <v>862</v>
      </c>
      <c r="AV736" s="15"/>
      <c r="AW736" s="12" t="str">
        <f>B736&amp;C736&amp;L736&amp;M736&amp;O736&amp;U736&amp;AL736&amp;AM736</f>
        <v>AustraliaMaria Island Marine Nature ReserveTosia australisSouthern Biscuit Stardensity1.19411764705883Barrett2009</v>
      </c>
    </row>
    <row r="737" spans="1:49" ht="14.25" customHeight="1" x14ac:dyDescent="0.35">
      <c r="A737" s="12">
        <v>736</v>
      </c>
      <c r="B737" s="12" t="s">
        <v>66</v>
      </c>
      <c r="C737" s="12" t="s">
        <v>1298</v>
      </c>
      <c r="D737" s="12" t="s">
        <v>1298</v>
      </c>
      <c r="E737" s="12" t="s">
        <v>136</v>
      </c>
      <c r="F737" s="13" t="s">
        <v>50</v>
      </c>
      <c r="G737" s="13" t="s">
        <v>51</v>
      </c>
      <c r="H737" s="13" t="s">
        <v>52</v>
      </c>
      <c r="I737" s="13" t="s">
        <v>53</v>
      </c>
      <c r="K737" s="14">
        <v>12</v>
      </c>
      <c r="L737" s="14" t="s">
        <v>1304</v>
      </c>
      <c r="M737" s="14" t="s">
        <v>1305</v>
      </c>
      <c r="N737" s="14" t="s">
        <v>85</v>
      </c>
      <c r="O737" s="17" t="s">
        <v>86</v>
      </c>
      <c r="P737" s="14"/>
      <c r="Q737" s="14">
        <v>44651.16279069765</v>
      </c>
      <c r="R737" s="14">
        <v>5581.3953488371508</v>
      </c>
      <c r="S737" s="14">
        <v>15348.837209302299</v>
      </c>
      <c r="T737" s="14">
        <v>7906.9767441859995</v>
      </c>
      <c r="U737" s="19">
        <f t="shared" si="50"/>
        <v>4.1212121212121451</v>
      </c>
      <c r="V737" s="41">
        <f t="shared" si="53"/>
        <v>312.12121212121451</v>
      </c>
      <c r="W737" s="14"/>
      <c r="X737" s="14" t="s">
        <v>56</v>
      </c>
      <c r="Z737" s="14" t="s">
        <v>56</v>
      </c>
      <c r="AA737" s="14"/>
      <c r="AB737" s="14" t="s">
        <v>111</v>
      </c>
      <c r="AC737" s="14">
        <v>1992</v>
      </c>
      <c r="AD737" s="14">
        <v>10</v>
      </c>
      <c r="AE737" s="14"/>
      <c r="AF737" s="14"/>
      <c r="AG737" s="14">
        <v>1992</v>
      </c>
      <c r="AH737" s="14">
        <f t="shared" si="51"/>
        <v>0</v>
      </c>
      <c r="AI737" s="17">
        <f t="shared" si="52"/>
        <v>10</v>
      </c>
      <c r="AJ737" s="14"/>
      <c r="AK737" s="14" t="s">
        <v>58</v>
      </c>
      <c r="AL737" s="13" t="s">
        <v>859</v>
      </c>
      <c r="AM737" s="12">
        <v>2009</v>
      </c>
      <c r="AN737" s="12" t="s">
        <v>860</v>
      </c>
      <c r="AO737" s="12" t="s">
        <v>56</v>
      </c>
      <c r="AP737" s="12" t="s">
        <v>861</v>
      </c>
      <c r="AQ737" s="12" t="s">
        <v>56</v>
      </c>
      <c r="AR737" s="12" t="s">
        <v>58</v>
      </c>
      <c r="AS737" s="12" t="s">
        <v>163</v>
      </c>
      <c r="AT737" s="12"/>
      <c r="AU737" s="45" t="s">
        <v>862</v>
      </c>
      <c r="AV737" s="15"/>
      <c r="AW737" s="12" t="str">
        <f>B737&amp;C737&amp;L737&amp;M737&amp;O737&amp;U737&amp;AL737&amp;AM737</f>
        <v>AustraliaMaria Island Marine Nature ReserveNectria ocellataOcellate Seastardensity4.12121212121215Barrett2009</v>
      </c>
    </row>
    <row r="738" spans="1:49" ht="14.25" customHeight="1" x14ac:dyDescent="0.35">
      <c r="A738" s="12">
        <v>737</v>
      </c>
      <c r="B738" s="12" t="s">
        <v>66</v>
      </c>
      <c r="C738" s="12" t="s">
        <v>1298</v>
      </c>
      <c r="D738" s="12" t="s">
        <v>1298</v>
      </c>
      <c r="E738" s="12" t="s">
        <v>136</v>
      </c>
      <c r="F738" s="13" t="s">
        <v>50</v>
      </c>
      <c r="G738" s="13" t="s">
        <v>51</v>
      </c>
      <c r="H738" s="13" t="s">
        <v>52</v>
      </c>
      <c r="I738" s="13" t="s">
        <v>53</v>
      </c>
      <c r="K738" s="17">
        <v>12</v>
      </c>
      <c r="L738" s="14" t="s">
        <v>1306</v>
      </c>
      <c r="M738" s="14" t="s">
        <v>1307</v>
      </c>
      <c r="N738" s="14" t="s">
        <v>85</v>
      </c>
      <c r="O738" s="17" t="s">
        <v>86</v>
      </c>
      <c r="P738" s="14"/>
      <c r="Q738" s="14">
        <v>26440.677966101699</v>
      </c>
      <c r="R738" s="14">
        <v>18305.084745762702</v>
      </c>
      <c r="S738" s="14">
        <v>18305.084745762702</v>
      </c>
      <c r="T738" s="14">
        <v>13728.813559321999</v>
      </c>
      <c r="U738" s="19">
        <f t="shared" si="50"/>
        <v>1.0833333333333319</v>
      </c>
      <c r="V738" s="41">
        <f t="shared" si="53"/>
        <v>8.3333333333331936</v>
      </c>
      <c r="W738" s="14"/>
      <c r="X738" s="14" t="s">
        <v>56</v>
      </c>
      <c r="Z738" s="14" t="s">
        <v>56</v>
      </c>
      <c r="AA738" s="14"/>
      <c r="AB738" s="14" t="s">
        <v>111</v>
      </c>
      <c r="AC738" s="14">
        <v>1992</v>
      </c>
      <c r="AD738" s="14">
        <v>10</v>
      </c>
      <c r="AE738" s="14"/>
      <c r="AF738" s="14"/>
      <c r="AG738" s="14">
        <v>1992</v>
      </c>
      <c r="AH738" s="14">
        <f t="shared" si="51"/>
        <v>0</v>
      </c>
      <c r="AI738" s="17">
        <f t="shared" si="52"/>
        <v>10</v>
      </c>
      <c r="AJ738" s="14"/>
      <c r="AK738" s="14" t="s">
        <v>58</v>
      </c>
      <c r="AL738" s="13" t="s">
        <v>859</v>
      </c>
      <c r="AM738" s="12">
        <v>2009</v>
      </c>
      <c r="AN738" s="12" t="s">
        <v>860</v>
      </c>
      <c r="AO738" s="12" t="s">
        <v>56</v>
      </c>
      <c r="AP738" s="12" t="s">
        <v>861</v>
      </c>
      <c r="AQ738" s="12" t="s">
        <v>56</v>
      </c>
      <c r="AR738" s="12" t="s">
        <v>58</v>
      </c>
      <c r="AS738" s="12" t="s">
        <v>163</v>
      </c>
      <c r="AT738" s="12"/>
      <c r="AU738" s="45" t="s">
        <v>862</v>
      </c>
      <c r="AV738" s="15"/>
      <c r="AW738" s="12" t="str">
        <f>B738&amp;C738&amp;L738&amp;M738&amp;O738&amp;U738&amp;AL738&amp;AM738</f>
        <v>AustraliaMaria Island Marine Nature ReservePetricia vernicinaVelvet Stardensity1.08333333333333Barrett2009</v>
      </c>
    </row>
    <row r="739" spans="1:49" ht="14.25" customHeight="1" x14ac:dyDescent="0.35">
      <c r="A739" s="12">
        <v>738</v>
      </c>
      <c r="B739" s="15" t="s">
        <v>66</v>
      </c>
      <c r="C739" s="15" t="s">
        <v>1298</v>
      </c>
      <c r="D739" s="15" t="s">
        <v>1298</v>
      </c>
      <c r="E739" s="15" t="s">
        <v>136</v>
      </c>
      <c r="F739" s="16" t="s">
        <v>50</v>
      </c>
      <c r="G739" s="16" t="s">
        <v>51</v>
      </c>
      <c r="H739" s="16" t="s">
        <v>52</v>
      </c>
      <c r="I739" s="16" t="s">
        <v>53</v>
      </c>
      <c r="K739" s="17">
        <v>12</v>
      </c>
      <c r="L739" s="17" t="s">
        <v>863</v>
      </c>
      <c r="M739" s="17" t="s">
        <v>864</v>
      </c>
      <c r="N739" s="14" t="s">
        <v>85</v>
      </c>
      <c r="O739" s="17" t="s">
        <v>86</v>
      </c>
      <c r="P739" s="17"/>
      <c r="Q739" s="17">
        <v>1637931.034482755</v>
      </c>
      <c r="R739" s="17">
        <v>310344.82758620649</v>
      </c>
      <c r="S739" s="17">
        <v>1844827.5862068951</v>
      </c>
      <c r="T739" s="17">
        <v>1293103.4482758599</v>
      </c>
      <c r="U739" s="20">
        <f t="shared" si="50"/>
        <v>3.6993769470404922</v>
      </c>
      <c r="V739" s="41">
        <f t="shared" si="53"/>
        <v>269.93769470404925</v>
      </c>
      <c r="W739" s="17"/>
      <c r="X739" s="17" t="s">
        <v>56</v>
      </c>
      <c r="Z739" s="17" t="s">
        <v>56</v>
      </c>
      <c r="AA739" s="17"/>
      <c r="AB739" s="17" t="s">
        <v>111</v>
      </c>
      <c r="AC739" s="17">
        <v>1992</v>
      </c>
      <c r="AD739" s="17">
        <v>10</v>
      </c>
      <c r="AE739" s="17"/>
      <c r="AF739" s="17"/>
      <c r="AG739" s="17">
        <v>1992</v>
      </c>
      <c r="AH739" s="14">
        <f t="shared" si="51"/>
        <v>0</v>
      </c>
      <c r="AI739" s="17">
        <f t="shared" si="52"/>
        <v>10</v>
      </c>
      <c r="AJ739" s="17"/>
      <c r="AK739" s="17" t="s">
        <v>58</v>
      </c>
      <c r="AL739" s="16" t="s">
        <v>859</v>
      </c>
      <c r="AM739" s="15">
        <v>2009</v>
      </c>
      <c r="AN739" s="15" t="s">
        <v>860</v>
      </c>
      <c r="AO739" s="15" t="s">
        <v>56</v>
      </c>
      <c r="AP739" s="15" t="s">
        <v>861</v>
      </c>
      <c r="AQ739" s="15" t="s">
        <v>56</v>
      </c>
      <c r="AR739" s="15" t="s">
        <v>58</v>
      </c>
      <c r="AS739" s="15" t="s">
        <v>163</v>
      </c>
      <c r="AT739" s="15"/>
      <c r="AU739" s="45" t="s">
        <v>862</v>
      </c>
      <c r="AV739" s="15"/>
      <c r="AW739" s="12" t="str">
        <f>B739&amp;C739&amp;L739&amp;M739&amp;O739&amp;U739&amp;AL739&amp;AM739</f>
        <v>AustraliaMaria Island Marine Nature ReserveCenolia trichopteraFeather Stardensity3.69937694704049Barrett2009</v>
      </c>
    </row>
    <row r="740" spans="1:49" ht="14.25" customHeight="1" x14ac:dyDescent="0.35">
      <c r="A740" s="12">
        <v>739</v>
      </c>
      <c r="B740" s="12" t="s">
        <v>66</v>
      </c>
      <c r="C740" s="12" t="s">
        <v>1298</v>
      </c>
      <c r="D740" s="12" t="s">
        <v>1298</v>
      </c>
      <c r="E740" s="12" t="s">
        <v>136</v>
      </c>
      <c r="F740" s="13" t="s">
        <v>50</v>
      </c>
      <c r="G740" s="13" t="s">
        <v>51</v>
      </c>
      <c r="H740" s="13" t="s">
        <v>52</v>
      </c>
      <c r="I740" s="13" t="s">
        <v>53</v>
      </c>
      <c r="K740" s="14">
        <v>12</v>
      </c>
      <c r="L740" s="14" t="s">
        <v>443</v>
      </c>
      <c r="M740" s="14" t="s">
        <v>866</v>
      </c>
      <c r="N740" s="14" t="s">
        <v>85</v>
      </c>
      <c r="O740" s="17" t="s">
        <v>86</v>
      </c>
      <c r="P740" s="14"/>
      <c r="Q740" s="14">
        <v>209302.32558139501</v>
      </c>
      <c r="R740" s="14">
        <v>345930.23255813948</v>
      </c>
      <c r="S740" s="14">
        <v>148255.81395348851</v>
      </c>
      <c r="T740" s="14">
        <v>127906.976744186</v>
      </c>
      <c r="U740" s="19">
        <f t="shared" si="50"/>
        <v>0.52199703410775933</v>
      </c>
      <c r="V740" s="41">
        <f t="shared" si="53"/>
        <v>-47.800296589224068</v>
      </c>
      <c r="W740" s="14"/>
      <c r="X740" s="14" t="s">
        <v>56</v>
      </c>
      <c r="Z740" s="14" t="s">
        <v>56</v>
      </c>
      <c r="AA740" s="14"/>
      <c r="AB740" s="14" t="s">
        <v>111</v>
      </c>
      <c r="AC740" s="14">
        <v>1992</v>
      </c>
      <c r="AD740" s="14">
        <v>10</v>
      </c>
      <c r="AE740" s="14"/>
      <c r="AF740" s="14"/>
      <c r="AG740" s="14">
        <v>1992</v>
      </c>
      <c r="AH740" s="14">
        <f t="shared" si="51"/>
        <v>0</v>
      </c>
      <c r="AI740" s="17">
        <f t="shared" si="52"/>
        <v>10</v>
      </c>
      <c r="AJ740" s="14"/>
      <c r="AK740" s="14" t="s">
        <v>58</v>
      </c>
      <c r="AL740" s="13" t="s">
        <v>859</v>
      </c>
      <c r="AM740" s="12">
        <v>2009</v>
      </c>
      <c r="AN740" s="12" t="s">
        <v>860</v>
      </c>
      <c r="AO740" s="12" t="s">
        <v>56</v>
      </c>
      <c r="AP740" s="12" t="s">
        <v>861</v>
      </c>
      <c r="AQ740" s="12" t="s">
        <v>56</v>
      </c>
      <c r="AR740" s="12" t="s">
        <v>58</v>
      </c>
      <c r="AS740" s="12" t="s">
        <v>163</v>
      </c>
      <c r="AT740" s="12"/>
      <c r="AU740" s="45" t="s">
        <v>862</v>
      </c>
      <c r="AV740" s="15"/>
      <c r="AW740" s="12" t="str">
        <f>B740&amp;C740&amp;L740&amp;M740&amp;O740&amp;U740&amp;AL740&amp;AM740</f>
        <v>AustraliaMaria Island Marine Nature ReserveHaliotis rubraBlacklip Abalonedensity0.521997034107759Barrett2009</v>
      </c>
    </row>
    <row r="741" spans="1:49" ht="14.25" customHeight="1" x14ac:dyDescent="0.35">
      <c r="A741" s="12">
        <v>740</v>
      </c>
      <c r="B741" s="12" t="s">
        <v>66</v>
      </c>
      <c r="C741" s="12" t="s">
        <v>1298</v>
      </c>
      <c r="D741" s="12" t="s">
        <v>1298</v>
      </c>
      <c r="E741" s="12" t="s">
        <v>136</v>
      </c>
      <c r="F741" s="13" t="s">
        <v>50</v>
      </c>
      <c r="G741" s="13" t="s">
        <v>51</v>
      </c>
      <c r="H741" s="13" t="s">
        <v>52</v>
      </c>
      <c r="I741" s="13" t="s">
        <v>53</v>
      </c>
      <c r="K741" s="14">
        <v>12</v>
      </c>
      <c r="L741" s="14" t="s">
        <v>867</v>
      </c>
      <c r="M741" s="14" t="s">
        <v>868</v>
      </c>
      <c r="N741" s="14" t="s">
        <v>85</v>
      </c>
      <c r="O741" s="17" t="s">
        <v>86</v>
      </c>
      <c r="P741" s="14"/>
      <c r="Q741" s="14">
        <v>196220.93023255799</v>
      </c>
      <c r="R741" s="14">
        <v>0</v>
      </c>
      <c r="S741" s="14">
        <v>79941.860465115999</v>
      </c>
      <c r="T741" s="14">
        <v>72674.418604650506</v>
      </c>
      <c r="U741" s="19" t="str">
        <f t="shared" si="50"/>
        <v>N/A</v>
      </c>
      <c r="V741" s="41" t="str">
        <f t="shared" si="53"/>
        <v>N/A</v>
      </c>
      <c r="W741" s="14"/>
      <c r="X741" s="14" t="s">
        <v>56</v>
      </c>
      <c r="Z741" s="14" t="s">
        <v>56</v>
      </c>
      <c r="AA741" s="14"/>
      <c r="AB741" s="14" t="s">
        <v>111</v>
      </c>
      <c r="AC741" s="14">
        <v>1992</v>
      </c>
      <c r="AD741" s="14">
        <v>10</v>
      </c>
      <c r="AE741" s="14"/>
      <c r="AF741" s="14"/>
      <c r="AG741" s="14">
        <v>1992</v>
      </c>
      <c r="AH741" s="14">
        <f t="shared" si="51"/>
        <v>0</v>
      </c>
      <c r="AI741" s="17">
        <f t="shared" si="52"/>
        <v>10</v>
      </c>
      <c r="AJ741" s="14"/>
      <c r="AK741" s="14" t="s">
        <v>58</v>
      </c>
      <c r="AL741" s="13" t="s">
        <v>859</v>
      </c>
      <c r="AM741" s="12">
        <v>2009</v>
      </c>
      <c r="AN741" s="12" t="s">
        <v>860</v>
      </c>
      <c r="AO741" s="12" t="s">
        <v>56</v>
      </c>
      <c r="AP741" s="12" t="s">
        <v>861</v>
      </c>
      <c r="AQ741" s="12" t="s">
        <v>56</v>
      </c>
      <c r="AR741" s="12" t="s">
        <v>58</v>
      </c>
      <c r="AS741" s="12" t="s">
        <v>163</v>
      </c>
      <c r="AT741" s="12"/>
      <c r="AU741" s="45" t="s">
        <v>862</v>
      </c>
      <c r="AV741" s="15"/>
      <c r="AW741" s="12" t="str">
        <f>B741&amp;C741&amp;L741&amp;M741&amp;O741&amp;U741&amp;AL741&amp;AM741</f>
        <v>AustraliaMaria Island Marine Nature ReserveTurbo undulatusTurban ShelldensityN/ABarrett2009</v>
      </c>
    </row>
    <row r="742" spans="1:49" ht="14.25" customHeight="1" x14ac:dyDescent="0.35">
      <c r="A742" s="12">
        <v>741</v>
      </c>
      <c r="B742" s="12" t="s">
        <v>66</v>
      </c>
      <c r="C742" s="12" t="s">
        <v>1298</v>
      </c>
      <c r="D742" s="15" t="s">
        <v>1298</v>
      </c>
      <c r="E742" s="12" t="s">
        <v>136</v>
      </c>
      <c r="F742" s="13" t="s">
        <v>50</v>
      </c>
      <c r="G742" s="13" t="s">
        <v>51</v>
      </c>
      <c r="H742" s="13" t="s">
        <v>52</v>
      </c>
      <c r="I742" s="13" t="s">
        <v>53</v>
      </c>
      <c r="K742" s="14">
        <v>12</v>
      </c>
      <c r="L742" s="14" t="s">
        <v>566</v>
      </c>
      <c r="M742" s="14" t="s">
        <v>858</v>
      </c>
      <c r="N742" s="14" t="s">
        <v>85</v>
      </c>
      <c r="O742" s="17" t="s">
        <v>86</v>
      </c>
      <c r="P742" s="14"/>
      <c r="Q742" s="14">
        <v>30635.838150288997</v>
      </c>
      <c r="R742" s="14">
        <v>12138.728323699399</v>
      </c>
      <c r="S742" s="14">
        <v>17919.075144508599</v>
      </c>
      <c r="T742" s="14">
        <v>53757.225433526</v>
      </c>
      <c r="U742" s="19">
        <f t="shared" si="50"/>
        <v>7.5714285714286085</v>
      </c>
      <c r="V742" s="41">
        <f t="shared" si="53"/>
        <v>657.14285714286086</v>
      </c>
      <c r="W742" s="14"/>
      <c r="X742" s="14" t="s">
        <v>56</v>
      </c>
      <c r="Z742" s="14" t="s">
        <v>56</v>
      </c>
      <c r="AA742" s="14"/>
      <c r="AB742" s="14" t="s">
        <v>111</v>
      </c>
      <c r="AC742" s="14">
        <v>1992</v>
      </c>
      <c r="AD742" s="14">
        <v>10</v>
      </c>
      <c r="AE742" s="14"/>
      <c r="AF742" s="14"/>
      <c r="AG742" s="14">
        <v>1992</v>
      </c>
      <c r="AH742" s="14">
        <f t="shared" si="51"/>
        <v>0</v>
      </c>
      <c r="AI742" s="17">
        <f t="shared" si="52"/>
        <v>10</v>
      </c>
      <c r="AJ742" s="14"/>
      <c r="AK742" s="14" t="s">
        <v>58</v>
      </c>
      <c r="AL742" s="13" t="s">
        <v>859</v>
      </c>
      <c r="AM742" s="12">
        <v>2009</v>
      </c>
      <c r="AN742" s="12" t="s">
        <v>860</v>
      </c>
      <c r="AO742" s="12" t="s">
        <v>56</v>
      </c>
      <c r="AP742" s="12" t="s">
        <v>861</v>
      </c>
      <c r="AQ742" s="12" t="s">
        <v>56</v>
      </c>
      <c r="AR742" s="12" t="s">
        <v>58</v>
      </c>
      <c r="AS742" s="12" t="s">
        <v>163</v>
      </c>
      <c r="AT742" s="12"/>
      <c r="AU742" s="45" t="s">
        <v>862</v>
      </c>
      <c r="AV742" s="15"/>
      <c r="AW742" s="12" t="str">
        <f>B742&amp;C742&amp;L742&amp;M742&amp;O742&amp;U742&amp;AL742&amp;AM742</f>
        <v>AustraliaMaria Island Marine Nature ReserveJasus edwardsiiSouthern Rock Lobsterdensity7.57142857142861Barrett2009</v>
      </c>
    </row>
    <row r="743" spans="1:49" ht="14.25" customHeight="1" x14ac:dyDescent="0.35">
      <c r="A743" s="12">
        <v>742</v>
      </c>
      <c r="B743" s="12" t="s">
        <v>66</v>
      </c>
      <c r="C743" s="12" t="s">
        <v>1298</v>
      </c>
      <c r="D743" s="12" t="s">
        <v>1298</v>
      </c>
      <c r="E743" s="12" t="s">
        <v>136</v>
      </c>
      <c r="F743" s="13" t="s">
        <v>50</v>
      </c>
      <c r="G743" s="13" t="s">
        <v>51</v>
      </c>
      <c r="H743" s="13" t="s">
        <v>52</v>
      </c>
      <c r="I743" s="13" t="s">
        <v>53</v>
      </c>
      <c r="K743" s="14">
        <v>12</v>
      </c>
      <c r="L743" s="14" t="s">
        <v>1308</v>
      </c>
      <c r="M743" s="14" t="s">
        <v>1309</v>
      </c>
      <c r="N743" s="14" t="s">
        <v>85</v>
      </c>
      <c r="O743" s="17" t="s">
        <v>86</v>
      </c>
      <c r="P743" s="14"/>
      <c r="Q743" s="14">
        <v>28187.919463087197</v>
      </c>
      <c r="R743" s="14">
        <v>7651.0067114093508</v>
      </c>
      <c r="S743" s="14">
        <v>56375.838926174001</v>
      </c>
      <c r="T743" s="14">
        <v>18523.489932885899</v>
      </c>
      <c r="U743" s="19">
        <f t="shared" si="50"/>
        <v>1.2105263157894888</v>
      </c>
      <c r="V743" s="41">
        <f t="shared" si="53"/>
        <v>21.052631578948876</v>
      </c>
      <c r="W743" s="14"/>
      <c r="X743" s="14" t="s">
        <v>56</v>
      </c>
      <c r="Z743" s="14" t="s">
        <v>56</v>
      </c>
      <c r="AA743" s="14"/>
      <c r="AB743" s="14" t="s">
        <v>111</v>
      </c>
      <c r="AC743" s="14">
        <v>1992</v>
      </c>
      <c r="AD743" s="14">
        <v>10</v>
      </c>
      <c r="AE743" s="14"/>
      <c r="AF743" s="14"/>
      <c r="AG743" s="14">
        <v>1992</v>
      </c>
      <c r="AH743" s="14">
        <f t="shared" si="51"/>
        <v>0</v>
      </c>
      <c r="AI743" s="17">
        <f t="shared" si="52"/>
        <v>10</v>
      </c>
      <c r="AJ743" s="14"/>
      <c r="AK743" s="14" t="s">
        <v>58</v>
      </c>
      <c r="AL743" s="13" t="s">
        <v>859</v>
      </c>
      <c r="AM743" s="12">
        <v>2009</v>
      </c>
      <c r="AN743" s="12" t="s">
        <v>860</v>
      </c>
      <c r="AO743" s="12" t="s">
        <v>56</v>
      </c>
      <c r="AP743" s="12" t="s">
        <v>861</v>
      </c>
      <c r="AQ743" s="12" t="s">
        <v>56</v>
      </c>
      <c r="AR743" s="12" t="s">
        <v>58</v>
      </c>
      <c r="AS743" s="12" t="s">
        <v>163</v>
      </c>
      <c r="AT743" s="12"/>
      <c r="AU743" s="45" t="s">
        <v>862</v>
      </c>
      <c r="AV743" s="15"/>
      <c r="AW743" s="12" t="str">
        <f>B743&amp;C743&amp;L743&amp;M743&amp;O743&amp;U743&amp;AL743&amp;AM743</f>
        <v>AustraliaMaria Island Marine Nature ReservePlagusia chabrusRed Bait Crabdensity1.21052631578949Barrett2009</v>
      </c>
    </row>
    <row r="744" spans="1:49" ht="14.25" customHeight="1" x14ac:dyDescent="0.35">
      <c r="A744" s="12">
        <v>743</v>
      </c>
      <c r="B744" s="12" t="s">
        <v>66</v>
      </c>
      <c r="C744" s="12" t="s">
        <v>1298</v>
      </c>
      <c r="D744" s="12" t="s">
        <v>1298</v>
      </c>
      <c r="E744" s="12" t="s">
        <v>136</v>
      </c>
      <c r="F744" s="13" t="s">
        <v>50</v>
      </c>
      <c r="G744" s="13" t="s">
        <v>51</v>
      </c>
      <c r="H744" s="13" t="s">
        <v>52</v>
      </c>
      <c r="I744" s="13" t="s">
        <v>53</v>
      </c>
      <c r="K744" s="14">
        <v>12</v>
      </c>
      <c r="L744" s="14" t="s">
        <v>1310</v>
      </c>
      <c r="M744" s="14" t="s">
        <v>1311</v>
      </c>
      <c r="N744" s="14" t="s">
        <v>85</v>
      </c>
      <c r="O744" s="17" t="s">
        <v>86</v>
      </c>
      <c r="P744" s="14"/>
      <c r="Q744" s="14">
        <v>25433.526011560651</v>
      </c>
      <c r="R744" s="14">
        <v>9479.7687861271497</v>
      </c>
      <c r="S744" s="14">
        <v>16878.612716763</v>
      </c>
      <c r="T744" s="14">
        <v>7398.8439306358005</v>
      </c>
      <c r="U744" s="19">
        <f t="shared" si="50"/>
        <v>1.1760775141997941</v>
      </c>
      <c r="V744" s="41">
        <f t="shared" si="53"/>
        <v>17.607751419979412</v>
      </c>
      <c r="W744" s="14"/>
      <c r="X744" s="14" t="s">
        <v>56</v>
      </c>
      <c r="Z744" s="14" t="s">
        <v>56</v>
      </c>
      <c r="AA744" s="14"/>
      <c r="AB744" s="14" t="s">
        <v>111</v>
      </c>
      <c r="AC744" s="14">
        <v>1992</v>
      </c>
      <c r="AD744" s="14">
        <v>10</v>
      </c>
      <c r="AE744" s="14"/>
      <c r="AF744" s="14"/>
      <c r="AG744" s="14">
        <v>1992</v>
      </c>
      <c r="AH744" s="14">
        <f t="shared" si="51"/>
        <v>0</v>
      </c>
      <c r="AI744" s="17">
        <f t="shared" si="52"/>
        <v>10</v>
      </c>
      <c r="AJ744" s="14"/>
      <c r="AK744" s="14" t="s">
        <v>58</v>
      </c>
      <c r="AL744" s="13" t="s">
        <v>859</v>
      </c>
      <c r="AM744" s="12">
        <v>2009</v>
      </c>
      <c r="AN744" s="12" t="s">
        <v>860</v>
      </c>
      <c r="AO744" s="12" t="s">
        <v>56</v>
      </c>
      <c r="AP744" s="12" t="s">
        <v>861</v>
      </c>
      <c r="AQ744" s="12" t="s">
        <v>56</v>
      </c>
      <c r="AR744" s="12" t="s">
        <v>58</v>
      </c>
      <c r="AS744" s="12" t="s">
        <v>163</v>
      </c>
      <c r="AT744" s="12"/>
      <c r="AU744" s="45" t="s">
        <v>862</v>
      </c>
      <c r="AV744" s="15"/>
      <c r="AW744" s="12" t="str">
        <f>B744&amp;C744&amp;L744&amp;M744&amp;O744&amp;U744&amp;AL744&amp;AM744</f>
        <v>AustraliaMaria Island Marine Nature ReserveTrizopagurus strigimanusRasping Hermit Crabdensity1.17607751419979Barrett2009</v>
      </c>
    </row>
    <row r="745" spans="1:49" ht="14.25" customHeight="1" x14ac:dyDescent="0.35">
      <c r="A745" s="12">
        <v>744</v>
      </c>
      <c r="B745" s="12" t="s">
        <v>66</v>
      </c>
      <c r="C745" s="12" t="s">
        <v>1983</v>
      </c>
      <c r="D745" s="12" t="s">
        <v>1983</v>
      </c>
      <c r="E745" s="12" t="s">
        <v>136</v>
      </c>
      <c r="F745" s="13" t="s">
        <v>50</v>
      </c>
      <c r="G745" s="13" t="s">
        <v>51</v>
      </c>
      <c r="H745" s="13" t="s">
        <v>52</v>
      </c>
      <c r="I745" s="13" t="s">
        <v>53</v>
      </c>
      <c r="J745" s="14">
        <v>0.72</v>
      </c>
      <c r="K745" s="14"/>
      <c r="L745" s="14" t="s">
        <v>1984</v>
      </c>
      <c r="M745" s="14" t="s">
        <v>1985</v>
      </c>
      <c r="N745" s="14" t="s">
        <v>85</v>
      </c>
      <c r="O745" s="17" t="s">
        <v>86</v>
      </c>
      <c r="P745" s="14"/>
      <c r="Q745" s="14">
        <v>126136.36363636352</v>
      </c>
      <c r="R745" s="14">
        <v>17045.454545454551</v>
      </c>
      <c r="S745" s="14">
        <v>23863.636363636349</v>
      </c>
      <c r="T745" s="14">
        <v>2272.7272727272448</v>
      </c>
      <c r="U745" s="19">
        <f t="shared" si="50"/>
        <v>0.7047619047618956</v>
      </c>
      <c r="V745" s="41">
        <f t="shared" si="53"/>
        <v>-29.523809523810442</v>
      </c>
      <c r="W745" s="14"/>
      <c r="X745" s="14" t="s">
        <v>56</v>
      </c>
      <c r="Z745" s="14" t="s">
        <v>56</v>
      </c>
      <c r="AA745" s="14"/>
      <c r="AB745" s="14" t="s">
        <v>111</v>
      </c>
      <c r="AC745" s="14">
        <v>1992</v>
      </c>
      <c r="AD745" s="14">
        <v>10</v>
      </c>
      <c r="AE745" s="14"/>
      <c r="AF745" s="14"/>
      <c r="AG745" s="14">
        <v>1992</v>
      </c>
      <c r="AH745" s="14">
        <f t="shared" si="51"/>
        <v>0</v>
      </c>
      <c r="AI745" s="17">
        <f t="shared" si="52"/>
        <v>10</v>
      </c>
      <c r="AJ745" s="14"/>
      <c r="AK745" s="14" t="s">
        <v>58</v>
      </c>
      <c r="AL745" s="13" t="s">
        <v>859</v>
      </c>
      <c r="AM745" s="12">
        <v>2009</v>
      </c>
      <c r="AN745" s="12" t="s">
        <v>860</v>
      </c>
      <c r="AO745" s="12" t="s">
        <v>56</v>
      </c>
      <c r="AP745" s="12" t="s">
        <v>861</v>
      </c>
      <c r="AQ745" s="12" t="s">
        <v>56</v>
      </c>
      <c r="AR745" s="12" t="s">
        <v>58</v>
      </c>
      <c r="AS745" s="12" t="s">
        <v>163</v>
      </c>
      <c r="AT745" s="12"/>
      <c r="AU745" s="45" t="s">
        <v>862</v>
      </c>
      <c r="AV745" s="15"/>
      <c r="AW745" s="12" t="str">
        <f>B745&amp;C745&amp;L745&amp;M745&amp;O745&amp;U745&amp;AL745&amp;AM745</f>
        <v>AustraliaTinderbox Marine Nature ReserveHolopneustes inflatusInflated Egg Urchindensity0.704761904761896Barrett2009</v>
      </c>
    </row>
    <row r="746" spans="1:49" ht="14.25" customHeight="1" x14ac:dyDescent="0.35">
      <c r="A746" s="12">
        <v>745</v>
      </c>
      <c r="B746" s="12" t="s">
        <v>66</v>
      </c>
      <c r="C746" s="12" t="s">
        <v>1983</v>
      </c>
      <c r="D746" s="15" t="s">
        <v>1983</v>
      </c>
      <c r="E746" s="12" t="s">
        <v>136</v>
      </c>
      <c r="F746" s="13" t="s">
        <v>50</v>
      </c>
      <c r="G746" s="13" t="s">
        <v>51</v>
      </c>
      <c r="H746" s="13" t="s">
        <v>52</v>
      </c>
      <c r="I746" s="13" t="s">
        <v>53</v>
      </c>
      <c r="J746" s="14">
        <v>0.72</v>
      </c>
      <c r="K746" s="14"/>
      <c r="L746" s="14" t="s">
        <v>865</v>
      </c>
      <c r="M746" s="14" t="s">
        <v>2781</v>
      </c>
      <c r="N746" s="14" t="s">
        <v>85</v>
      </c>
      <c r="O746" s="17" t="s">
        <v>86</v>
      </c>
      <c r="P746" s="14"/>
      <c r="Q746" s="14">
        <v>1425287.356321835</v>
      </c>
      <c r="R746" s="14">
        <v>2896551.7241379302</v>
      </c>
      <c r="S746" s="14">
        <v>1356321.839080455</v>
      </c>
      <c r="T746" s="14">
        <v>1494252.8735632149</v>
      </c>
      <c r="U746" s="19">
        <f t="shared" si="50"/>
        <v>0.54210384718859217</v>
      </c>
      <c r="V746" s="41">
        <f t="shared" si="53"/>
        <v>-45.789615281140783</v>
      </c>
      <c r="W746" s="14"/>
      <c r="X746" s="14" t="s">
        <v>56</v>
      </c>
      <c r="Z746" s="14" t="s">
        <v>56</v>
      </c>
      <c r="AA746" s="14"/>
      <c r="AB746" s="14" t="s">
        <v>111</v>
      </c>
      <c r="AC746" s="14">
        <v>1992</v>
      </c>
      <c r="AD746" s="14">
        <v>10</v>
      </c>
      <c r="AE746" s="14"/>
      <c r="AF746" s="14"/>
      <c r="AG746" s="14">
        <v>1992</v>
      </c>
      <c r="AH746" s="14">
        <f t="shared" si="51"/>
        <v>0</v>
      </c>
      <c r="AI746" s="17">
        <f t="shared" si="52"/>
        <v>10</v>
      </c>
      <c r="AJ746" s="14"/>
      <c r="AK746" s="14" t="s">
        <v>58</v>
      </c>
      <c r="AL746" s="13" t="s">
        <v>859</v>
      </c>
      <c r="AM746" s="12">
        <v>2009</v>
      </c>
      <c r="AN746" s="12" t="s">
        <v>860</v>
      </c>
      <c r="AO746" s="12" t="s">
        <v>56</v>
      </c>
      <c r="AP746" s="12" t="s">
        <v>861</v>
      </c>
      <c r="AQ746" s="12" t="s">
        <v>56</v>
      </c>
      <c r="AR746" s="12" t="s">
        <v>58</v>
      </c>
      <c r="AS746" s="12" t="s">
        <v>163</v>
      </c>
      <c r="AT746" s="12"/>
      <c r="AU746" s="45" t="s">
        <v>862</v>
      </c>
      <c r="AV746" s="15"/>
      <c r="AW746" s="12" t="str">
        <f>B746&amp;C746&amp;L746&amp;M746&amp;O746&amp;U746&amp;AL746&amp;AM746</f>
        <v>AustraliaTinderbox Marine Nature ReserveHeliocidaris erythrogrammanative purple urchindensity0.542103847188592Barrett2009</v>
      </c>
    </row>
    <row r="747" spans="1:49" ht="14.25" customHeight="1" x14ac:dyDescent="0.35">
      <c r="A747" s="12">
        <v>746</v>
      </c>
      <c r="B747" s="12" t="s">
        <v>66</v>
      </c>
      <c r="C747" s="12" t="s">
        <v>1983</v>
      </c>
      <c r="D747" s="15" t="s">
        <v>1983</v>
      </c>
      <c r="E747" s="12" t="s">
        <v>136</v>
      </c>
      <c r="F747" s="13" t="s">
        <v>50</v>
      </c>
      <c r="G747" s="13" t="s">
        <v>51</v>
      </c>
      <c r="H747" s="13" t="s">
        <v>52</v>
      </c>
      <c r="I747" s="13" t="s">
        <v>53</v>
      </c>
      <c r="J747" s="14">
        <v>0.72</v>
      </c>
      <c r="K747" s="14"/>
      <c r="L747" s="14" t="s">
        <v>1300</v>
      </c>
      <c r="M747" s="14" t="s">
        <v>1301</v>
      </c>
      <c r="N747" s="14" t="s">
        <v>85</v>
      </c>
      <c r="O747" s="17" t="s">
        <v>86</v>
      </c>
      <c r="P747" s="14"/>
      <c r="Q747" s="14">
        <v>11217.94871794865</v>
      </c>
      <c r="R747" s="14">
        <v>235576.92307692301</v>
      </c>
      <c r="S747" s="14">
        <v>4807.6923076922749</v>
      </c>
      <c r="T747" s="14">
        <v>19230.769230769201</v>
      </c>
      <c r="U747" s="19">
        <f t="shared" si="50"/>
        <v>0.19047619047619035</v>
      </c>
      <c r="V747" s="41">
        <f t="shared" si="53"/>
        <v>-80.952380952380963</v>
      </c>
      <c r="W747" s="14"/>
      <c r="X747" s="14" t="s">
        <v>56</v>
      </c>
      <c r="Z747" s="14" t="s">
        <v>56</v>
      </c>
      <c r="AA747" s="14"/>
      <c r="AB747" s="14" t="s">
        <v>111</v>
      </c>
      <c r="AC747" s="14">
        <v>1992</v>
      </c>
      <c r="AD747" s="14">
        <v>10</v>
      </c>
      <c r="AE747" s="14"/>
      <c r="AF747" s="14"/>
      <c r="AG747" s="14">
        <v>1992</v>
      </c>
      <c r="AH747" s="14">
        <f t="shared" si="51"/>
        <v>0</v>
      </c>
      <c r="AI747" s="17">
        <f t="shared" si="52"/>
        <v>10</v>
      </c>
      <c r="AJ747" s="14"/>
      <c r="AK747" s="14" t="s">
        <v>58</v>
      </c>
      <c r="AL747" s="13" t="s">
        <v>859</v>
      </c>
      <c r="AM747" s="12">
        <v>2009</v>
      </c>
      <c r="AN747" s="12" t="s">
        <v>860</v>
      </c>
      <c r="AO747" s="12" t="s">
        <v>56</v>
      </c>
      <c r="AP747" s="12" t="s">
        <v>861</v>
      </c>
      <c r="AQ747" s="12" t="s">
        <v>56</v>
      </c>
      <c r="AR747" s="12" t="s">
        <v>58</v>
      </c>
      <c r="AS747" s="12" t="s">
        <v>163</v>
      </c>
      <c r="AT747" s="12"/>
      <c r="AU747" s="45" t="s">
        <v>862</v>
      </c>
      <c r="AV747" s="15"/>
      <c r="AW747" s="12" t="str">
        <f>B747&amp;C747&amp;L747&amp;M747&amp;O747&amp;U747&amp;AL747&amp;AM747</f>
        <v>AustraliaTinderbox Marine Nature ReserveGoniocidaris tubariaThorny Sea Urchindensity0.19047619047619Barrett2009</v>
      </c>
    </row>
    <row r="748" spans="1:49" ht="14.25" customHeight="1" x14ac:dyDescent="0.35">
      <c r="A748" s="12">
        <v>747</v>
      </c>
      <c r="B748" s="15" t="s">
        <v>66</v>
      </c>
      <c r="C748" s="15" t="s">
        <v>1983</v>
      </c>
      <c r="D748" s="15" t="s">
        <v>1983</v>
      </c>
      <c r="E748" s="15" t="s">
        <v>136</v>
      </c>
      <c r="F748" s="13" t="s">
        <v>50</v>
      </c>
      <c r="G748" s="13" t="s">
        <v>51</v>
      </c>
      <c r="H748" s="16" t="s">
        <v>52</v>
      </c>
      <c r="I748" s="16" t="s">
        <v>53</v>
      </c>
      <c r="J748" s="14">
        <v>0.72</v>
      </c>
      <c r="K748" s="14"/>
      <c r="L748" s="17" t="s">
        <v>1306</v>
      </c>
      <c r="M748" s="17" t="s">
        <v>1307</v>
      </c>
      <c r="N748" s="14" t="s">
        <v>85</v>
      </c>
      <c r="O748" s="17" t="s">
        <v>86</v>
      </c>
      <c r="P748" s="17"/>
      <c r="Q748" s="17">
        <v>5163.4725811082008</v>
      </c>
      <c r="R748" s="17">
        <v>4602.7131782945253</v>
      </c>
      <c r="S748" s="17">
        <v>2359.6755670398952</v>
      </c>
      <c r="T748" s="17">
        <v>12453.3448176859</v>
      </c>
      <c r="U748" s="20">
        <f t="shared" si="50"/>
        <v>5.9205449195443673</v>
      </c>
      <c r="V748" s="41">
        <f t="shared" si="53"/>
        <v>492.05449195443674</v>
      </c>
      <c r="W748" s="17"/>
      <c r="X748" s="17" t="s">
        <v>56</v>
      </c>
      <c r="Z748" s="17" t="s">
        <v>56</v>
      </c>
      <c r="AA748" s="17"/>
      <c r="AB748" s="17" t="s">
        <v>111</v>
      </c>
      <c r="AC748" s="17">
        <v>1992</v>
      </c>
      <c r="AD748" s="17">
        <v>10</v>
      </c>
      <c r="AE748" s="17"/>
      <c r="AF748" s="17"/>
      <c r="AG748" s="17">
        <v>1992</v>
      </c>
      <c r="AH748" s="14">
        <f t="shared" si="51"/>
        <v>0</v>
      </c>
      <c r="AI748" s="17">
        <f t="shared" si="52"/>
        <v>10</v>
      </c>
      <c r="AJ748" s="17"/>
      <c r="AK748" s="17" t="s">
        <v>58</v>
      </c>
      <c r="AL748" s="16" t="s">
        <v>859</v>
      </c>
      <c r="AM748" s="15">
        <v>2009</v>
      </c>
      <c r="AN748" s="15" t="s">
        <v>860</v>
      </c>
      <c r="AO748" s="15" t="s">
        <v>56</v>
      </c>
      <c r="AP748" s="15" t="s">
        <v>861</v>
      </c>
      <c r="AQ748" s="15" t="s">
        <v>56</v>
      </c>
      <c r="AR748" s="15" t="s">
        <v>58</v>
      </c>
      <c r="AS748" s="15" t="s">
        <v>163</v>
      </c>
      <c r="AT748" s="15"/>
      <c r="AU748" s="45" t="s">
        <v>862</v>
      </c>
      <c r="AV748" s="15"/>
      <c r="AW748" s="12" t="str">
        <f>B748&amp;C748&amp;L748&amp;M748&amp;O748&amp;U748&amp;AL748&amp;AM748</f>
        <v>AustraliaTinderbox Marine Nature ReservePetricia vernicinaVelvet Stardensity5.92054491954437Barrett2009</v>
      </c>
    </row>
    <row r="749" spans="1:49" ht="14.25" customHeight="1" x14ac:dyDescent="0.35">
      <c r="A749" s="12">
        <v>748</v>
      </c>
      <c r="B749" s="15" t="s">
        <v>66</v>
      </c>
      <c r="C749" s="15" t="s">
        <v>1983</v>
      </c>
      <c r="D749" s="15" t="s">
        <v>1983</v>
      </c>
      <c r="E749" s="15" t="s">
        <v>136</v>
      </c>
      <c r="F749" s="13" t="s">
        <v>50</v>
      </c>
      <c r="G749" s="13" t="s">
        <v>51</v>
      </c>
      <c r="H749" s="16" t="s">
        <v>52</v>
      </c>
      <c r="I749" s="16" t="s">
        <v>53</v>
      </c>
      <c r="J749" s="14">
        <v>0.72</v>
      </c>
      <c r="K749" s="14"/>
      <c r="L749" s="17" t="s">
        <v>1986</v>
      </c>
      <c r="M749" s="17" t="s">
        <v>1987</v>
      </c>
      <c r="N749" s="14" t="s">
        <v>85</v>
      </c>
      <c r="O749" s="17" t="s">
        <v>86</v>
      </c>
      <c r="P749" s="17"/>
      <c r="Q749" s="17">
        <v>0</v>
      </c>
      <c r="R749" s="17">
        <v>54832.713754646495</v>
      </c>
      <c r="S749" s="17">
        <v>0</v>
      </c>
      <c r="T749" s="17">
        <v>4646.8401486989005</v>
      </c>
      <c r="U749" s="20" t="str">
        <f t="shared" si="50"/>
        <v>N/A</v>
      </c>
      <c r="V749" s="41" t="str">
        <f t="shared" si="53"/>
        <v>N/A</v>
      </c>
      <c r="W749" s="17"/>
      <c r="X749" s="17" t="s">
        <v>56</v>
      </c>
      <c r="Z749" s="17" t="s">
        <v>56</v>
      </c>
      <c r="AA749" s="17"/>
      <c r="AB749" s="17" t="s">
        <v>111</v>
      </c>
      <c r="AC749" s="17">
        <v>1992</v>
      </c>
      <c r="AD749" s="17">
        <v>10</v>
      </c>
      <c r="AE749" s="17"/>
      <c r="AF749" s="17"/>
      <c r="AG749" s="17">
        <v>1992</v>
      </c>
      <c r="AH749" s="14">
        <f t="shared" si="51"/>
        <v>0</v>
      </c>
      <c r="AI749" s="17">
        <f t="shared" si="52"/>
        <v>10</v>
      </c>
      <c r="AJ749" s="17"/>
      <c r="AK749" s="17" t="s">
        <v>58</v>
      </c>
      <c r="AL749" s="16" t="s">
        <v>859</v>
      </c>
      <c r="AM749" s="15">
        <v>2009</v>
      </c>
      <c r="AN749" s="15" t="s">
        <v>860</v>
      </c>
      <c r="AO749" s="15" t="s">
        <v>56</v>
      </c>
      <c r="AP749" s="15" t="s">
        <v>861</v>
      </c>
      <c r="AQ749" s="15" t="s">
        <v>56</v>
      </c>
      <c r="AR749" s="15" t="s">
        <v>58</v>
      </c>
      <c r="AS749" s="15" t="s">
        <v>163</v>
      </c>
      <c r="AT749" s="15"/>
      <c r="AU749" s="45" t="s">
        <v>862</v>
      </c>
      <c r="AV749" s="15"/>
      <c r="AW749" s="12" t="str">
        <f>B749&amp;C749&amp;L749&amp;M749&amp;O749&amp;U749&amp;AL749&amp;AM749</f>
        <v>AustraliaTinderbox Marine Nature ReserveTosia magnificaMagnificent Biscuit StardensityN/ABarrett2009</v>
      </c>
    </row>
    <row r="750" spans="1:49" ht="14.25" customHeight="1" x14ac:dyDescent="0.35">
      <c r="A750" s="12">
        <v>749</v>
      </c>
      <c r="B750" s="12" t="s">
        <v>66</v>
      </c>
      <c r="C750" s="12" t="s">
        <v>1983</v>
      </c>
      <c r="D750" s="15" t="s">
        <v>1983</v>
      </c>
      <c r="E750" s="12" t="s">
        <v>136</v>
      </c>
      <c r="F750" s="13" t="s">
        <v>50</v>
      </c>
      <c r="G750" s="13" t="s">
        <v>51</v>
      </c>
      <c r="H750" s="13" t="s">
        <v>52</v>
      </c>
      <c r="I750" s="13" t="s">
        <v>53</v>
      </c>
      <c r="J750" s="14">
        <v>0.72</v>
      </c>
      <c r="K750" s="14"/>
      <c r="L750" s="14" t="s">
        <v>863</v>
      </c>
      <c r="M750" s="14" t="s">
        <v>864</v>
      </c>
      <c r="N750" s="14" t="s">
        <v>85</v>
      </c>
      <c r="O750" s="17" t="s">
        <v>86</v>
      </c>
      <c r="P750" s="14"/>
      <c r="Q750" s="14">
        <v>4615384.615384615</v>
      </c>
      <c r="R750" s="14">
        <v>6298076.9230768997</v>
      </c>
      <c r="S750" s="14">
        <v>673076.92307691998</v>
      </c>
      <c r="T750" s="14">
        <v>1826923.0769230751</v>
      </c>
      <c r="U750" s="19">
        <f t="shared" si="50"/>
        <v>1.9890948745910724</v>
      </c>
      <c r="V750" s="41">
        <f t="shared" si="53"/>
        <v>98.90948745910724</v>
      </c>
      <c r="W750" s="14"/>
      <c r="X750" s="14" t="s">
        <v>56</v>
      </c>
      <c r="Z750" s="14" t="s">
        <v>56</v>
      </c>
      <c r="AA750" s="14"/>
      <c r="AB750" s="14" t="s">
        <v>111</v>
      </c>
      <c r="AC750" s="14">
        <v>1992</v>
      </c>
      <c r="AD750" s="14">
        <v>10</v>
      </c>
      <c r="AE750" s="14"/>
      <c r="AF750" s="14"/>
      <c r="AG750" s="14">
        <v>1992</v>
      </c>
      <c r="AH750" s="14">
        <f t="shared" si="51"/>
        <v>0</v>
      </c>
      <c r="AI750" s="17">
        <f t="shared" si="52"/>
        <v>10</v>
      </c>
      <c r="AJ750" s="14"/>
      <c r="AK750" s="14" t="s">
        <v>58</v>
      </c>
      <c r="AL750" s="13" t="s">
        <v>859</v>
      </c>
      <c r="AM750" s="12">
        <v>2009</v>
      </c>
      <c r="AN750" s="12" t="s">
        <v>860</v>
      </c>
      <c r="AO750" s="12" t="s">
        <v>56</v>
      </c>
      <c r="AP750" s="12" t="s">
        <v>861</v>
      </c>
      <c r="AQ750" s="12" t="s">
        <v>56</v>
      </c>
      <c r="AR750" s="12" t="s">
        <v>58</v>
      </c>
      <c r="AS750" s="12" t="s">
        <v>163</v>
      </c>
      <c r="AT750" s="12"/>
      <c r="AU750" s="45" t="s">
        <v>862</v>
      </c>
      <c r="AV750" s="15"/>
      <c r="AW750" s="12" t="str">
        <f>B750&amp;C750&amp;L750&amp;M750&amp;O750&amp;U750&amp;AL750&amp;AM750</f>
        <v>AustraliaTinderbox Marine Nature ReserveCenolia trichopteraFeather Stardensity1.98909487459107Barrett2009</v>
      </c>
    </row>
    <row r="751" spans="1:49" ht="14.25" customHeight="1" x14ac:dyDescent="0.35">
      <c r="A751" s="12">
        <v>750</v>
      </c>
      <c r="B751" s="12" t="s">
        <v>66</v>
      </c>
      <c r="C751" s="12" t="s">
        <v>1983</v>
      </c>
      <c r="D751" s="15" t="s">
        <v>1983</v>
      </c>
      <c r="E751" s="12" t="s">
        <v>136</v>
      </c>
      <c r="F751" s="13" t="s">
        <v>50</v>
      </c>
      <c r="G751" s="13" t="s">
        <v>51</v>
      </c>
      <c r="H751" s="13" t="s">
        <v>52</v>
      </c>
      <c r="I751" s="13" t="s">
        <v>53</v>
      </c>
      <c r="J751" s="14">
        <v>0.72</v>
      </c>
      <c r="K751" s="14"/>
      <c r="L751" s="14" t="s">
        <v>1988</v>
      </c>
      <c r="M751" s="14" t="s">
        <v>1989</v>
      </c>
      <c r="N751" s="14" t="s">
        <v>85</v>
      </c>
      <c r="O751" s="17" t="s">
        <v>86</v>
      </c>
      <c r="P751" s="14"/>
      <c r="Q751" s="14">
        <v>35140.56224899595</v>
      </c>
      <c r="R751" s="14">
        <v>59738.955823292999</v>
      </c>
      <c r="S751" s="14">
        <v>17570.281124497949</v>
      </c>
      <c r="T751" s="14">
        <v>5020.0803212850997</v>
      </c>
      <c r="U751" s="19">
        <f t="shared" si="50"/>
        <v>0.16806722689075568</v>
      </c>
      <c r="V751" s="41">
        <f t="shared" si="53"/>
        <v>-83.193277310924429</v>
      </c>
      <c r="W751" s="14"/>
      <c r="X751" s="14" t="s">
        <v>56</v>
      </c>
      <c r="Z751" s="14" t="s">
        <v>56</v>
      </c>
      <c r="AA751" s="14"/>
      <c r="AB751" s="14" t="s">
        <v>111</v>
      </c>
      <c r="AC751" s="14">
        <v>1992</v>
      </c>
      <c r="AD751" s="14">
        <v>10</v>
      </c>
      <c r="AE751" s="14"/>
      <c r="AF751" s="14"/>
      <c r="AG751" s="14">
        <v>1992</v>
      </c>
      <c r="AH751" s="14">
        <f t="shared" si="51"/>
        <v>0</v>
      </c>
      <c r="AI751" s="17">
        <f t="shared" si="52"/>
        <v>10</v>
      </c>
      <c r="AJ751" s="14"/>
      <c r="AK751" s="14" t="s">
        <v>58</v>
      </c>
      <c r="AL751" s="13" t="s">
        <v>859</v>
      </c>
      <c r="AM751" s="12">
        <v>2009</v>
      </c>
      <c r="AN751" s="12" t="s">
        <v>860</v>
      </c>
      <c r="AO751" s="12" t="s">
        <v>56</v>
      </c>
      <c r="AP751" s="12" t="s">
        <v>861</v>
      </c>
      <c r="AQ751" s="12" t="s">
        <v>56</v>
      </c>
      <c r="AR751" s="12" t="s">
        <v>58</v>
      </c>
      <c r="AS751" s="12" t="s">
        <v>163</v>
      </c>
      <c r="AT751" s="12"/>
      <c r="AU751" s="45" t="s">
        <v>862</v>
      </c>
      <c r="AV751" s="15"/>
      <c r="AW751" s="12" t="str">
        <f>B751&amp;C751&amp;L751&amp;M751&amp;O751&amp;U751&amp;AL751&amp;AM751</f>
        <v>AustraliaTinderbox Marine Nature ReserveStichopus mollisBrown sea cucumberdensity0.168067226890756Barrett2009</v>
      </c>
    </row>
    <row r="752" spans="1:49" ht="14.25" customHeight="1" x14ac:dyDescent="0.35">
      <c r="A752" s="12">
        <v>751</v>
      </c>
      <c r="B752" s="15" t="s">
        <v>66</v>
      </c>
      <c r="C752" s="15" t="s">
        <v>1983</v>
      </c>
      <c r="D752" s="15" t="s">
        <v>1983</v>
      </c>
      <c r="E752" s="15" t="s">
        <v>136</v>
      </c>
      <c r="F752" s="13" t="s">
        <v>50</v>
      </c>
      <c r="G752" s="13" t="s">
        <v>51</v>
      </c>
      <c r="H752" s="16" t="s">
        <v>52</v>
      </c>
      <c r="I752" s="16" t="s">
        <v>53</v>
      </c>
      <c r="J752" s="14">
        <v>0.72</v>
      </c>
      <c r="K752" s="14"/>
      <c r="L752" s="17" t="s">
        <v>443</v>
      </c>
      <c r="M752" s="17" t="s">
        <v>866</v>
      </c>
      <c r="N752" s="14" t="s">
        <v>85</v>
      </c>
      <c r="O752" s="17" t="s">
        <v>86</v>
      </c>
      <c r="P752" s="17"/>
      <c r="Q752" s="17">
        <v>60245.901639344003</v>
      </c>
      <c r="R752" s="17">
        <v>65983.606557376508</v>
      </c>
      <c r="S752" s="17">
        <v>172131.14754098348</v>
      </c>
      <c r="T752" s="17">
        <v>74590.163934426004</v>
      </c>
      <c r="U752" s="20">
        <f t="shared" si="50"/>
        <v>0.39565217391304414</v>
      </c>
      <c r="V752" s="41">
        <f t="shared" si="53"/>
        <v>-60.434782608695592</v>
      </c>
      <c r="W752" s="17"/>
      <c r="X752" s="17" t="s">
        <v>56</v>
      </c>
      <c r="Z752" s="17" t="s">
        <v>56</v>
      </c>
      <c r="AA752" s="17"/>
      <c r="AB752" s="17" t="s">
        <v>111</v>
      </c>
      <c r="AC752" s="17">
        <v>1992</v>
      </c>
      <c r="AD752" s="17">
        <v>10</v>
      </c>
      <c r="AE752" s="17"/>
      <c r="AF752" s="17"/>
      <c r="AG752" s="17">
        <v>1992</v>
      </c>
      <c r="AH752" s="14">
        <f t="shared" si="51"/>
        <v>0</v>
      </c>
      <c r="AI752" s="17">
        <f t="shared" si="52"/>
        <v>10</v>
      </c>
      <c r="AJ752" s="17"/>
      <c r="AK752" s="17" t="s">
        <v>58</v>
      </c>
      <c r="AL752" s="16" t="s">
        <v>859</v>
      </c>
      <c r="AM752" s="15">
        <v>2009</v>
      </c>
      <c r="AN752" s="15" t="s">
        <v>860</v>
      </c>
      <c r="AO752" s="15" t="s">
        <v>56</v>
      </c>
      <c r="AP752" s="15" t="s">
        <v>861</v>
      </c>
      <c r="AQ752" s="15" t="s">
        <v>56</v>
      </c>
      <c r="AR752" s="15" t="s">
        <v>58</v>
      </c>
      <c r="AS752" s="15" t="s">
        <v>163</v>
      </c>
      <c r="AT752" s="15"/>
      <c r="AU752" s="45" t="s">
        <v>862</v>
      </c>
      <c r="AV752" s="15"/>
      <c r="AW752" s="12" t="str">
        <f>B752&amp;C752&amp;L752&amp;M752&amp;O752&amp;U752&amp;AL752&amp;AM752</f>
        <v>AustraliaTinderbox Marine Nature ReserveHaliotis rubraBlacklip Abalonedensity0.395652173913044Barrett2009</v>
      </c>
    </row>
    <row r="753" spans="1:49" ht="14.25" customHeight="1" x14ac:dyDescent="0.35">
      <c r="A753" s="12">
        <v>752</v>
      </c>
      <c r="B753" s="15" t="s">
        <v>66</v>
      </c>
      <c r="C753" s="15" t="s">
        <v>1983</v>
      </c>
      <c r="D753" s="15" t="s">
        <v>1983</v>
      </c>
      <c r="E753" s="15" t="s">
        <v>136</v>
      </c>
      <c r="F753" s="13" t="s">
        <v>50</v>
      </c>
      <c r="G753" s="13" t="s">
        <v>51</v>
      </c>
      <c r="H753" s="16" t="s">
        <v>52</v>
      </c>
      <c r="I753" s="16" t="s">
        <v>53</v>
      </c>
      <c r="J753" s="14">
        <v>0.72</v>
      </c>
      <c r="K753" s="14"/>
      <c r="L753" s="17" t="s">
        <v>566</v>
      </c>
      <c r="M753" s="14" t="s">
        <v>858</v>
      </c>
      <c r="N753" s="14" t="s">
        <v>85</v>
      </c>
      <c r="O753" s="17" t="s">
        <v>86</v>
      </c>
      <c r="P753" s="17"/>
      <c r="Q753" s="17">
        <v>69037.656903765499</v>
      </c>
      <c r="R753" s="17">
        <v>48117.154811715503</v>
      </c>
      <c r="S753" s="17">
        <v>27196.652719665199</v>
      </c>
      <c r="T753" s="17">
        <v>144351.46443514602</v>
      </c>
      <c r="U753" s="20">
        <f t="shared" si="50"/>
        <v>7.6153846153845883</v>
      </c>
      <c r="V753" s="41">
        <f t="shared" si="53"/>
        <v>661.53846153845882</v>
      </c>
      <c r="W753" s="17"/>
      <c r="X753" s="17" t="s">
        <v>56</v>
      </c>
      <c r="Z753" s="17" t="s">
        <v>56</v>
      </c>
      <c r="AA753" s="17"/>
      <c r="AB753" s="17" t="s">
        <v>111</v>
      </c>
      <c r="AC753" s="17">
        <v>1992</v>
      </c>
      <c r="AD753" s="17">
        <v>10</v>
      </c>
      <c r="AE753" s="17"/>
      <c r="AF753" s="17"/>
      <c r="AG753" s="17">
        <v>1992</v>
      </c>
      <c r="AH753" s="14">
        <f t="shared" si="51"/>
        <v>0</v>
      </c>
      <c r="AI753" s="17">
        <f t="shared" si="52"/>
        <v>10</v>
      </c>
      <c r="AJ753" s="17"/>
      <c r="AK753" s="17" t="s">
        <v>58</v>
      </c>
      <c r="AL753" s="16" t="s">
        <v>859</v>
      </c>
      <c r="AM753" s="15">
        <v>2009</v>
      </c>
      <c r="AN753" s="15" t="s">
        <v>860</v>
      </c>
      <c r="AO753" s="15" t="s">
        <v>56</v>
      </c>
      <c r="AP753" s="15" t="s">
        <v>861</v>
      </c>
      <c r="AQ753" s="15" t="s">
        <v>56</v>
      </c>
      <c r="AR753" s="15" t="s">
        <v>58</v>
      </c>
      <c r="AS753" s="15" t="s">
        <v>163</v>
      </c>
      <c r="AT753" s="15"/>
      <c r="AU753" s="45" t="s">
        <v>862</v>
      </c>
      <c r="AV753" s="15"/>
      <c r="AW753" s="12" t="str">
        <f>B753&amp;C753&amp;L753&amp;M753&amp;O753&amp;U753&amp;AL753&amp;AM753</f>
        <v>AustraliaTinderbox Marine Nature ReserveJasus edwardsiiSouthern Rock Lobsterdensity7.61538461538459Barrett2009</v>
      </c>
    </row>
    <row r="754" spans="1:49" ht="14.25" customHeight="1" x14ac:dyDescent="0.35">
      <c r="A754" s="12">
        <v>753</v>
      </c>
      <c r="B754" s="15" t="s">
        <v>66</v>
      </c>
      <c r="C754" s="43" t="s">
        <v>1489</v>
      </c>
      <c r="D754" s="43" t="s">
        <v>1489</v>
      </c>
      <c r="E754" s="15" t="s">
        <v>136</v>
      </c>
      <c r="F754" s="16" t="s">
        <v>50</v>
      </c>
      <c r="G754" s="16" t="s">
        <v>51</v>
      </c>
      <c r="H754" s="16" t="s">
        <v>52</v>
      </c>
      <c r="I754" s="16" t="s">
        <v>53</v>
      </c>
      <c r="K754" s="14">
        <v>7</v>
      </c>
      <c r="L754" s="17" t="s">
        <v>865</v>
      </c>
      <c r="M754" s="17" t="s">
        <v>2781</v>
      </c>
      <c r="N754" s="14" t="s">
        <v>85</v>
      </c>
      <c r="O754" s="17" t="s">
        <v>86</v>
      </c>
      <c r="P754" s="17"/>
      <c r="Q754" s="17">
        <v>1081504.702194355</v>
      </c>
      <c r="R754" s="17">
        <v>462382.44514106598</v>
      </c>
      <c r="S754" s="17">
        <v>1018808.777429465</v>
      </c>
      <c r="T754" s="17">
        <v>940438.87147334998</v>
      </c>
      <c r="U754" s="20">
        <f t="shared" si="50"/>
        <v>2.1590612777053346</v>
      </c>
      <c r="V754" s="41">
        <f t="shared" si="53"/>
        <v>115.90612777053346</v>
      </c>
      <c r="W754" s="17"/>
      <c r="X754" s="17" t="s">
        <v>56</v>
      </c>
      <c r="Y754" s="17"/>
      <c r="Z754" s="17" t="s">
        <v>56</v>
      </c>
      <c r="AA754" s="17"/>
      <c r="AB754" s="17" t="s">
        <v>111</v>
      </c>
      <c r="AC754" s="17">
        <v>1992</v>
      </c>
      <c r="AD754" s="17">
        <v>10</v>
      </c>
      <c r="AE754" s="17"/>
      <c r="AF754" s="17"/>
      <c r="AG754" s="17">
        <v>1992</v>
      </c>
      <c r="AH754" s="14">
        <f t="shared" si="51"/>
        <v>0</v>
      </c>
      <c r="AI754" s="17">
        <f t="shared" si="52"/>
        <v>10</v>
      </c>
      <c r="AJ754" s="17"/>
      <c r="AK754" s="17" t="s">
        <v>58</v>
      </c>
      <c r="AL754" s="16" t="s">
        <v>859</v>
      </c>
      <c r="AM754" s="15">
        <v>2009</v>
      </c>
      <c r="AN754" s="15" t="s">
        <v>860</v>
      </c>
      <c r="AO754" s="15" t="s">
        <v>56</v>
      </c>
      <c r="AP754" s="15" t="s">
        <v>861</v>
      </c>
      <c r="AQ754" s="15" t="s">
        <v>56</v>
      </c>
      <c r="AR754" s="15" t="s">
        <v>58</v>
      </c>
      <c r="AS754" s="15" t="s">
        <v>163</v>
      </c>
      <c r="AT754" s="15"/>
      <c r="AU754" s="45" t="s">
        <v>862</v>
      </c>
      <c r="AV754" s="15"/>
      <c r="AW754" s="12" t="str">
        <f>B754&amp;C754&amp;L754&amp;M754&amp;O754&amp;U754&amp;AL754&amp;AM754</f>
        <v>AustraliaNinepin Point Marine Nature ReserveHeliocidaris erythrogrammanative purple urchindensity2.15906127770533Barrett2009</v>
      </c>
    </row>
    <row r="755" spans="1:49" ht="14.25" customHeight="1" x14ac:dyDescent="0.35">
      <c r="A755" s="12">
        <v>754</v>
      </c>
      <c r="B755" s="15" t="s">
        <v>66</v>
      </c>
      <c r="C755" s="43" t="s">
        <v>1489</v>
      </c>
      <c r="D755" s="43" t="s">
        <v>1489</v>
      </c>
      <c r="E755" s="15" t="s">
        <v>136</v>
      </c>
      <c r="F755" s="16" t="s">
        <v>50</v>
      </c>
      <c r="G755" s="16" t="s">
        <v>51</v>
      </c>
      <c r="H755" s="16" t="s">
        <v>52</v>
      </c>
      <c r="I755" s="16" t="s">
        <v>53</v>
      </c>
      <c r="J755" s="17"/>
      <c r="K755" s="17">
        <v>7</v>
      </c>
      <c r="L755" s="17" t="s">
        <v>1300</v>
      </c>
      <c r="M755" s="17" t="s">
        <v>1301</v>
      </c>
      <c r="N755" s="14" t="s">
        <v>85</v>
      </c>
      <c r="O755" s="17" t="s">
        <v>86</v>
      </c>
      <c r="P755" s="17"/>
      <c r="Q755" s="17">
        <v>257621.951219512</v>
      </c>
      <c r="R755" s="17">
        <v>225609.75609756049</v>
      </c>
      <c r="S755" s="17">
        <v>94512.195121951008</v>
      </c>
      <c r="T755" s="17">
        <v>112804.87804878</v>
      </c>
      <c r="U755" s="20">
        <f t="shared" ref="U755:U818" si="54">IFERROR(IF(AND(Q755="",R755="",S755="",T755=""),"",IF(AND(Q755&lt;&gt;"",R755&lt;&gt;"",S755&lt;&gt;"",T755&lt;&gt;""),(T755/R755)/(S755/Q755),IF(AND(Q755&lt;&gt;"",R755&lt;&gt;""),R755/Q755,IF(AND(S755&lt;&gt;"",T755&lt;&gt;""),T755/S755,IF(AND(Q755&lt;&gt;"",S755&lt;&gt;""),Q755/S755,IF(AND(R755&lt;&gt;"",T755&lt;&gt;""),T755/R755)))))), "N/A")</f>
        <v>1.3629032258064506</v>
      </c>
      <c r="V755" s="41">
        <f t="shared" si="53"/>
        <v>36.290322580645061</v>
      </c>
      <c r="W755" s="17"/>
      <c r="X755" s="17" t="s">
        <v>56</v>
      </c>
      <c r="Z755" s="17" t="s">
        <v>56</v>
      </c>
      <c r="AA755" s="17"/>
      <c r="AB755" s="17" t="s">
        <v>111</v>
      </c>
      <c r="AC755" s="17">
        <v>1992</v>
      </c>
      <c r="AD755" s="17">
        <v>10</v>
      </c>
      <c r="AE755" s="17"/>
      <c r="AF755" s="17"/>
      <c r="AG755" s="17">
        <v>1992</v>
      </c>
      <c r="AH755" s="14">
        <f t="shared" si="51"/>
        <v>0</v>
      </c>
      <c r="AI755" s="17">
        <f t="shared" si="52"/>
        <v>10</v>
      </c>
      <c r="AJ755" s="17"/>
      <c r="AK755" s="17" t="s">
        <v>58</v>
      </c>
      <c r="AL755" s="16" t="s">
        <v>859</v>
      </c>
      <c r="AM755" s="15">
        <v>2009</v>
      </c>
      <c r="AN755" s="15" t="s">
        <v>860</v>
      </c>
      <c r="AO755" s="15" t="s">
        <v>56</v>
      </c>
      <c r="AP755" s="15" t="s">
        <v>861</v>
      </c>
      <c r="AQ755" s="15" t="s">
        <v>56</v>
      </c>
      <c r="AR755" s="15" t="s">
        <v>58</v>
      </c>
      <c r="AS755" s="15" t="s">
        <v>163</v>
      </c>
      <c r="AT755" s="15"/>
      <c r="AU755" s="45" t="s">
        <v>862</v>
      </c>
      <c r="AV755" s="15"/>
      <c r="AW755" s="12" t="str">
        <f>B755&amp;C755&amp;L755&amp;M755&amp;O755&amp;U755&amp;AL755&amp;AM755</f>
        <v>AustraliaNinepin Point Marine Nature ReserveGoniocidaris tubariaThorny Sea Urchindensity1.36290322580645Barrett2009</v>
      </c>
    </row>
    <row r="756" spans="1:49" ht="14.25" customHeight="1" x14ac:dyDescent="0.35">
      <c r="A756" s="12">
        <v>755</v>
      </c>
      <c r="B756" s="12" t="s">
        <v>66</v>
      </c>
      <c r="C756" s="44" t="s">
        <v>1489</v>
      </c>
      <c r="D756" s="44" t="s">
        <v>1489</v>
      </c>
      <c r="E756" s="12" t="s">
        <v>136</v>
      </c>
      <c r="F756" s="16" t="s">
        <v>50</v>
      </c>
      <c r="G756" s="16" t="s">
        <v>51</v>
      </c>
      <c r="H756" s="13" t="s">
        <v>52</v>
      </c>
      <c r="I756" s="13" t="s">
        <v>53</v>
      </c>
      <c r="K756" s="17">
        <v>7</v>
      </c>
      <c r="L756" s="14" t="s">
        <v>863</v>
      </c>
      <c r="M756" s="14" t="s">
        <v>864</v>
      </c>
      <c r="N756" s="14" t="s">
        <v>85</v>
      </c>
      <c r="O756" s="17" t="s">
        <v>86</v>
      </c>
      <c r="P756" s="14"/>
      <c r="Q756" s="14">
        <v>501557.63239874999</v>
      </c>
      <c r="R756" s="14">
        <v>719626.1682242949</v>
      </c>
      <c r="S756" s="14">
        <v>3968847.3520249198</v>
      </c>
      <c r="T756" s="14">
        <v>2682242.990654205</v>
      </c>
      <c r="U756" s="19">
        <f t="shared" si="54"/>
        <v>0.47102897102897023</v>
      </c>
      <c r="V756" s="41">
        <f t="shared" si="53"/>
        <v>-52.897102897102975</v>
      </c>
      <c r="W756" s="14"/>
      <c r="X756" s="14" t="s">
        <v>56</v>
      </c>
      <c r="Z756" s="14" t="s">
        <v>56</v>
      </c>
      <c r="AA756" s="14"/>
      <c r="AB756" s="14" t="s">
        <v>111</v>
      </c>
      <c r="AC756" s="14">
        <v>1992</v>
      </c>
      <c r="AD756" s="14">
        <v>10</v>
      </c>
      <c r="AE756" s="14"/>
      <c r="AF756" s="14"/>
      <c r="AG756" s="14">
        <v>1992</v>
      </c>
      <c r="AH756" s="14">
        <f t="shared" si="51"/>
        <v>0</v>
      </c>
      <c r="AI756" s="17">
        <f t="shared" si="52"/>
        <v>10</v>
      </c>
      <c r="AJ756" s="14"/>
      <c r="AK756" s="14" t="s">
        <v>58</v>
      </c>
      <c r="AL756" s="13" t="s">
        <v>859</v>
      </c>
      <c r="AM756" s="12">
        <v>2009</v>
      </c>
      <c r="AN756" s="12" t="s">
        <v>860</v>
      </c>
      <c r="AO756" s="12" t="s">
        <v>56</v>
      </c>
      <c r="AP756" s="12" t="s">
        <v>861</v>
      </c>
      <c r="AQ756" s="12" t="s">
        <v>56</v>
      </c>
      <c r="AR756" s="12" t="s">
        <v>58</v>
      </c>
      <c r="AS756" s="12" t="s">
        <v>163</v>
      </c>
      <c r="AT756" s="12"/>
      <c r="AU756" s="45" t="s">
        <v>862</v>
      </c>
      <c r="AV756" s="15"/>
      <c r="AW756" s="12" t="str">
        <f>B756&amp;C756&amp;L756&amp;M756&amp;O756&amp;U756&amp;AL756&amp;AM756</f>
        <v>AustraliaNinepin Point Marine Nature ReserveCenolia trichopteraFeather Stardensity0.47102897102897Barrett2009</v>
      </c>
    </row>
    <row r="757" spans="1:49" ht="14.25" customHeight="1" x14ac:dyDescent="0.35">
      <c r="A757" s="12">
        <v>756</v>
      </c>
      <c r="B757" s="15" t="s">
        <v>66</v>
      </c>
      <c r="C757" s="43" t="s">
        <v>1489</v>
      </c>
      <c r="D757" s="43" t="s">
        <v>1489</v>
      </c>
      <c r="E757" s="15" t="s">
        <v>136</v>
      </c>
      <c r="F757" s="16" t="s">
        <v>50</v>
      </c>
      <c r="G757" s="16" t="s">
        <v>51</v>
      </c>
      <c r="H757" s="16" t="s">
        <v>52</v>
      </c>
      <c r="I757" s="16" t="s">
        <v>53</v>
      </c>
      <c r="J757" s="17"/>
      <c r="K757" s="17">
        <v>7</v>
      </c>
      <c r="L757" s="17" t="s">
        <v>1304</v>
      </c>
      <c r="M757" s="17" t="s">
        <v>1305</v>
      </c>
      <c r="N757" s="14" t="s">
        <v>85</v>
      </c>
      <c r="O757" s="17" t="s">
        <v>86</v>
      </c>
      <c r="P757" s="17"/>
      <c r="Q757" s="17">
        <v>35839.999999999949</v>
      </c>
      <c r="R757" s="17">
        <v>45439.999999999993</v>
      </c>
      <c r="S757" s="17">
        <v>22399.999999999949</v>
      </c>
      <c r="T757" s="17">
        <v>14719.999999999951</v>
      </c>
      <c r="U757" s="20">
        <f t="shared" si="54"/>
        <v>0.51830985915492833</v>
      </c>
      <c r="V757" s="41">
        <f t="shared" si="53"/>
        <v>-48.169014084507168</v>
      </c>
      <c r="W757" s="17"/>
      <c r="X757" s="17" t="s">
        <v>56</v>
      </c>
      <c r="Z757" s="17" t="s">
        <v>56</v>
      </c>
      <c r="AA757" s="17"/>
      <c r="AB757" s="17" t="s">
        <v>111</v>
      </c>
      <c r="AC757" s="17">
        <v>1992</v>
      </c>
      <c r="AD757" s="17">
        <v>10</v>
      </c>
      <c r="AE757" s="17"/>
      <c r="AF757" s="17"/>
      <c r="AG757" s="17">
        <v>1992</v>
      </c>
      <c r="AH757" s="14">
        <f t="shared" si="51"/>
        <v>0</v>
      </c>
      <c r="AI757" s="17">
        <f t="shared" si="52"/>
        <v>10</v>
      </c>
      <c r="AJ757" s="17"/>
      <c r="AK757" s="17" t="s">
        <v>58</v>
      </c>
      <c r="AL757" s="16" t="s">
        <v>859</v>
      </c>
      <c r="AM757" s="15">
        <v>2009</v>
      </c>
      <c r="AN757" s="15" t="s">
        <v>860</v>
      </c>
      <c r="AO757" s="15" t="s">
        <v>56</v>
      </c>
      <c r="AP757" s="15" t="s">
        <v>861</v>
      </c>
      <c r="AQ757" s="15" t="s">
        <v>56</v>
      </c>
      <c r="AR757" s="15" t="s">
        <v>58</v>
      </c>
      <c r="AS757" s="15" t="s">
        <v>163</v>
      </c>
      <c r="AT757" s="15"/>
      <c r="AU757" s="45" t="s">
        <v>862</v>
      </c>
      <c r="AV757" s="15"/>
      <c r="AW757" s="12" t="str">
        <f>B757&amp;C757&amp;L757&amp;M757&amp;O757&amp;U757&amp;AL757&amp;AM757</f>
        <v>AustraliaNinepin Point Marine Nature ReserveNectria ocellataOcellate Seastardensity0.518309859154928Barrett2009</v>
      </c>
    </row>
    <row r="758" spans="1:49" ht="14.25" customHeight="1" x14ac:dyDescent="0.35">
      <c r="A758" s="12">
        <v>757</v>
      </c>
      <c r="B758" s="15" t="s">
        <v>66</v>
      </c>
      <c r="C758" s="43" t="s">
        <v>1489</v>
      </c>
      <c r="D758" s="43" t="s">
        <v>1489</v>
      </c>
      <c r="E758" s="15" t="s">
        <v>136</v>
      </c>
      <c r="F758" s="16" t="s">
        <v>50</v>
      </c>
      <c r="G758" s="16" t="s">
        <v>51</v>
      </c>
      <c r="H758" s="16" t="s">
        <v>52</v>
      </c>
      <c r="I758" s="16" t="s">
        <v>53</v>
      </c>
      <c r="J758" s="17"/>
      <c r="K758" s="17">
        <v>7</v>
      </c>
      <c r="L758" s="17" t="s">
        <v>1306</v>
      </c>
      <c r="M758" s="17" t="s">
        <v>1307</v>
      </c>
      <c r="N758" s="14" t="s">
        <v>85</v>
      </c>
      <c r="O758" s="17" t="s">
        <v>86</v>
      </c>
      <c r="P758" s="17"/>
      <c r="Q758" s="17">
        <v>25403.225806451603</v>
      </c>
      <c r="R758" s="17">
        <v>24798.3870967742</v>
      </c>
      <c r="S758" s="17">
        <v>33266.129032258053</v>
      </c>
      <c r="T758" s="17">
        <v>80443.548387096496</v>
      </c>
      <c r="U758" s="20">
        <f t="shared" si="54"/>
        <v>2.4771618625277068</v>
      </c>
      <c r="V758" s="41">
        <f t="shared" si="53"/>
        <v>147.71618625277068</v>
      </c>
      <c r="W758" s="17"/>
      <c r="X758" s="17" t="s">
        <v>56</v>
      </c>
      <c r="Z758" s="17" t="s">
        <v>56</v>
      </c>
      <c r="AA758" s="17"/>
      <c r="AB758" s="17" t="s">
        <v>111</v>
      </c>
      <c r="AC758" s="17">
        <v>1992</v>
      </c>
      <c r="AD758" s="17">
        <v>10</v>
      </c>
      <c r="AE758" s="17"/>
      <c r="AF758" s="17"/>
      <c r="AG758" s="17">
        <v>1992</v>
      </c>
      <c r="AH758" s="14">
        <f t="shared" si="51"/>
        <v>0</v>
      </c>
      <c r="AI758" s="17">
        <f t="shared" si="52"/>
        <v>10</v>
      </c>
      <c r="AJ758" s="17"/>
      <c r="AK758" s="17" t="s">
        <v>58</v>
      </c>
      <c r="AL758" s="16" t="s">
        <v>859</v>
      </c>
      <c r="AM758" s="15">
        <v>2009</v>
      </c>
      <c r="AN758" s="15" t="s">
        <v>860</v>
      </c>
      <c r="AO758" s="15" t="s">
        <v>56</v>
      </c>
      <c r="AP758" s="15" t="s">
        <v>861</v>
      </c>
      <c r="AQ758" s="15" t="s">
        <v>56</v>
      </c>
      <c r="AR758" s="15" t="s">
        <v>58</v>
      </c>
      <c r="AS758" s="15" t="s">
        <v>163</v>
      </c>
      <c r="AT758" s="15"/>
      <c r="AU758" s="45" t="s">
        <v>862</v>
      </c>
      <c r="AV758" s="15"/>
      <c r="AW758" s="12" t="str">
        <f>B758&amp;C758&amp;L758&amp;M758&amp;O758&amp;U758&amp;AL758&amp;AM758</f>
        <v>AustraliaNinepin Point Marine Nature ReservePetricia vernicinaVelvet Stardensity2.47716186252771Barrett2009</v>
      </c>
    </row>
    <row r="759" spans="1:49" ht="14.25" customHeight="1" x14ac:dyDescent="0.35">
      <c r="A759" s="12">
        <v>758</v>
      </c>
      <c r="B759" s="15" t="s">
        <v>66</v>
      </c>
      <c r="C759" s="43" t="s">
        <v>1489</v>
      </c>
      <c r="D759" s="43" t="s">
        <v>1489</v>
      </c>
      <c r="E759" s="15" t="s">
        <v>136</v>
      </c>
      <c r="F759" s="16" t="s">
        <v>50</v>
      </c>
      <c r="G759" s="16" t="s">
        <v>51</v>
      </c>
      <c r="H759" s="16" t="s">
        <v>52</v>
      </c>
      <c r="I759" s="16" t="s">
        <v>53</v>
      </c>
      <c r="J759" s="17"/>
      <c r="K759" s="17">
        <v>7</v>
      </c>
      <c r="L759" s="17" t="s">
        <v>1490</v>
      </c>
      <c r="M759" s="17" t="s">
        <v>1491</v>
      </c>
      <c r="N759" s="14" t="s">
        <v>85</v>
      </c>
      <c r="O759" s="17" t="s">
        <v>86</v>
      </c>
      <c r="P759" s="17"/>
      <c r="Q759" s="17">
        <v>9959.8393574296988</v>
      </c>
      <c r="R759" s="17">
        <v>0</v>
      </c>
      <c r="S759" s="17">
        <v>0</v>
      </c>
      <c r="T759" s="17">
        <v>5140.5622489960006</v>
      </c>
      <c r="U759" s="20" t="str">
        <f t="shared" si="54"/>
        <v>N/A</v>
      </c>
      <c r="V759" s="41" t="str">
        <f t="shared" si="53"/>
        <v>N/A</v>
      </c>
      <c r="W759" s="17"/>
      <c r="X759" s="17" t="s">
        <v>56</v>
      </c>
      <c r="Z759" s="17" t="s">
        <v>56</v>
      </c>
      <c r="AA759" s="17"/>
      <c r="AB759" s="17" t="s">
        <v>111</v>
      </c>
      <c r="AC759" s="17">
        <v>1992</v>
      </c>
      <c r="AD759" s="17">
        <v>10</v>
      </c>
      <c r="AE759" s="17"/>
      <c r="AF759" s="17"/>
      <c r="AG759" s="17">
        <v>1992</v>
      </c>
      <c r="AH759" s="14">
        <f t="shared" si="51"/>
        <v>0</v>
      </c>
      <c r="AI759" s="17">
        <f t="shared" si="52"/>
        <v>10</v>
      </c>
      <c r="AJ759" s="17"/>
      <c r="AK759" s="17" t="s">
        <v>58</v>
      </c>
      <c r="AL759" s="16" t="s">
        <v>859</v>
      </c>
      <c r="AM759" s="15">
        <v>2009</v>
      </c>
      <c r="AN759" s="15" t="s">
        <v>860</v>
      </c>
      <c r="AO759" s="15" t="s">
        <v>56</v>
      </c>
      <c r="AP759" s="15" t="s">
        <v>861</v>
      </c>
      <c r="AQ759" s="15" t="s">
        <v>56</v>
      </c>
      <c r="AR759" s="15" t="s">
        <v>58</v>
      </c>
      <c r="AS759" s="15" t="s">
        <v>163</v>
      </c>
      <c r="AT759" s="15"/>
      <c r="AU759" s="45" t="s">
        <v>862</v>
      </c>
      <c r="AV759" s="15"/>
      <c r="AW759" s="12" t="str">
        <f>B759&amp;C759&amp;L759&amp;M759&amp;O759&amp;U759&amp;AL759&amp;AM759</f>
        <v>AustraliaNinepin Point Marine Nature ReservePentagonaster dubeniFire-brick StardensityN/ABarrett2009</v>
      </c>
    </row>
    <row r="760" spans="1:49" ht="14.25" customHeight="1" x14ac:dyDescent="0.35">
      <c r="A760" s="12">
        <v>759</v>
      </c>
      <c r="B760" s="12" t="s">
        <v>66</v>
      </c>
      <c r="C760" s="44" t="s">
        <v>1489</v>
      </c>
      <c r="D760" s="44" t="s">
        <v>1489</v>
      </c>
      <c r="E760" s="12" t="s">
        <v>136</v>
      </c>
      <c r="F760" s="16" t="s">
        <v>50</v>
      </c>
      <c r="G760" s="16" t="s">
        <v>51</v>
      </c>
      <c r="H760" s="13" t="s">
        <v>52</v>
      </c>
      <c r="I760" s="13" t="s">
        <v>53</v>
      </c>
      <c r="K760" s="17">
        <v>7</v>
      </c>
      <c r="L760" s="14" t="s">
        <v>443</v>
      </c>
      <c r="M760" s="14" t="s">
        <v>866</v>
      </c>
      <c r="N760" s="14" t="s">
        <v>85</v>
      </c>
      <c r="O760" s="17" t="s">
        <v>86</v>
      </c>
      <c r="P760" s="14"/>
      <c r="Q760" s="14">
        <v>39959.016393442653</v>
      </c>
      <c r="R760" s="14">
        <v>5532.7868852458996</v>
      </c>
      <c r="S760" s="14">
        <v>40573.770491803254</v>
      </c>
      <c r="T760" s="14">
        <v>20286.885245901649</v>
      </c>
      <c r="U760" s="19">
        <f t="shared" si="54"/>
        <v>3.6111111111111192</v>
      </c>
      <c r="V760" s="41">
        <f t="shared" si="53"/>
        <v>261.11111111111194</v>
      </c>
      <c r="W760" s="14"/>
      <c r="X760" s="14" t="s">
        <v>56</v>
      </c>
      <c r="Z760" s="14" t="s">
        <v>56</v>
      </c>
      <c r="AA760" s="14"/>
      <c r="AB760" s="14" t="s">
        <v>111</v>
      </c>
      <c r="AC760" s="14">
        <v>1992</v>
      </c>
      <c r="AD760" s="14">
        <v>10</v>
      </c>
      <c r="AE760" s="14"/>
      <c r="AF760" s="14"/>
      <c r="AG760" s="14">
        <v>1992</v>
      </c>
      <c r="AH760" s="14">
        <f t="shared" si="51"/>
        <v>0</v>
      </c>
      <c r="AI760" s="17">
        <f t="shared" si="52"/>
        <v>10</v>
      </c>
      <c r="AJ760" s="14"/>
      <c r="AK760" s="14" t="s">
        <v>58</v>
      </c>
      <c r="AL760" s="13" t="s">
        <v>859</v>
      </c>
      <c r="AM760" s="12">
        <v>2009</v>
      </c>
      <c r="AN760" s="12" t="s">
        <v>860</v>
      </c>
      <c r="AO760" s="12" t="s">
        <v>56</v>
      </c>
      <c r="AP760" s="12" t="s">
        <v>861</v>
      </c>
      <c r="AQ760" s="12" t="s">
        <v>56</v>
      </c>
      <c r="AR760" s="12" t="s">
        <v>58</v>
      </c>
      <c r="AS760" s="12" t="s">
        <v>163</v>
      </c>
      <c r="AT760" s="12"/>
      <c r="AU760" s="45" t="s">
        <v>862</v>
      </c>
      <c r="AV760" s="15"/>
      <c r="AW760" s="12" t="str">
        <f>B760&amp;C760&amp;L760&amp;M760&amp;O760&amp;U760&amp;AL760&amp;AM760</f>
        <v>AustraliaNinepin Point Marine Nature ReserveHaliotis rubraBlacklip Abalonedensity3.61111111111112Barrett2009</v>
      </c>
    </row>
    <row r="761" spans="1:49" ht="14.25" customHeight="1" x14ac:dyDescent="0.35">
      <c r="A761" s="12">
        <v>760</v>
      </c>
      <c r="B761" s="15" t="s">
        <v>66</v>
      </c>
      <c r="C761" s="43" t="s">
        <v>1489</v>
      </c>
      <c r="D761" s="43" t="s">
        <v>1489</v>
      </c>
      <c r="E761" s="15" t="s">
        <v>136</v>
      </c>
      <c r="F761" s="16" t="s">
        <v>50</v>
      </c>
      <c r="G761" s="16" t="s">
        <v>51</v>
      </c>
      <c r="H761" s="16" t="s">
        <v>52</v>
      </c>
      <c r="I761" s="16" t="s">
        <v>53</v>
      </c>
      <c r="J761" s="17"/>
      <c r="K761" s="17">
        <v>7</v>
      </c>
      <c r="L761" s="17" t="s">
        <v>566</v>
      </c>
      <c r="M761" s="17" t="s">
        <v>858</v>
      </c>
      <c r="N761" s="14" t="s">
        <v>85</v>
      </c>
      <c r="O761" s="17" t="s">
        <v>86</v>
      </c>
      <c r="P761" s="17"/>
      <c r="Q761" s="17">
        <v>7438.0165289255992</v>
      </c>
      <c r="R761" s="17">
        <v>14876.033057851198</v>
      </c>
      <c r="S761" s="17">
        <v>40495.867768595002</v>
      </c>
      <c r="T761" s="17">
        <v>4545.4545454545196</v>
      </c>
      <c r="U761" s="19">
        <f t="shared" si="54"/>
        <v>5.6122448979591566E-2</v>
      </c>
      <c r="V761" s="41">
        <f t="shared" si="53"/>
        <v>-94.387755102040842</v>
      </c>
      <c r="W761" s="17"/>
      <c r="X761" s="17" t="s">
        <v>56</v>
      </c>
      <c r="Z761" s="17" t="s">
        <v>56</v>
      </c>
      <c r="AA761" s="17"/>
      <c r="AB761" s="17" t="s">
        <v>111</v>
      </c>
      <c r="AC761" s="17">
        <v>1992</v>
      </c>
      <c r="AD761" s="17">
        <v>10</v>
      </c>
      <c r="AE761" s="17"/>
      <c r="AF761" s="17"/>
      <c r="AG761" s="17">
        <v>1992</v>
      </c>
      <c r="AH761" s="14">
        <f t="shared" si="51"/>
        <v>0</v>
      </c>
      <c r="AI761" s="17">
        <f t="shared" si="52"/>
        <v>10</v>
      </c>
      <c r="AJ761" s="17"/>
      <c r="AK761" s="17" t="s">
        <v>58</v>
      </c>
      <c r="AL761" s="16" t="s">
        <v>859</v>
      </c>
      <c r="AM761" s="15">
        <v>2009</v>
      </c>
      <c r="AN761" s="15" t="s">
        <v>860</v>
      </c>
      <c r="AO761" s="15" t="s">
        <v>56</v>
      </c>
      <c r="AP761" s="15" t="s">
        <v>861</v>
      </c>
      <c r="AQ761" s="15" t="s">
        <v>56</v>
      </c>
      <c r="AR761" s="15" t="s">
        <v>58</v>
      </c>
      <c r="AS761" s="15" t="s">
        <v>163</v>
      </c>
      <c r="AT761" s="12"/>
      <c r="AU761" s="45" t="s">
        <v>862</v>
      </c>
      <c r="AV761" s="15"/>
      <c r="AW761" s="12" t="str">
        <f>B761&amp;C761&amp;L761&amp;M761&amp;O761&amp;U761&amp;AL761&amp;AM761</f>
        <v>AustraliaNinepin Point Marine Nature ReserveJasus edwardsiiSouthern Rock Lobsterdensity0.0561224489795916Barrett2009</v>
      </c>
    </row>
    <row r="762" spans="1:49" ht="14.25" customHeight="1" x14ac:dyDescent="0.35">
      <c r="A762" s="12">
        <v>761</v>
      </c>
      <c r="B762" s="15" t="s">
        <v>66</v>
      </c>
      <c r="C762" s="15" t="s">
        <v>853</v>
      </c>
      <c r="D762" s="15" t="s">
        <v>853</v>
      </c>
      <c r="E762" s="15" t="s">
        <v>136</v>
      </c>
      <c r="F762" s="16" t="s">
        <v>50</v>
      </c>
      <c r="G762" s="16" t="s">
        <v>51</v>
      </c>
      <c r="H762" s="16" t="s">
        <v>52</v>
      </c>
      <c r="I762" s="16" t="s">
        <v>53</v>
      </c>
      <c r="J762" s="17"/>
      <c r="K762" s="17">
        <v>1</v>
      </c>
      <c r="L762" s="17" t="s">
        <v>566</v>
      </c>
      <c r="M762" s="17" t="s">
        <v>858</v>
      </c>
      <c r="N762" s="14" t="s">
        <v>85</v>
      </c>
      <c r="O762" s="17" t="s">
        <v>86</v>
      </c>
      <c r="P762" s="17"/>
      <c r="Q762" s="17">
        <v>5036.6300366300002</v>
      </c>
      <c r="R762" s="17">
        <v>0</v>
      </c>
      <c r="S762" s="17">
        <v>2564.1025641025599</v>
      </c>
      <c r="T762" s="17">
        <v>0</v>
      </c>
      <c r="U762" s="20" t="str">
        <f t="shared" si="54"/>
        <v>N/A</v>
      </c>
      <c r="V762" s="41" t="str">
        <f t="shared" si="53"/>
        <v>N/A</v>
      </c>
      <c r="W762" s="17"/>
      <c r="X762" s="17" t="s">
        <v>56</v>
      </c>
      <c r="Z762" s="17" t="s">
        <v>56</v>
      </c>
      <c r="AA762" s="17"/>
      <c r="AB762" s="17" t="s">
        <v>111</v>
      </c>
      <c r="AC762" s="17">
        <v>1992</v>
      </c>
      <c r="AD762" s="17">
        <v>10</v>
      </c>
      <c r="AE762" s="17"/>
      <c r="AF762" s="17"/>
      <c r="AG762" s="17">
        <v>1992</v>
      </c>
      <c r="AH762" s="14">
        <f t="shared" si="51"/>
        <v>0</v>
      </c>
      <c r="AI762" s="17">
        <f t="shared" si="52"/>
        <v>10</v>
      </c>
      <c r="AJ762" s="17"/>
      <c r="AK762" s="17" t="s">
        <v>58</v>
      </c>
      <c r="AL762" s="16" t="s">
        <v>859</v>
      </c>
      <c r="AM762" s="15">
        <v>2009</v>
      </c>
      <c r="AN762" s="15" t="s">
        <v>860</v>
      </c>
      <c r="AO762" s="15" t="s">
        <v>56</v>
      </c>
      <c r="AP762" s="15" t="s">
        <v>861</v>
      </c>
      <c r="AQ762" s="15" t="s">
        <v>56</v>
      </c>
      <c r="AR762" s="15" t="s">
        <v>58</v>
      </c>
      <c r="AS762" s="15" t="s">
        <v>163</v>
      </c>
      <c r="AT762" s="15"/>
      <c r="AU762" s="45" t="s">
        <v>862</v>
      </c>
      <c r="AV762" s="15"/>
      <c r="AW762" s="12" t="str">
        <f>B762&amp;C762&amp;L762&amp;M762&amp;O762&amp;U762&amp;AL762&amp;AM762</f>
        <v>AustraliaGovernor Island Marine Nature ReserveJasus edwardsiiSouthern Rock LobsterdensityN/ABarrett2009</v>
      </c>
    </row>
    <row r="763" spans="1:49" ht="14.25" customHeight="1" x14ac:dyDescent="0.35">
      <c r="A763" s="12">
        <v>762</v>
      </c>
      <c r="B763" s="15" t="s">
        <v>66</v>
      </c>
      <c r="C763" s="15" t="s">
        <v>853</v>
      </c>
      <c r="D763" s="15" t="s">
        <v>853</v>
      </c>
      <c r="E763" s="15" t="s">
        <v>136</v>
      </c>
      <c r="F763" s="16" t="s">
        <v>50</v>
      </c>
      <c r="G763" s="16" t="s">
        <v>51</v>
      </c>
      <c r="H763" s="16" t="s">
        <v>52</v>
      </c>
      <c r="I763" s="16" t="s">
        <v>53</v>
      </c>
      <c r="J763" s="17"/>
      <c r="K763" s="17">
        <v>1</v>
      </c>
      <c r="L763" s="17" t="s">
        <v>863</v>
      </c>
      <c r="M763" s="14" t="s">
        <v>864</v>
      </c>
      <c r="N763" s="14" t="s">
        <v>85</v>
      </c>
      <c r="O763" s="17" t="s">
        <v>86</v>
      </c>
      <c r="P763" s="17"/>
      <c r="Q763" s="17">
        <v>965703.97111912991</v>
      </c>
      <c r="R763" s="17">
        <v>72202.166064981502</v>
      </c>
      <c r="S763" s="17">
        <v>1146209.3862815851</v>
      </c>
      <c r="T763" s="17">
        <v>225631.7689530685</v>
      </c>
      <c r="U763" s="20">
        <f t="shared" si="54"/>
        <v>2.6328740157480448</v>
      </c>
      <c r="V763" s="41">
        <f t="shared" si="53"/>
        <v>163.28740157480448</v>
      </c>
      <c r="W763" s="17"/>
      <c r="X763" s="17" t="s">
        <v>56</v>
      </c>
      <c r="Z763" s="17" t="s">
        <v>56</v>
      </c>
      <c r="AA763" s="17"/>
      <c r="AB763" s="17" t="s">
        <v>111</v>
      </c>
      <c r="AC763" s="17">
        <v>1992</v>
      </c>
      <c r="AD763" s="17">
        <v>10</v>
      </c>
      <c r="AE763" s="17"/>
      <c r="AF763" s="17"/>
      <c r="AG763" s="17">
        <v>1992</v>
      </c>
      <c r="AH763" s="14">
        <f t="shared" si="51"/>
        <v>0</v>
      </c>
      <c r="AI763" s="17">
        <f t="shared" si="52"/>
        <v>10</v>
      </c>
      <c r="AJ763" s="17"/>
      <c r="AK763" s="17" t="s">
        <v>58</v>
      </c>
      <c r="AL763" s="16" t="s">
        <v>859</v>
      </c>
      <c r="AM763" s="15">
        <v>2009</v>
      </c>
      <c r="AN763" s="15" t="s">
        <v>860</v>
      </c>
      <c r="AO763" s="15" t="s">
        <v>56</v>
      </c>
      <c r="AP763" s="15" t="s">
        <v>861</v>
      </c>
      <c r="AQ763" s="15" t="s">
        <v>56</v>
      </c>
      <c r="AR763" s="15" t="s">
        <v>58</v>
      </c>
      <c r="AS763" s="15" t="s">
        <v>163</v>
      </c>
      <c r="AT763" s="15"/>
      <c r="AU763" s="45" t="s">
        <v>862</v>
      </c>
      <c r="AV763" s="15"/>
      <c r="AW763" s="12" t="str">
        <f>B763&amp;C763&amp;L763&amp;M763&amp;O763&amp;U763&amp;AL763&amp;AM763</f>
        <v>AustraliaGovernor Island Marine Nature ReserveCenolia trichopteraFeather Stardensity2.63287401574804Barrett2009</v>
      </c>
    </row>
    <row r="764" spans="1:49" ht="14.25" customHeight="1" x14ac:dyDescent="0.35">
      <c r="A764" s="12">
        <v>763</v>
      </c>
      <c r="B764" s="15" t="s">
        <v>66</v>
      </c>
      <c r="C764" s="15" t="s">
        <v>853</v>
      </c>
      <c r="D764" s="15" t="s">
        <v>853</v>
      </c>
      <c r="E764" s="15" t="s">
        <v>136</v>
      </c>
      <c r="F764" s="16" t="s">
        <v>50</v>
      </c>
      <c r="G764" s="16" t="s">
        <v>51</v>
      </c>
      <c r="H764" s="16" t="s">
        <v>52</v>
      </c>
      <c r="I764" s="16" t="s">
        <v>53</v>
      </c>
      <c r="J764" s="17"/>
      <c r="K764" s="17">
        <v>1</v>
      </c>
      <c r="L764" s="17" t="s">
        <v>865</v>
      </c>
      <c r="M764" s="17" t="s">
        <v>2781</v>
      </c>
      <c r="N764" s="14" t="s">
        <v>85</v>
      </c>
      <c r="O764" s="17" t="s">
        <v>86</v>
      </c>
      <c r="P764" s="17"/>
      <c r="Q764" s="17">
        <v>35379.061371841155</v>
      </c>
      <c r="R764" s="17">
        <v>0</v>
      </c>
      <c r="S764" s="17">
        <v>15523.4657039711</v>
      </c>
      <c r="T764" s="17">
        <v>0</v>
      </c>
      <c r="U764" s="20" t="str">
        <f t="shared" si="54"/>
        <v>N/A</v>
      </c>
      <c r="V764" s="41" t="str">
        <f t="shared" si="53"/>
        <v>N/A</v>
      </c>
      <c r="W764" s="17"/>
      <c r="X764" s="17" t="s">
        <v>56</v>
      </c>
      <c r="Z764" s="17" t="s">
        <v>56</v>
      </c>
      <c r="AA764" s="17"/>
      <c r="AB764" s="17" t="s">
        <v>111</v>
      </c>
      <c r="AC764" s="17">
        <v>1992</v>
      </c>
      <c r="AD764" s="17">
        <v>10</v>
      </c>
      <c r="AE764" s="17"/>
      <c r="AF764" s="17"/>
      <c r="AG764" s="17">
        <v>1992</v>
      </c>
      <c r="AH764" s="14">
        <f t="shared" si="51"/>
        <v>0</v>
      </c>
      <c r="AI764" s="17">
        <f t="shared" si="52"/>
        <v>10</v>
      </c>
      <c r="AJ764" s="17"/>
      <c r="AK764" s="17" t="s">
        <v>58</v>
      </c>
      <c r="AL764" s="16" t="s">
        <v>859</v>
      </c>
      <c r="AM764" s="15">
        <v>2009</v>
      </c>
      <c r="AN764" s="15" t="s">
        <v>860</v>
      </c>
      <c r="AO764" s="15" t="s">
        <v>56</v>
      </c>
      <c r="AP764" s="15" t="s">
        <v>861</v>
      </c>
      <c r="AQ764" s="15" t="s">
        <v>56</v>
      </c>
      <c r="AR764" s="15" t="s">
        <v>58</v>
      </c>
      <c r="AS764" s="15" t="s">
        <v>163</v>
      </c>
      <c r="AT764" s="15"/>
      <c r="AU764" s="45" t="s">
        <v>862</v>
      </c>
      <c r="AV764" s="15"/>
      <c r="AW764" s="12" t="str">
        <f>B764&amp;C764&amp;L764&amp;M764&amp;O764&amp;U764&amp;AL764&amp;AM764</f>
        <v>AustraliaGovernor Island Marine Nature ReserveHeliocidaris erythrogrammanative purple urchindensityN/ABarrett2009</v>
      </c>
    </row>
    <row r="765" spans="1:49" ht="14.25" customHeight="1" x14ac:dyDescent="0.35">
      <c r="A765" s="12">
        <v>764</v>
      </c>
      <c r="B765" s="15" t="s">
        <v>66</v>
      </c>
      <c r="C765" s="15" t="s">
        <v>853</v>
      </c>
      <c r="D765" s="15" t="s">
        <v>853</v>
      </c>
      <c r="E765" s="15" t="s">
        <v>136</v>
      </c>
      <c r="F765" s="16" t="s">
        <v>50</v>
      </c>
      <c r="G765" s="16" t="s">
        <v>51</v>
      </c>
      <c r="H765" s="16" t="s">
        <v>52</v>
      </c>
      <c r="I765" s="16" t="s">
        <v>53</v>
      </c>
      <c r="J765" s="17"/>
      <c r="K765" s="17">
        <v>1</v>
      </c>
      <c r="L765" s="17" t="s">
        <v>443</v>
      </c>
      <c r="M765" s="17" t="s">
        <v>866</v>
      </c>
      <c r="N765" s="14" t="s">
        <v>85</v>
      </c>
      <c r="O765" s="17" t="s">
        <v>86</v>
      </c>
      <c r="P765" s="17"/>
      <c r="Q765" s="17">
        <v>144000</v>
      </c>
      <c r="R765" s="17">
        <v>79999.999999999505</v>
      </c>
      <c r="S765" s="17">
        <v>108800.00000000001</v>
      </c>
      <c r="T765" s="17">
        <v>83200</v>
      </c>
      <c r="U765" s="20">
        <f t="shared" si="54"/>
        <v>1.3764705882353026</v>
      </c>
      <c r="V765" s="41">
        <f t="shared" si="53"/>
        <v>37.647058823530259</v>
      </c>
      <c r="W765" s="17"/>
      <c r="X765" s="17" t="s">
        <v>56</v>
      </c>
      <c r="Z765" s="17" t="s">
        <v>56</v>
      </c>
      <c r="AA765" s="17"/>
      <c r="AB765" s="17" t="s">
        <v>111</v>
      </c>
      <c r="AC765" s="17">
        <v>1992</v>
      </c>
      <c r="AD765" s="17">
        <v>10</v>
      </c>
      <c r="AE765" s="17"/>
      <c r="AF765" s="17"/>
      <c r="AG765" s="17">
        <v>1992</v>
      </c>
      <c r="AH765" s="14">
        <f t="shared" si="51"/>
        <v>0</v>
      </c>
      <c r="AI765" s="17">
        <f t="shared" si="52"/>
        <v>10</v>
      </c>
      <c r="AJ765" s="17"/>
      <c r="AK765" s="17" t="s">
        <v>58</v>
      </c>
      <c r="AL765" s="16" t="s">
        <v>859</v>
      </c>
      <c r="AM765" s="15">
        <v>2009</v>
      </c>
      <c r="AN765" s="15" t="s">
        <v>860</v>
      </c>
      <c r="AO765" s="15" t="s">
        <v>56</v>
      </c>
      <c r="AP765" s="15" t="s">
        <v>861</v>
      </c>
      <c r="AQ765" s="15" t="s">
        <v>56</v>
      </c>
      <c r="AR765" s="15" t="s">
        <v>58</v>
      </c>
      <c r="AS765" s="15" t="s">
        <v>163</v>
      </c>
      <c r="AT765" s="15"/>
      <c r="AU765" s="45" t="s">
        <v>862</v>
      </c>
      <c r="AV765" s="15"/>
      <c r="AW765" s="12" t="str">
        <f>B765&amp;C765&amp;L765&amp;M765&amp;O765&amp;U765&amp;AL765&amp;AM765</f>
        <v>AustraliaGovernor Island Marine Nature ReserveHaliotis rubraBlacklip Abalonedensity1.3764705882353Barrett2009</v>
      </c>
    </row>
    <row r="766" spans="1:49" ht="14.25" customHeight="1" x14ac:dyDescent="0.35">
      <c r="A766" s="12">
        <v>765</v>
      </c>
      <c r="B766" s="15" t="s">
        <v>66</v>
      </c>
      <c r="C766" s="15" t="s">
        <v>853</v>
      </c>
      <c r="D766" s="15" t="s">
        <v>853</v>
      </c>
      <c r="E766" s="15" t="s">
        <v>136</v>
      </c>
      <c r="F766" s="16" t="s">
        <v>50</v>
      </c>
      <c r="G766" s="16" t="s">
        <v>51</v>
      </c>
      <c r="H766" s="16" t="s">
        <v>52</v>
      </c>
      <c r="I766" s="16" t="s">
        <v>53</v>
      </c>
      <c r="J766" s="17"/>
      <c r="K766" s="17">
        <v>1</v>
      </c>
      <c r="L766" s="17" t="s">
        <v>867</v>
      </c>
      <c r="M766" s="17" t="s">
        <v>868</v>
      </c>
      <c r="N766" s="14" t="s">
        <v>85</v>
      </c>
      <c r="O766" s="17" t="s">
        <v>86</v>
      </c>
      <c r="P766" s="17"/>
      <c r="Q766" s="17">
        <v>616600.79051383003</v>
      </c>
      <c r="R766" s="17">
        <v>148221.3438735175</v>
      </c>
      <c r="S766" s="17">
        <v>83003.952569169502</v>
      </c>
      <c r="T766" s="17">
        <v>225296.44268774649</v>
      </c>
      <c r="U766" s="19">
        <f t="shared" si="54"/>
        <v>11.291428571428554</v>
      </c>
      <c r="V766" s="41">
        <f t="shared" si="53"/>
        <v>1029.1428571428555</v>
      </c>
      <c r="W766" s="17"/>
      <c r="X766" s="17" t="s">
        <v>56</v>
      </c>
      <c r="Z766" s="17" t="s">
        <v>56</v>
      </c>
      <c r="AA766" s="17"/>
      <c r="AB766" s="17" t="s">
        <v>111</v>
      </c>
      <c r="AC766" s="17">
        <v>1992</v>
      </c>
      <c r="AD766" s="17">
        <v>10</v>
      </c>
      <c r="AE766" s="17"/>
      <c r="AF766" s="17"/>
      <c r="AG766" s="17">
        <v>1992</v>
      </c>
      <c r="AH766" s="14">
        <f t="shared" si="51"/>
        <v>0</v>
      </c>
      <c r="AI766" s="17">
        <f t="shared" si="52"/>
        <v>10</v>
      </c>
      <c r="AJ766" s="17"/>
      <c r="AK766" s="17" t="s">
        <v>58</v>
      </c>
      <c r="AL766" s="16" t="s">
        <v>859</v>
      </c>
      <c r="AM766" s="15">
        <v>2009</v>
      </c>
      <c r="AN766" s="15" t="s">
        <v>860</v>
      </c>
      <c r="AO766" s="15" t="s">
        <v>56</v>
      </c>
      <c r="AP766" s="15" t="s">
        <v>861</v>
      </c>
      <c r="AQ766" s="15" t="s">
        <v>56</v>
      </c>
      <c r="AR766" s="15" t="s">
        <v>58</v>
      </c>
      <c r="AS766" s="15" t="s">
        <v>163</v>
      </c>
      <c r="AT766" s="12"/>
      <c r="AU766" s="45" t="s">
        <v>862</v>
      </c>
      <c r="AV766" s="15"/>
      <c r="AW766" s="12" t="str">
        <f>B766&amp;C766&amp;L766&amp;M766&amp;O766&amp;U766&amp;AL766&amp;AM766</f>
        <v>AustraliaGovernor Island Marine Nature ReserveTurbo undulatusTurban Shelldensity11.2914285714286Barrett2009</v>
      </c>
    </row>
    <row r="767" spans="1:49" ht="14.25" customHeight="1" x14ac:dyDescent="0.35">
      <c r="A767" s="12">
        <v>766</v>
      </c>
      <c r="B767" s="15" t="s">
        <v>66</v>
      </c>
      <c r="C767" s="15" t="s">
        <v>853</v>
      </c>
      <c r="D767" s="15" t="s">
        <v>853</v>
      </c>
      <c r="E767" s="15" t="s">
        <v>136</v>
      </c>
      <c r="F767" s="16" t="s">
        <v>50</v>
      </c>
      <c r="G767" s="16" t="s">
        <v>51</v>
      </c>
      <c r="H767" s="16" t="s">
        <v>52</v>
      </c>
      <c r="I767" s="16" t="s">
        <v>53</v>
      </c>
      <c r="J767" s="17"/>
      <c r="K767" s="17">
        <v>1</v>
      </c>
      <c r="L767" s="17" t="s">
        <v>869</v>
      </c>
      <c r="M767" s="17" t="s">
        <v>870</v>
      </c>
      <c r="N767" s="14" t="s">
        <v>85</v>
      </c>
      <c r="O767" s="17" t="s">
        <v>86</v>
      </c>
      <c r="P767" s="17"/>
      <c r="Q767" s="17">
        <v>40268.456375839247</v>
      </c>
      <c r="R767" s="17">
        <v>966442.95302013005</v>
      </c>
      <c r="S767" s="17">
        <v>13422.8187919464</v>
      </c>
      <c r="T767" s="17">
        <v>241610.7382550335</v>
      </c>
      <c r="U767" s="19">
        <f t="shared" si="54"/>
        <v>0.75000000000000389</v>
      </c>
      <c r="V767" s="41">
        <f t="shared" si="53"/>
        <v>-24.999999999999613</v>
      </c>
      <c r="W767" s="17"/>
      <c r="X767" s="17" t="s">
        <v>56</v>
      </c>
      <c r="Z767" s="17" t="s">
        <v>56</v>
      </c>
      <c r="AA767" s="17"/>
      <c r="AB767" s="17" t="s">
        <v>111</v>
      </c>
      <c r="AC767" s="17">
        <v>1992</v>
      </c>
      <c r="AD767" s="17">
        <v>10</v>
      </c>
      <c r="AE767" s="17"/>
      <c r="AF767" s="17"/>
      <c r="AG767" s="17">
        <v>1992</v>
      </c>
      <c r="AH767" s="14">
        <f t="shared" si="51"/>
        <v>0</v>
      </c>
      <c r="AI767" s="17">
        <f t="shared" si="52"/>
        <v>10</v>
      </c>
      <c r="AJ767" s="17"/>
      <c r="AK767" s="17" t="s">
        <v>58</v>
      </c>
      <c r="AL767" s="16" t="s">
        <v>859</v>
      </c>
      <c r="AM767" s="15">
        <v>2009</v>
      </c>
      <c r="AN767" s="15" t="s">
        <v>860</v>
      </c>
      <c r="AO767" s="15" t="s">
        <v>56</v>
      </c>
      <c r="AP767" s="15" t="s">
        <v>861</v>
      </c>
      <c r="AQ767" s="15" t="s">
        <v>56</v>
      </c>
      <c r="AR767" s="15" t="s">
        <v>58</v>
      </c>
      <c r="AS767" s="15" t="s">
        <v>163</v>
      </c>
      <c r="AT767" s="12"/>
      <c r="AU767" s="45" t="s">
        <v>862</v>
      </c>
      <c r="AV767" s="15"/>
      <c r="AW767" s="12" t="str">
        <f>B767&amp;C767&amp;L767&amp;M767&amp;O767&amp;U767&amp;AL767&amp;AM767</f>
        <v>AustraliaGovernor Island Marine Nature ReserveThais orbitaDog Whelkdensity0.750000000000004Barrett2009</v>
      </c>
    </row>
    <row r="768" spans="1:49" ht="14.25" customHeight="1" x14ac:dyDescent="0.35">
      <c r="A768" s="12">
        <v>767</v>
      </c>
      <c r="B768" s="15" t="s">
        <v>66</v>
      </c>
      <c r="C768" s="15" t="s">
        <v>1298</v>
      </c>
      <c r="D768" s="15" t="s">
        <v>1298</v>
      </c>
      <c r="E768" s="15" t="s">
        <v>136</v>
      </c>
      <c r="F768" s="16" t="s">
        <v>50</v>
      </c>
      <c r="G768" s="16" t="s">
        <v>51</v>
      </c>
      <c r="H768" s="16" t="s">
        <v>52</v>
      </c>
      <c r="I768" s="16" t="s">
        <v>53</v>
      </c>
      <c r="J768" s="17"/>
      <c r="K768" s="17">
        <v>12</v>
      </c>
      <c r="L768" s="17" t="s">
        <v>1312</v>
      </c>
      <c r="M768" s="17" t="s">
        <v>1313</v>
      </c>
      <c r="N768" s="14" t="s">
        <v>85</v>
      </c>
      <c r="O768" s="17" t="s">
        <v>101</v>
      </c>
      <c r="P768" s="17"/>
      <c r="Q768" s="17">
        <v>3.9999999999999898</v>
      </c>
      <c r="R768" s="17">
        <v>7.5833333333333304</v>
      </c>
      <c r="S768" s="17">
        <v>2.5</v>
      </c>
      <c r="T768" s="17">
        <v>5.8333333333333304</v>
      </c>
      <c r="U768" s="19">
        <f t="shared" si="54"/>
        <v>1.2307692307692275</v>
      </c>
      <c r="V768" s="41">
        <f t="shared" si="53"/>
        <v>23.07692307692275</v>
      </c>
      <c r="W768" s="17"/>
      <c r="X768" s="17" t="s">
        <v>56</v>
      </c>
      <c r="Z768" s="17" t="s">
        <v>56</v>
      </c>
      <c r="AA768" s="17"/>
      <c r="AB768" s="17" t="s">
        <v>111</v>
      </c>
      <c r="AC768" s="17">
        <v>1992</v>
      </c>
      <c r="AD768" s="17">
        <v>10</v>
      </c>
      <c r="AE768" s="17"/>
      <c r="AF768" s="17"/>
      <c r="AG768" s="17">
        <v>1992</v>
      </c>
      <c r="AH768" s="14">
        <f t="shared" ref="AH768:AH831" si="55">IF(OR(AG768="NA",AC768="NA"),"NA",IF(OR(AC768="",AG768=""), "", AC768-AG768))</f>
        <v>0</v>
      </c>
      <c r="AI768" s="17">
        <f t="shared" ref="AI768:AI831" si="56">IF(AH768="NA", "NA",IF(OR(AH768="",AND(AD768="",AE768="")), "",AH768+AD768+AE768/12))</f>
        <v>10</v>
      </c>
      <c r="AJ768" s="17"/>
      <c r="AK768" s="17" t="s">
        <v>58</v>
      </c>
      <c r="AL768" s="16" t="s">
        <v>859</v>
      </c>
      <c r="AM768" s="15">
        <v>2009</v>
      </c>
      <c r="AN768" s="15" t="s">
        <v>860</v>
      </c>
      <c r="AO768" s="15" t="s">
        <v>56</v>
      </c>
      <c r="AP768" s="15" t="s">
        <v>861</v>
      </c>
      <c r="AQ768" s="15" t="s">
        <v>56</v>
      </c>
      <c r="AR768" s="15" t="s">
        <v>58</v>
      </c>
      <c r="AS768" s="15" t="s">
        <v>163</v>
      </c>
      <c r="AT768" s="12"/>
      <c r="AU768" s="45" t="s">
        <v>862</v>
      </c>
      <c r="AV768" s="15"/>
      <c r="AW768" s="12" t="str">
        <f>B768&amp;C768&amp;L768&amp;M768&amp;O768&amp;U768&amp;AL768&amp;AM768</f>
        <v>AustraliaMaria Island Marine Nature ReserveCarpoglossum confluensBrown seaweedcover1.23076923076923Barrett2009</v>
      </c>
    </row>
    <row r="769" spans="1:49" ht="14.25" customHeight="1" x14ac:dyDescent="0.35">
      <c r="A769" s="12">
        <v>768</v>
      </c>
      <c r="B769" s="15" t="s">
        <v>66</v>
      </c>
      <c r="C769" s="15" t="s">
        <v>1298</v>
      </c>
      <c r="D769" s="15" t="s">
        <v>1298</v>
      </c>
      <c r="E769" s="15" t="s">
        <v>136</v>
      </c>
      <c r="F769" s="16" t="s">
        <v>50</v>
      </c>
      <c r="G769" s="16" t="s">
        <v>51</v>
      </c>
      <c r="H769" s="16" t="s">
        <v>52</v>
      </c>
      <c r="I769" s="16" t="s">
        <v>53</v>
      </c>
      <c r="J769" s="17"/>
      <c r="K769" s="17">
        <v>12</v>
      </c>
      <c r="L769" s="17" t="s">
        <v>1314</v>
      </c>
      <c r="M769" s="17" t="s">
        <v>1315</v>
      </c>
      <c r="N769" s="14" t="s">
        <v>85</v>
      </c>
      <c r="O769" s="17" t="s">
        <v>101</v>
      </c>
      <c r="P769" s="17"/>
      <c r="Q769" s="17">
        <v>11.25</v>
      </c>
      <c r="R769" s="17">
        <v>22.03125</v>
      </c>
      <c r="S769" s="17">
        <v>9.53125</v>
      </c>
      <c r="T769" s="17">
        <v>13.4375</v>
      </c>
      <c r="U769" s="20">
        <f t="shared" si="54"/>
        <v>0.71991628880362746</v>
      </c>
      <c r="V769" s="41">
        <f t="shared" si="53"/>
        <v>-28.008371119637253</v>
      </c>
      <c r="W769" s="17"/>
      <c r="X769" s="17" t="s">
        <v>56</v>
      </c>
      <c r="Z769" s="17" t="s">
        <v>56</v>
      </c>
      <c r="AA769" s="17"/>
      <c r="AB769" s="17" t="s">
        <v>111</v>
      </c>
      <c r="AC769" s="17">
        <v>1992</v>
      </c>
      <c r="AD769" s="17">
        <v>10</v>
      </c>
      <c r="AE769" s="17"/>
      <c r="AF769" s="17"/>
      <c r="AG769" s="17">
        <v>1992</v>
      </c>
      <c r="AH769" s="14">
        <f t="shared" si="55"/>
        <v>0</v>
      </c>
      <c r="AI769" s="17">
        <f t="shared" si="56"/>
        <v>10</v>
      </c>
      <c r="AJ769" s="17"/>
      <c r="AK769" s="17" t="s">
        <v>58</v>
      </c>
      <c r="AL769" s="16" t="s">
        <v>859</v>
      </c>
      <c r="AM769" s="15">
        <v>2009</v>
      </c>
      <c r="AN769" s="15" t="s">
        <v>860</v>
      </c>
      <c r="AO769" s="15" t="s">
        <v>56</v>
      </c>
      <c r="AP769" s="15" t="s">
        <v>861</v>
      </c>
      <c r="AQ769" s="15" t="s">
        <v>56</v>
      </c>
      <c r="AR769" s="15" t="s">
        <v>58</v>
      </c>
      <c r="AS769" s="15" t="s">
        <v>163</v>
      </c>
      <c r="AT769" s="15"/>
      <c r="AU769" s="45" t="s">
        <v>862</v>
      </c>
      <c r="AV769" s="15"/>
      <c r="AW769" s="12" t="str">
        <f>B769&amp;C769&amp;L769&amp;M769&amp;O769&amp;U769&amp;AL769&amp;AM769</f>
        <v>AustraliaMaria Island Marine Nature ReserveCystophora retroflexaBrown algaecover0.719916288803627Barrett2009</v>
      </c>
    </row>
    <row r="770" spans="1:49" ht="15" customHeight="1" x14ac:dyDescent="0.35">
      <c r="A770" s="12">
        <v>769</v>
      </c>
      <c r="B770" s="15" t="s">
        <v>66</v>
      </c>
      <c r="C770" s="15" t="s">
        <v>1298</v>
      </c>
      <c r="D770" s="15" t="s">
        <v>1298</v>
      </c>
      <c r="E770" s="15" t="s">
        <v>136</v>
      </c>
      <c r="F770" s="16" t="s">
        <v>50</v>
      </c>
      <c r="G770" s="16" t="s">
        <v>51</v>
      </c>
      <c r="H770" s="16" t="s">
        <v>52</v>
      </c>
      <c r="I770" s="16" t="s">
        <v>53</v>
      </c>
      <c r="J770" s="17"/>
      <c r="K770" s="17">
        <v>12</v>
      </c>
      <c r="L770" s="17" t="s">
        <v>433</v>
      </c>
      <c r="M770" s="17" t="s">
        <v>874</v>
      </c>
      <c r="N770" s="14" t="s">
        <v>85</v>
      </c>
      <c r="O770" s="17" t="s">
        <v>101</v>
      </c>
      <c r="P770" s="17"/>
      <c r="Q770" s="17">
        <v>32.3560209424083</v>
      </c>
      <c r="R770" s="17">
        <v>15.706806282722498</v>
      </c>
      <c r="S770" s="17">
        <v>26.073298429319301</v>
      </c>
      <c r="T770" s="17">
        <v>27.015706806282701</v>
      </c>
      <c r="U770" s="20">
        <f t="shared" si="54"/>
        <v>2.1344578313253022</v>
      </c>
      <c r="V770" s="41">
        <f t="shared" ref="V770:V833" si="57">IFERROR(IF(U770 = "", "",(U770-1)*100),"N/A")</f>
        <v>113.44578313253022</v>
      </c>
      <c r="W770" s="17"/>
      <c r="X770" s="17" t="s">
        <v>56</v>
      </c>
      <c r="Z770" s="17" t="s">
        <v>56</v>
      </c>
      <c r="AA770" s="17"/>
      <c r="AB770" s="17" t="s">
        <v>111</v>
      </c>
      <c r="AC770" s="17">
        <v>1992</v>
      </c>
      <c r="AD770" s="17">
        <v>10</v>
      </c>
      <c r="AE770" s="17"/>
      <c r="AF770" s="17"/>
      <c r="AG770" s="17">
        <v>1992</v>
      </c>
      <c r="AH770" s="14">
        <f t="shared" si="55"/>
        <v>0</v>
      </c>
      <c r="AI770" s="17">
        <f t="shared" si="56"/>
        <v>10</v>
      </c>
      <c r="AJ770" s="17"/>
      <c r="AK770" s="17" t="s">
        <v>58</v>
      </c>
      <c r="AL770" s="16" t="s">
        <v>859</v>
      </c>
      <c r="AM770" s="15">
        <v>2009</v>
      </c>
      <c r="AN770" s="12" t="s">
        <v>860</v>
      </c>
      <c r="AO770" s="15" t="s">
        <v>56</v>
      </c>
      <c r="AP770" s="15" t="s">
        <v>861</v>
      </c>
      <c r="AQ770" s="15" t="s">
        <v>56</v>
      </c>
      <c r="AR770" s="15" t="s">
        <v>58</v>
      </c>
      <c r="AS770" s="15" t="s">
        <v>163</v>
      </c>
      <c r="AT770" s="15"/>
      <c r="AU770" s="45" t="s">
        <v>862</v>
      </c>
      <c r="AV770" s="15"/>
      <c r="AW770" s="12" t="str">
        <f>B770&amp;C770&amp;L770&amp;M770&amp;O770&amp;U770&amp;AL770&amp;AM770</f>
        <v>AustraliaMaria Island Marine Nature ReserveEcklonia radiataBrown kelpcover2.1344578313253Barrett2009</v>
      </c>
    </row>
    <row r="771" spans="1:49" ht="15" customHeight="1" x14ac:dyDescent="0.35">
      <c r="A771" s="12">
        <v>770</v>
      </c>
      <c r="B771" s="15" t="s">
        <v>66</v>
      </c>
      <c r="C771" s="15" t="s">
        <v>1298</v>
      </c>
      <c r="D771" s="15" t="s">
        <v>1298</v>
      </c>
      <c r="E771" s="15" t="s">
        <v>136</v>
      </c>
      <c r="F771" s="16" t="s">
        <v>50</v>
      </c>
      <c r="G771" s="16" t="s">
        <v>51</v>
      </c>
      <c r="H771" s="16" t="s">
        <v>52</v>
      </c>
      <c r="I771" s="16" t="s">
        <v>53</v>
      </c>
      <c r="J771" s="17"/>
      <c r="K771" s="17">
        <v>12</v>
      </c>
      <c r="L771" s="17" t="s">
        <v>447</v>
      </c>
      <c r="M771" s="17" t="s">
        <v>873</v>
      </c>
      <c r="N771" s="17" t="s">
        <v>85</v>
      </c>
      <c r="O771" s="17" t="s">
        <v>101</v>
      </c>
      <c r="P771" s="17"/>
      <c r="Q771" s="17">
        <v>22.058823529411701</v>
      </c>
      <c r="R771" s="17">
        <v>0.88235294117647101</v>
      </c>
      <c r="S771" s="17">
        <v>41.911764705882298</v>
      </c>
      <c r="T771" s="17">
        <v>8.3823529411764692</v>
      </c>
      <c r="U771" s="20">
        <f t="shared" si="54"/>
        <v>4.9999999999999893</v>
      </c>
      <c r="V771" s="41">
        <f t="shared" si="57"/>
        <v>399.99999999999892</v>
      </c>
      <c r="W771" s="17"/>
      <c r="X771" s="17" t="s">
        <v>56</v>
      </c>
      <c r="Z771" s="17" t="s">
        <v>56</v>
      </c>
      <c r="AA771" s="17"/>
      <c r="AB771" s="17" t="s">
        <v>111</v>
      </c>
      <c r="AC771" s="17">
        <v>1992</v>
      </c>
      <c r="AD771" s="17">
        <v>10</v>
      </c>
      <c r="AE771" s="17"/>
      <c r="AF771" s="17"/>
      <c r="AG771" s="17">
        <v>1992</v>
      </c>
      <c r="AH771" s="14">
        <f t="shared" si="55"/>
        <v>0</v>
      </c>
      <c r="AI771" s="17">
        <f t="shared" si="56"/>
        <v>10</v>
      </c>
      <c r="AJ771" s="17"/>
      <c r="AK771" s="17" t="s">
        <v>58</v>
      </c>
      <c r="AL771" s="16" t="s">
        <v>859</v>
      </c>
      <c r="AM771" s="15">
        <v>2009</v>
      </c>
      <c r="AN771" s="12" t="s">
        <v>860</v>
      </c>
      <c r="AO771" s="15" t="s">
        <v>56</v>
      </c>
      <c r="AP771" s="15" t="s">
        <v>861</v>
      </c>
      <c r="AQ771" s="15" t="s">
        <v>56</v>
      </c>
      <c r="AR771" s="15" t="s">
        <v>58</v>
      </c>
      <c r="AS771" s="15" t="s">
        <v>163</v>
      </c>
      <c r="AT771" s="15"/>
      <c r="AU771" s="45" t="s">
        <v>862</v>
      </c>
      <c r="AV771" s="15"/>
      <c r="AW771" s="12" t="str">
        <f>B771&amp;C771&amp;L771&amp;M771&amp;O771&amp;U771&amp;AL771&amp;AM771</f>
        <v>AustraliaMaria Island Marine Nature ReservePhyllospora comosacrayweedcover4.99999999999999Barrett2009</v>
      </c>
    </row>
    <row r="772" spans="1:49" ht="15" customHeight="1" x14ac:dyDescent="0.35">
      <c r="A772" s="12">
        <v>771</v>
      </c>
      <c r="B772" s="12" t="s">
        <v>66</v>
      </c>
      <c r="C772" s="12" t="s">
        <v>1298</v>
      </c>
      <c r="D772" s="15" t="s">
        <v>1298</v>
      </c>
      <c r="E772" s="12" t="s">
        <v>136</v>
      </c>
      <c r="F772" s="16" t="s">
        <v>50</v>
      </c>
      <c r="G772" s="16" t="s">
        <v>51</v>
      </c>
      <c r="H772" s="13" t="s">
        <v>52</v>
      </c>
      <c r="I772" s="13" t="s">
        <v>53</v>
      </c>
      <c r="J772" s="17"/>
      <c r="K772" s="17">
        <v>12</v>
      </c>
      <c r="L772" s="14" t="s">
        <v>1316</v>
      </c>
      <c r="M772" s="14" t="s">
        <v>1317</v>
      </c>
      <c r="N772" s="14" t="s">
        <v>120</v>
      </c>
      <c r="O772" s="17" t="s">
        <v>101</v>
      </c>
      <c r="P772" s="14"/>
      <c r="Q772" s="14">
        <v>5</v>
      </c>
      <c r="R772" s="14">
        <v>7.3749999999999902</v>
      </c>
      <c r="S772" s="14">
        <v>0.624999999999995</v>
      </c>
      <c r="T772" s="14">
        <v>5.125</v>
      </c>
      <c r="U772" s="19">
        <f t="shared" si="54"/>
        <v>5.5593220338983569</v>
      </c>
      <c r="V772" s="41">
        <f t="shared" si="57"/>
        <v>455.93220338983571</v>
      </c>
      <c r="W772" s="14"/>
      <c r="X772" s="14" t="s">
        <v>56</v>
      </c>
      <c r="Z772" s="14" t="s">
        <v>56</v>
      </c>
      <c r="AA772" s="14"/>
      <c r="AB772" s="14" t="s">
        <v>111</v>
      </c>
      <c r="AC772" s="14">
        <v>1992</v>
      </c>
      <c r="AD772" s="14">
        <v>10</v>
      </c>
      <c r="AE772" s="14"/>
      <c r="AF772" s="14"/>
      <c r="AG772" s="17">
        <v>1992</v>
      </c>
      <c r="AH772" s="14">
        <f t="shared" si="55"/>
        <v>0</v>
      </c>
      <c r="AI772" s="17">
        <f t="shared" si="56"/>
        <v>10</v>
      </c>
      <c r="AJ772" s="14"/>
      <c r="AK772" s="14" t="s">
        <v>58</v>
      </c>
      <c r="AL772" s="13" t="s">
        <v>859</v>
      </c>
      <c r="AM772" s="12">
        <v>2009</v>
      </c>
      <c r="AN772" s="12" t="s">
        <v>860</v>
      </c>
      <c r="AO772" s="12" t="s">
        <v>56</v>
      </c>
      <c r="AP772" s="12" t="s">
        <v>861</v>
      </c>
      <c r="AQ772" s="12" t="s">
        <v>56</v>
      </c>
      <c r="AR772" s="12" t="s">
        <v>58</v>
      </c>
      <c r="AS772" s="12" t="s">
        <v>163</v>
      </c>
      <c r="AT772" s="12"/>
      <c r="AU772" s="45" t="s">
        <v>862</v>
      </c>
      <c r="AV772" s="15"/>
      <c r="AW772" s="12" t="str">
        <f>B772&amp;C772&amp;L772&amp;M772&amp;O772&amp;U772&amp;AL772&amp;AM772</f>
        <v>AustraliaMaria Island Marine Nature ReserveSargassum spp.brown macroalgeacover5.55932203389836Barrett2009</v>
      </c>
    </row>
    <row r="773" spans="1:49" ht="15" customHeight="1" x14ac:dyDescent="0.35">
      <c r="A773" s="12">
        <v>772</v>
      </c>
      <c r="B773" s="15" t="s">
        <v>66</v>
      </c>
      <c r="C773" s="15" t="s">
        <v>1298</v>
      </c>
      <c r="D773" s="15" t="s">
        <v>1298</v>
      </c>
      <c r="E773" s="15" t="s">
        <v>136</v>
      </c>
      <c r="F773" s="16" t="s">
        <v>50</v>
      </c>
      <c r="G773" s="16" t="s">
        <v>51</v>
      </c>
      <c r="H773" s="16" t="s">
        <v>52</v>
      </c>
      <c r="I773" s="16" t="s">
        <v>53</v>
      </c>
      <c r="J773" s="17"/>
      <c r="K773" s="17">
        <v>12</v>
      </c>
      <c r="L773" s="17" t="s">
        <v>1318</v>
      </c>
      <c r="M773" s="17" t="s">
        <v>1319</v>
      </c>
      <c r="N773" s="14" t="s">
        <v>85</v>
      </c>
      <c r="O773" s="17" t="s">
        <v>101</v>
      </c>
      <c r="P773" s="17"/>
      <c r="Q773" s="17">
        <v>6.7924528301886804</v>
      </c>
      <c r="R773" s="17">
        <v>3.5849056603773599</v>
      </c>
      <c r="S773" s="17">
        <v>7.3584905660377391</v>
      </c>
      <c r="T773" s="17">
        <v>7.3584905660377391</v>
      </c>
      <c r="U773" s="20">
        <f t="shared" si="54"/>
        <v>1.8947368421052626</v>
      </c>
      <c r="V773" s="41">
        <f t="shared" si="57"/>
        <v>89.473684210526258</v>
      </c>
      <c r="W773" s="17"/>
      <c r="X773" s="17" t="s">
        <v>56</v>
      </c>
      <c r="Z773" s="17" t="s">
        <v>56</v>
      </c>
      <c r="AA773" s="17"/>
      <c r="AB773" s="17" t="s">
        <v>111</v>
      </c>
      <c r="AC773" s="17">
        <v>1992</v>
      </c>
      <c r="AD773" s="17">
        <v>10</v>
      </c>
      <c r="AE773" s="17"/>
      <c r="AF773" s="17"/>
      <c r="AG773" s="17">
        <v>1992</v>
      </c>
      <c r="AH773" s="14">
        <f t="shared" si="55"/>
        <v>0</v>
      </c>
      <c r="AI773" s="17">
        <f t="shared" si="56"/>
        <v>10</v>
      </c>
      <c r="AJ773" s="17"/>
      <c r="AK773" s="17" t="s">
        <v>58</v>
      </c>
      <c r="AL773" s="16" t="s">
        <v>859</v>
      </c>
      <c r="AM773" s="15">
        <v>2009</v>
      </c>
      <c r="AN773" s="15" t="s">
        <v>860</v>
      </c>
      <c r="AO773" s="15" t="s">
        <v>56</v>
      </c>
      <c r="AP773" s="15" t="s">
        <v>861</v>
      </c>
      <c r="AQ773" s="15" t="s">
        <v>56</v>
      </c>
      <c r="AR773" s="15" t="s">
        <v>58</v>
      </c>
      <c r="AS773" s="15" t="s">
        <v>163</v>
      </c>
      <c r="AT773" s="15"/>
      <c r="AU773" s="45" t="s">
        <v>862</v>
      </c>
      <c r="AV773" s="15"/>
      <c r="AW773" s="12" t="str">
        <f>B773&amp;C773&amp;L773&amp;M773&amp;O773&amp;U773&amp;AL773&amp;AM773</f>
        <v>AustraliaMaria Island Marine Nature ReserveSeirococcus axillarisgolden kelpcover1.89473684210526Barrett2009</v>
      </c>
    </row>
    <row r="774" spans="1:49" ht="15" customHeight="1" x14ac:dyDescent="0.35">
      <c r="A774" s="12">
        <v>773</v>
      </c>
      <c r="B774" s="15" t="s">
        <v>66</v>
      </c>
      <c r="C774" s="15" t="s">
        <v>1298</v>
      </c>
      <c r="D774" s="15" t="s">
        <v>1298</v>
      </c>
      <c r="E774" s="15" t="s">
        <v>136</v>
      </c>
      <c r="F774" s="16" t="s">
        <v>50</v>
      </c>
      <c r="G774" s="16" t="s">
        <v>51</v>
      </c>
      <c r="H774" s="16" t="s">
        <v>52</v>
      </c>
      <c r="I774" s="16" t="s">
        <v>53</v>
      </c>
      <c r="J774" s="17"/>
      <c r="K774" s="17">
        <v>12</v>
      </c>
      <c r="L774" s="17" t="s">
        <v>1320</v>
      </c>
      <c r="M774" s="17" t="s">
        <v>1321</v>
      </c>
      <c r="N774" s="17" t="s">
        <v>85</v>
      </c>
      <c r="O774" s="17" t="s">
        <v>101</v>
      </c>
      <c r="P774" s="17"/>
      <c r="Q774" s="17">
        <v>7.50000000000033E-2</v>
      </c>
      <c r="R774" s="17">
        <v>7.50000000000033E-2</v>
      </c>
      <c r="S774" s="17">
        <v>7.50000000000033E-2</v>
      </c>
      <c r="T774" s="17">
        <v>7.50000000000033E-2</v>
      </c>
      <c r="U774" s="20">
        <f t="shared" si="54"/>
        <v>1</v>
      </c>
      <c r="V774" s="41">
        <f t="shared" si="57"/>
        <v>0</v>
      </c>
      <c r="W774" s="17"/>
      <c r="X774" s="17" t="s">
        <v>56</v>
      </c>
      <c r="Z774" s="17" t="s">
        <v>56</v>
      </c>
      <c r="AA774" s="17"/>
      <c r="AB774" s="17" t="s">
        <v>111</v>
      </c>
      <c r="AC774" s="17">
        <v>1992</v>
      </c>
      <c r="AD774" s="17">
        <v>10</v>
      </c>
      <c r="AE774" s="17"/>
      <c r="AF774" s="17"/>
      <c r="AG774" s="17">
        <v>1992</v>
      </c>
      <c r="AH774" s="14">
        <f t="shared" si="55"/>
        <v>0</v>
      </c>
      <c r="AI774" s="17">
        <f t="shared" si="56"/>
        <v>10</v>
      </c>
      <c r="AJ774" s="17"/>
      <c r="AK774" s="17" t="s">
        <v>58</v>
      </c>
      <c r="AL774" s="16" t="s">
        <v>859</v>
      </c>
      <c r="AM774" s="15">
        <v>2009</v>
      </c>
      <c r="AN774" s="15" t="s">
        <v>860</v>
      </c>
      <c r="AO774" s="15" t="s">
        <v>56</v>
      </c>
      <c r="AP774" s="15" t="s">
        <v>861</v>
      </c>
      <c r="AQ774" s="15" t="s">
        <v>56</v>
      </c>
      <c r="AR774" s="15" t="s">
        <v>58</v>
      </c>
      <c r="AS774" s="15" t="s">
        <v>163</v>
      </c>
      <c r="AT774" s="15"/>
      <c r="AU774" s="45" t="s">
        <v>862</v>
      </c>
      <c r="AV774" s="15"/>
      <c r="AW774" s="12" t="str">
        <f>B774&amp;C774&amp;L774&amp;M774&amp;O774&amp;U774&amp;AL774&amp;AM774</f>
        <v>AustraliaMaria Island Marine Nature ReserveUndaria pinnatifidaWakamecover1Barrett2009</v>
      </c>
    </row>
    <row r="775" spans="1:49" ht="15" customHeight="1" x14ac:dyDescent="0.35">
      <c r="A775" s="12">
        <v>774</v>
      </c>
      <c r="B775" s="15" t="s">
        <v>66</v>
      </c>
      <c r="C775" s="15" t="s">
        <v>1298</v>
      </c>
      <c r="D775" s="15" t="s">
        <v>1298</v>
      </c>
      <c r="E775" s="15" t="s">
        <v>136</v>
      </c>
      <c r="F775" s="16" t="s">
        <v>50</v>
      </c>
      <c r="G775" s="16" t="s">
        <v>51</v>
      </c>
      <c r="H775" s="16" t="s">
        <v>52</v>
      </c>
      <c r="I775" s="16" t="s">
        <v>53</v>
      </c>
      <c r="J775" s="17"/>
      <c r="K775" s="17">
        <v>12</v>
      </c>
      <c r="L775" s="17" t="s">
        <v>1322</v>
      </c>
      <c r="M775" s="17" t="s">
        <v>1323</v>
      </c>
      <c r="N775" s="14" t="s">
        <v>120</v>
      </c>
      <c r="O775" s="17" t="s">
        <v>101</v>
      </c>
      <c r="P775" s="17"/>
      <c r="Q775" s="17">
        <v>6.3541666666666599</v>
      </c>
      <c r="R775" s="17">
        <v>9.8958333333333304</v>
      </c>
      <c r="S775" s="17">
        <v>10.5208333333333</v>
      </c>
      <c r="T775" s="17">
        <v>14.999999999999901</v>
      </c>
      <c r="U775" s="20">
        <f t="shared" si="54"/>
        <v>0.91547681083897481</v>
      </c>
      <c r="V775" s="41">
        <f t="shared" si="57"/>
        <v>-8.4523189161025201</v>
      </c>
      <c r="W775" s="17"/>
      <c r="X775" s="17" t="s">
        <v>56</v>
      </c>
      <c r="Z775" s="17" t="s">
        <v>56</v>
      </c>
      <c r="AA775" s="17"/>
      <c r="AB775" s="17" t="s">
        <v>111</v>
      </c>
      <c r="AC775" s="17">
        <v>1992</v>
      </c>
      <c r="AD775" s="17">
        <v>10</v>
      </c>
      <c r="AE775" s="17"/>
      <c r="AF775" s="17"/>
      <c r="AG775" s="17">
        <v>1992</v>
      </c>
      <c r="AH775" s="14">
        <f t="shared" si="55"/>
        <v>0</v>
      </c>
      <c r="AI775" s="17">
        <f t="shared" si="56"/>
        <v>10</v>
      </c>
      <c r="AJ775" s="17"/>
      <c r="AK775" s="17" t="s">
        <v>58</v>
      </c>
      <c r="AL775" s="16" t="s">
        <v>859</v>
      </c>
      <c r="AM775" s="15">
        <v>2009</v>
      </c>
      <c r="AN775" s="15" t="s">
        <v>860</v>
      </c>
      <c r="AO775" s="15" t="s">
        <v>56</v>
      </c>
      <c r="AP775" s="15" t="s">
        <v>861</v>
      </c>
      <c r="AQ775" s="15" t="s">
        <v>56</v>
      </c>
      <c r="AR775" s="15" t="s">
        <v>58</v>
      </c>
      <c r="AS775" s="15" t="s">
        <v>163</v>
      </c>
      <c r="AT775" s="15"/>
      <c r="AU775" s="45" t="s">
        <v>862</v>
      </c>
      <c r="AV775" s="15"/>
      <c r="AW775" s="12" t="str">
        <f>B775&amp;C775&amp;L775&amp;M775&amp;O775&amp;U775&amp;AL775&amp;AM775</f>
        <v>AustraliaMaria Island Marine Nature ReserveZonaria spp.thalloid brown algacover0.915476810838975Barrett2009</v>
      </c>
    </row>
    <row r="776" spans="1:49" ht="15" customHeight="1" x14ac:dyDescent="0.35">
      <c r="A776" s="12">
        <v>775</v>
      </c>
      <c r="B776" s="12" t="s">
        <v>66</v>
      </c>
      <c r="C776" s="15" t="s">
        <v>1298</v>
      </c>
      <c r="D776" s="15" t="s">
        <v>1298</v>
      </c>
      <c r="E776" s="15" t="s">
        <v>136</v>
      </c>
      <c r="F776" s="16" t="s">
        <v>50</v>
      </c>
      <c r="G776" s="16" t="s">
        <v>51</v>
      </c>
      <c r="H776" s="16" t="s">
        <v>52</v>
      </c>
      <c r="I776" s="16" t="s">
        <v>53</v>
      </c>
      <c r="J776" s="17"/>
      <c r="K776" s="17">
        <v>12</v>
      </c>
      <c r="L776" s="17" t="s">
        <v>1324</v>
      </c>
      <c r="M776" s="17" t="s">
        <v>1325</v>
      </c>
      <c r="N776" s="14" t="s">
        <v>85</v>
      </c>
      <c r="O776" s="17" t="s">
        <v>101</v>
      </c>
      <c r="P776" s="17"/>
      <c r="Q776" s="17">
        <v>0.62893081761006298</v>
      </c>
      <c r="R776" s="17">
        <v>0.78616352201258599</v>
      </c>
      <c r="S776" s="17">
        <v>0</v>
      </c>
      <c r="T776" s="17">
        <v>0.94339622641509502</v>
      </c>
      <c r="U776" s="20" t="str">
        <f t="shared" si="54"/>
        <v>N/A</v>
      </c>
      <c r="V776" s="41" t="str">
        <f t="shared" si="57"/>
        <v>N/A</v>
      </c>
      <c r="W776" s="17"/>
      <c r="X776" s="17" t="s">
        <v>56</v>
      </c>
      <c r="Z776" s="17" t="s">
        <v>56</v>
      </c>
      <c r="AA776" s="17"/>
      <c r="AB776" s="17" t="s">
        <v>111</v>
      </c>
      <c r="AC776" s="17">
        <v>1992</v>
      </c>
      <c r="AD776" s="17">
        <v>10</v>
      </c>
      <c r="AE776" s="17"/>
      <c r="AF776" s="17"/>
      <c r="AG776" s="17">
        <v>1992</v>
      </c>
      <c r="AH776" s="14">
        <f t="shared" si="55"/>
        <v>0</v>
      </c>
      <c r="AI776" s="17">
        <f t="shared" si="56"/>
        <v>10</v>
      </c>
      <c r="AJ776" s="17"/>
      <c r="AK776" s="17" t="s">
        <v>58</v>
      </c>
      <c r="AL776" s="16" t="s">
        <v>859</v>
      </c>
      <c r="AM776" s="15">
        <v>2009</v>
      </c>
      <c r="AN776" s="12" t="s">
        <v>860</v>
      </c>
      <c r="AO776" s="15" t="s">
        <v>56</v>
      </c>
      <c r="AP776" s="15" t="s">
        <v>861</v>
      </c>
      <c r="AQ776" s="15" t="s">
        <v>56</v>
      </c>
      <c r="AR776" s="15" t="s">
        <v>58</v>
      </c>
      <c r="AS776" s="15" t="s">
        <v>163</v>
      </c>
      <c r="AT776" s="15"/>
      <c r="AU776" s="45" t="s">
        <v>862</v>
      </c>
      <c r="AV776" s="15"/>
      <c r="AW776" s="12" t="str">
        <f>B776&amp;C776&amp;L776&amp;M776&amp;O776&amp;U776&amp;AL776&amp;AM776</f>
        <v>AustraliaMaria Island Marine Nature ReserveCaulerpa flexilisgreen seaweedcoverN/ABarrett2009</v>
      </c>
    </row>
    <row r="777" spans="1:49" ht="14.25" customHeight="1" x14ac:dyDescent="0.35">
      <c r="A777" s="12">
        <v>776</v>
      </c>
      <c r="B777" s="15" t="s">
        <v>66</v>
      </c>
      <c r="C777" s="15" t="s">
        <v>1983</v>
      </c>
      <c r="D777" s="15" t="s">
        <v>1983</v>
      </c>
      <c r="E777" s="15" t="s">
        <v>136</v>
      </c>
      <c r="F777" s="16" t="s">
        <v>50</v>
      </c>
      <c r="G777" s="16" t="s">
        <v>51</v>
      </c>
      <c r="H777" s="16" t="s">
        <v>52</v>
      </c>
      <c r="I777" s="16" t="s">
        <v>53</v>
      </c>
      <c r="J777" s="17">
        <v>0.72</v>
      </c>
      <c r="K777" s="17"/>
      <c r="L777" s="17" t="s">
        <v>1990</v>
      </c>
      <c r="M777" s="17" t="s">
        <v>1275</v>
      </c>
      <c r="N777" s="14" t="s">
        <v>85</v>
      </c>
      <c r="O777" s="17" t="s">
        <v>101</v>
      </c>
      <c r="P777" s="17"/>
      <c r="Q777" s="17">
        <v>16.780821917808201</v>
      </c>
      <c r="R777" s="17">
        <v>0</v>
      </c>
      <c r="S777" s="17">
        <v>4.4520547945205502</v>
      </c>
      <c r="T777" s="17">
        <v>2.3972602739725999</v>
      </c>
      <c r="U777" s="20" t="str">
        <f t="shared" si="54"/>
        <v>N/A</v>
      </c>
      <c r="V777" s="41" t="str">
        <f t="shared" si="57"/>
        <v>N/A</v>
      </c>
      <c r="W777" s="17"/>
      <c r="X777" s="17" t="s">
        <v>56</v>
      </c>
      <c r="Z777" s="17" t="s">
        <v>56</v>
      </c>
      <c r="AA777" s="17"/>
      <c r="AB777" s="17" t="s">
        <v>111</v>
      </c>
      <c r="AC777" s="17">
        <v>1992</v>
      </c>
      <c r="AD777" s="17">
        <v>10</v>
      </c>
      <c r="AE777" s="17"/>
      <c r="AF777" s="17"/>
      <c r="AG777" s="17">
        <v>1992</v>
      </c>
      <c r="AH777" s="14">
        <f t="shared" si="55"/>
        <v>0</v>
      </c>
      <c r="AI777" s="17">
        <f t="shared" si="56"/>
        <v>10</v>
      </c>
      <c r="AJ777" s="17"/>
      <c r="AK777" s="17" t="s">
        <v>58</v>
      </c>
      <c r="AL777" s="16" t="s">
        <v>859</v>
      </c>
      <c r="AM777" s="15">
        <v>2009</v>
      </c>
      <c r="AN777" s="12" t="s">
        <v>860</v>
      </c>
      <c r="AO777" s="15" t="s">
        <v>56</v>
      </c>
      <c r="AP777" s="15" t="s">
        <v>861</v>
      </c>
      <c r="AQ777" s="15" t="s">
        <v>56</v>
      </c>
      <c r="AR777" s="15" t="s">
        <v>58</v>
      </c>
      <c r="AS777" s="15" t="s">
        <v>163</v>
      </c>
      <c r="AT777" s="15"/>
      <c r="AU777" s="45" t="s">
        <v>862</v>
      </c>
      <c r="AV777" s="15"/>
      <c r="AW777" s="12" t="str">
        <f>B777&amp;C777&amp;L777&amp;M777&amp;O777&amp;U777&amp;AL777&amp;AM777</f>
        <v>AustraliaTinderbox Marine Nature ReserveAcrocarpia panniculatabrown algaecoverN/ABarrett2009</v>
      </c>
    </row>
    <row r="778" spans="1:49" ht="14.25" customHeight="1" x14ac:dyDescent="0.35">
      <c r="A778" s="12">
        <v>777</v>
      </c>
      <c r="B778" s="12" t="s">
        <v>66</v>
      </c>
      <c r="C778" s="15" t="s">
        <v>1983</v>
      </c>
      <c r="D778" s="15" t="s">
        <v>1983</v>
      </c>
      <c r="E778" s="15" t="s">
        <v>136</v>
      </c>
      <c r="F778" s="13" t="s">
        <v>50</v>
      </c>
      <c r="G778" s="16" t="s">
        <v>51</v>
      </c>
      <c r="H778" s="16" t="s">
        <v>52</v>
      </c>
      <c r="I778" s="16" t="s">
        <v>53</v>
      </c>
      <c r="J778" s="17">
        <v>0.72</v>
      </c>
      <c r="K778" s="17"/>
      <c r="L778" s="17" t="s">
        <v>1312</v>
      </c>
      <c r="M778" s="17" t="s">
        <v>1313</v>
      </c>
      <c r="N778" s="14" t="s">
        <v>85</v>
      </c>
      <c r="O778" s="17" t="s">
        <v>101</v>
      </c>
      <c r="P778" s="17"/>
      <c r="Q778" s="17">
        <v>10</v>
      </c>
      <c r="R778" s="17">
        <v>7.3863636363636296</v>
      </c>
      <c r="S778" s="17">
        <v>2.8409090909090899</v>
      </c>
      <c r="T778" s="17">
        <v>5.3409090909090899</v>
      </c>
      <c r="U778" s="20">
        <f t="shared" si="54"/>
        <v>2.5452307692307721</v>
      </c>
      <c r="V778" s="41">
        <f t="shared" si="57"/>
        <v>154.52307692307721</v>
      </c>
      <c r="W778" s="17"/>
      <c r="X778" s="17" t="s">
        <v>56</v>
      </c>
      <c r="Z778" s="17" t="s">
        <v>56</v>
      </c>
      <c r="AA778" s="17"/>
      <c r="AB778" s="17" t="s">
        <v>111</v>
      </c>
      <c r="AC778" s="17">
        <v>1992</v>
      </c>
      <c r="AD778" s="17">
        <v>10</v>
      </c>
      <c r="AE778" s="17"/>
      <c r="AF778" s="17"/>
      <c r="AG778" s="17">
        <v>1992</v>
      </c>
      <c r="AH778" s="14">
        <f t="shared" si="55"/>
        <v>0</v>
      </c>
      <c r="AI778" s="17">
        <f t="shared" si="56"/>
        <v>10</v>
      </c>
      <c r="AJ778" s="17"/>
      <c r="AK778" s="17" t="s">
        <v>58</v>
      </c>
      <c r="AL778" s="16" t="s">
        <v>859</v>
      </c>
      <c r="AM778" s="15">
        <v>2009</v>
      </c>
      <c r="AN778" s="12" t="s">
        <v>860</v>
      </c>
      <c r="AO778" s="15" t="s">
        <v>56</v>
      </c>
      <c r="AP778" s="15" t="s">
        <v>861</v>
      </c>
      <c r="AQ778" s="15" t="s">
        <v>56</v>
      </c>
      <c r="AR778" s="15" t="s">
        <v>58</v>
      </c>
      <c r="AS778" s="15" t="s">
        <v>163</v>
      </c>
      <c r="AT778" s="15"/>
      <c r="AU778" s="45" t="s">
        <v>862</v>
      </c>
      <c r="AV778" s="15"/>
      <c r="AW778" s="12" t="str">
        <f>B778&amp;C778&amp;L778&amp;M778&amp;O778&amp;U778&amp;AL778&amp;AM778</f>
        <v>AustraliaTinderbox Marine Nature ReserveCarpoglossum confluensBrown seaweedcover2.54523076923077Barrett2009</v>
      </c>
    </row>
    <row r="779" spans="1:49" ht="14.25" customHeight="1" x14ac:dyDescent="0.35">
      <c r="A779" s="12">
        <v>778</v>
      </c>
      <c r="B779" s="15" t="s">
        <v>66</v>
      </c>
      <c r="C779" s="15" t="s">
        <v>1983</v>
      </c>
      <c r="D779" s="15" t="s">
        <v>1983</v>
      </c>
      <c r="E779" s="15" t="s">
        <v>136</v>
      </c>
      <c r="F779" s="16" t="s">
        <v>50</v>
      </c>
      <c r="G779" s="16" t="s">
        <v>51</v>
      </c>
      <c r="H779" s="16" t="s">
        <v>52</v>
      </c>
      <c r="I779" s="16" t="s">
        <v>53</v>
      </c>
      <c r="J779" s="17">
        <v>0.72</v>
      </c>
      <c r="K779" s="17"/>
      <c r="L779" s="17" t="s">
        <v>433</v>
      </c>
      <c r="M779" s="17" t="s">
        <v>874</v>
      </c>
      <c r="N779" s="14" t="s">
        <v>85</v>
      </c>
      <c r="O779" s="17" t="s">
        <v>101</v>
      </c>
      <c r="P779" s="17"/>
      <c r="Q779" s="17">
        <v>43.5746606334841</v>
      </c>
      <c r="R779" s="17">
        <v>37.873303167420801</v>
      </c>
      <c r="S779" s="17">
        <v>46.4253393665158</v>
      </c>
      <c r="T779" s="17">
        <v>31.357466063348401</v>
      </c>
      <c r="U779" s="20">
        <f t="shared" si="54"/>
        <v>0.7771175249952833</v>
      </c>
      <c r="V779" s="41">
        <f t="shared" si="57"/>
        <v>-22.28824750047167</v>
      </c>
      <c r="W779" s="17"/>
      <c r="X779" s="17" t="s">
        <v>56</v>
      </c>
      <c r="Z779" s="17" t="s">
        <v>56</v>
      </c>
      <c r="AA779" s="17"/>
      <c r="AB779" s="17" t="s">
        <v>111</v>
      </c>
      <c r="AC779" s="17">
        <v>1992</v>
      </c>
      <c r="AD779" s="17">
        <v>10</v>
      </c>
      <c r="AE779" s="17"/>
      <c r="AF779" s="17"/>
      <c r="AG779" s="17">
        <v>1992</v>
      </c>
      <c r="AH779" s="14">
        <f t="shared" si="55"/>
        <v>0</v>
      </c>
      <c r="AI779" s="17">
        <f t="shared" si="56"/>
        <v>10</v>
      </c>
      <c r="AJ779" s="17"/>
      <c r="AK779" s="17" t="s">
        <v>58</v>
      </c>
      <c r="AL779" s="16" t="s">
        <v>859</v>
      </c>
      <c r="AM779" s="15">
        <v>2009</v>
      </c>
      <c r="AN779" s="15" t="s">
        <v>860</v>
      </c>
      <c r="AO779" s="15" t="s">
        <v>56</v>
      </c>
      <c r="AP779" s="15" t="s">
        <v>861</v>
      </c>
      <c r="AQ779" s="15" t="s">
        <v>56</v>
      </c>
      <c r="AR779" s="15" t="s">
        <v>58</v>
      </c>
      <c r="AS779" s="15" t="s">
        <v>163</v>
      </c>
      <c r="AT779" s="15"/>
      <c r="AU779" s="45" t="s">
        <v>862</v>
      </c>
      <c r="AV779" s="15"/>
      <c r="AW779" s="12" t="str">
        <f>B779&amp;C779&amp;L779&amp;M779&amp;O779&amp;U779&amp;AL779&amp;AM779</f>
        <v>AustraliaTinderbox Marine Nature ReserveEcklonia radiataBrown kelpcover0.777117524995283Barrett2009</v>
      </c>
    </row>
    <row r="780" spans="1:49" ht="14.25" customHeight="1" x14ac:dyDescent="0.35">
      <c r="A780" s="12">
        <v>779</v>
      </c>
      <c r="B780" s="12" t="s">
        <v>66</v>
      </c>
      <c r="C780" s="15" t="s">
        <v>1983</v>
      </c>
      <c r="D780" s="15" t="s">
        <v>1983</v>
      </c>
      <c r="E780" s="15" t="s">
        <v>136</v>
      </c>
      <c r="F780" s="13" t="s">
        <v>50</v>
      </c>
      <c r="G780" s="13" t="s">
        <v>51</v>
      </c>
      <c r="H780" s="16" t="s">
        <v>52</v>
      </c>
      <c r="I780" s="16" t="s">
        <v>53</v>
      </c>
      <c r="J780" s="17">
        <v>0.72</v>
      </c>
      <c r="K780" s="17"/>
      <c r="L780" s="17" t="s">
        <v>1991</v>
      </c>
      <c r="M780" s="17" t="s">
        <v>1992</v>
      </c>
      <c r="N780" s="17" t="s">
        <v>85</v>
      </c>
      <c r="O780" s="17" t="s">
        <v>101</v>
      </c>
      <c r="P780" s="17"/>
      <c r="Q780" s="17">
        <v>3.2432432432432399</v>
      </c>
      <c r="R780" s="17">
        <v>0</v>
      </c>
      <c r="S780" s="17">
        <v>7.7837837837837798</v>
      </c>
      <c r="T780" s="17">
        <v>1.4594594594594501</v>
      </c>
      <c r="U780" s="20" t="str">
        <f t="shared" si="54"/>
        <v>N/A</v>
      </c>
      <c r="V780" s="41" t="str">
        <f t="shared" si="57"/>
        <v>N/A</v>
      </c>
      <c r="W780" s="17"/>
      <c r="X780" s="17" t="s">
        <v>56</v>
      </c>
      <c r="Z780" s="17" t="s">
        <v>56</v>
      </c>
      <c r="AA780" s="17"/>
      <c r="AB780" s="17" t="s">
        <v>111</v>
      </c>
      <c r="AC780" s="17">
        <v>1992</v>
      </c>
      <c r="AD780" s="17">
        <v>10</v>
      </c>
      <c r="AE780" s="17"/>
      <c r="AF780" s="17"/>
      <c r="AG780" s="17">
        <v>1992</v>
      </c>
      <c r="AH780" s="14">
        <f t="shared" si="55"/>
        <v>0</v>
      </c>
      <c r="AI780" s="17">
        <f t="shared" si="56"/>
        <v>10</v>
      </c>
      <c r="AJ780" s="17"/>
      <c r="AK780" s="17" t="s">
        <v>58</v>
      </c>
      <c r="AL780" s="16" t="s">
        <v>859</v>
      </c>
      <c r="AM780" s="15">
        <v>2009</v>
      </c>
      <c r="AN780" s="15" t="s">
        <v>860</v>
      </c>
      <c r="AO780" s="15" t="s">
        <v>56</v>
      </c>
      <c r="AP780" s="15" t="s">
        <v>861</v>
      </c>
      <c r="AQ780" s="15" t="s">
        <v>56</v>
      </c>
      <c r="AR780" s="15" t="s">
        <v>58</v>
      </c>
      <c r="AS780" s="15" t="s">
        <v>163</v>
      </c>
      <c r="AT780" s="15"/>
      <c r="AU780" s="45" t="s">
        <v>862</v>
      </c>
      <c r="AV780" s="15"/>
      <c r="AW780" s="12" t="str">
        <f>B780&amp;C780&amp;L780&amp;M780&amp;O780&amp;U780&amp;AL780&amp;AM780</f>
        <v>AustraliaTinderbox Marine Nature ReserveMacrocystis pyriferagiant kelpcoverN/ABarrett2009</v>
      </c>
    </row>
    <row r="781" spans="1:49" ht="14.25" customHeight="1" x14ac:dyDescent="0.35">
      <c r="A781" s="12">
        <v>780</v>
      </c>
      <c r="B781" s="12" t="s">
        <v>66</v>
      </c>
      <c r="C781" s="12" t="s">
        <v>1983</v>
      </c>
      <c r="D781" s="15" t="s">
        <v>1983</v>
      </c>
      <c r="E781" s="12" t="s">
        <v>136</v>
      </c>
      <c r="F781" s="13" t="s">
        <v>50</v>
      </c>
      <c r="G781" s="13" t="s">
        <v>51</v>
      </c>
      <c r="H781" s="13" t="s">
        <v>52</v>
      </c>
      <c r="I781" s="13" t="s">
        <v>53</v>
      </c>
      <c r="J781" s="17">
        <v>0.72</v>
      </c>
      <c r="K781" s="17"/>
      <c r="L781" s="14" t="s">
        <v>1316</v>
      </c>
      <c r="M781" s="14" t="s">
        <v>1317</v>
      </c>
      <c r="N781" s="14" t="s">
        <v>120</v>
      </c>
      <c r="O781" s="17" t="s">
        <v>101</v>
      </c>
      <c r="P781" s="14"/>
      <c r="Q781" s="14">
        <v>3.1939163498098901</v>
      </c>
      <c r="R781" s="14">
        <v>0.91254752851711296</v>
      </c>
      <c r="S781" s="14">
        <v>1.25475285171102</v>
      </c>
      <c r="T781" s="14">
        <v>5.0190114068440996</v>
      </c>
      <c r="U781" s="19">
        <f t="shared" si="54"/>
        <v>14.00000000000003</v>
      </c>
      <c r="V781" s="41">
        <f t="shared" si="57"/>
        <v>1300.000000000003</v>
      </c>
      <c r="W781" s="14"/>
      <c r="X781" s="14" t="s">
        <v>56</v>
      </c>
      <c r="Z781" s="14" t="s">
        <v>56</v>
      </c>
      <c r="AA781" s="14"/>
      <c r="AB781" s="14" t="s">
        <v>111</v>
      </c>
      <c r="AC781" s="14">
        <v>1992</v>
      </c>
      <c r="AD781" s="14">
        <v>10</v>
      </c>
      <c r="AE781" s="14"/>
      <c r="AF781" s="14"/>
      <c r="AG781" s="17">
        <v>1992</v>
      </c>
      <c r="AH781" s="14">
        <f t="shared" si="55"/>
        <v>0</v>
      </c>
      <c r="AI781" s="17">
        <f t="shared" si="56"/>
        <v>10</v>
      </c>
      <c r="AJ781" s="14"/>
      <c r="AK781" s="14" t="s">
        <v>58</v>
      </c>
      <c r="AL781" s="13" t="s">
        <v>859</v>
      </c>
      <c r="AM781" s="12">
        <v>2009</v>
      </c>
      <c r="AN781" s="12" t="s">
        <v>860</v>
      </c>
      <c r="AO781" s="12" t="s">
        <v>56</v>
      </c>
      <c r="AP781" s="12" t="s">
        <v>861</v>
      </c>
      <c r="AQ781" s="12" t="s">
        <v>56</v>
      </c>
      <c r="AR781" s="12" t="s">
        <v>58</v>
      </c>
      <c r="AS781" s="12" t="s">
        <v>163</v>
      </c>
      <c r="AT781" s="12"/>
      <c r="AU781" s="45" t="s">
        <v>862</v>
      </c>
      <c r="AV781" s="15"/>
      <c r="AW781" s="12" t="str">
        <f>B781&amp;C781&amp;L781&amp;M781&amp;O781&amp;U781&amp;AL781&amp;AM781</f>
        <v>AustraliaTinderbox Marine Nature ReserveSargassum spp.brown macroalgeacover14Barrett2009</v>
      </c>
    </row>
    <row r="782" spans="1:49" ht="14.25" customHeight="1" x14ac:dyDescent="0.35">
      <c r="A782" s="12">
        <v>781</v>
      </c>
      <c r="B782" s="12" t="s">
        <v>66</v>
      </c>
      <c r="C782" s="12" t="s">
        <v>1983</v>
      </c>
      <c r="D782" s="15" t="s">
        <v>1983</v>
      </c>
      <c r="E782" s="12" t="s">
        <v>136</v>
      </c>
      <c r="F782" s="13" t="s">
        <v>50</v>
      </c>
      <c r="G782" s="13" t="s">
        <v>51</v>
      </c>
      <c r="H782" s="13" t="s">
        <v>52</v>
      </c>
      <c r="I782" s="13" t="s">
        <v>53</v>
      </c>
      <c r="J782" s="17">
        <v>0.72</v>
      </c>
      <c r="K782" s="14"/>
      <c r="L782" s="14" t="s">
        <v>1320</v>
      </c>
      <c r="M782" s="14" t="s">
        <v>1321</v>
      </c>
      <c r="N782" s="14" t="s">
        <v>85</v>
      </c>
      <c r="O782" s="17" t="s">
        <v>101</v>
      </c>
      <c r="P782" s="14"/>
      <c r="Q782" s="14">
        <v>0</v>
      </c>
      <c r="R782" s="14">
        <v>0</v>
      </c>
      <c r="S782" s="14">
        <v>0</v>
      </c>
      <c r="T782" s="14">
        <v>1.5706806282722401</v>
      </c>
      <c r="U782" s="19" t="str">
        <f t="shared" si="54"/>
        <v>N/A</v>
      </c>
      <c r="V782" s="41" t="str">
        <f t="shared" si="57"/>
        <v>N/A</v>
      </c>
      <c r="W782" s="14"/>
      <c r="X782" s="14" t="s">
        <v>56</v>
      </c>
      <c r="Z782" s="14" t="s">
        <v>56</v>
      </c>
      <c r="AA782" s="14"/>
      <c r="AB782" s="14" t="s">
        <v>111</v>
      </c>
      <c r="AC782" s="14">
        <v>1992</v>
      </c>
      <c r="AD782" s="14">
        <v>10</v>
      </c>
      <c r="AE782" s="14"/>
      <c r="AF782" s="14"/>
      <c r="AG782" s="17">
        <v>1992</v>
      </c>
      <c r="AH782" s="14">
        <f t="shared" si="55"/>
        <v>0</v>
      </c>
      <c r="AI782" s="17">
        <f t="shared" si="56"/>
        <v>10</v>
      </c>
      <c r="AJ782" s="14"/>
      <c r="AK782" s="14" t="s">
        <v>58</v>
      </c>
      <c r="AL782" s="13" t="s">
        <v>859</v>
      </c>
      <c r="AM782" s="12">
        <v>2009</v>
      </c>
      <c r="AN782" s="12" t="s">
        <v>860</v>
      </c>
      <c r="AO782" s="12" t="s">
        <v>56</v>
      </c>
      <c r="AP782" s="12" t="s">
        <v>861</v>
      </c>
      <c r="AQ782" s="12" t="s">
        <v>56</v>
      </c>
      <c r="AR782" s="12" t="s">
        <v>58</v>
      </c>
      <c r="AS782" s="12" t="s">
        <v>163</v>
      </c>
      <c r="AT782" s="12"/>
      <c r="AU782" s="45" t="s">
        <v>862</v>
      </c>
      <c r="AV782" s="15"/>
      <c r="AW782" s="12" t="str">
        <f>B782&amp;C782&amp;L782&amp;M782&amp;O782&amp;U782&amp;AL782&amp;AM782</f>
        <v>AustraliaTinderbox Marine Nature ReserveUndaria pinnatifidaWakamecoverN/ABarrett2009</v>
      </c>
    </row>
    <row r="783" spans="1:49" ht="14.25" customHeight="1" x14ac:dyDescent="0.35">
      <c r="A783" s="12">
        <v>782</v>
      </c>
      <c r="B783" s="12" t="s">
        <v>66</v>
      </c>
      <c r="C783" s="12" t="s">
        <v>1983</v>
      </c>
      <c r="D783" s="15" t="s">
        <v>1983</v>
      </c>
      <c r="E783" s="12" t="s">
        <v>136</v>
      </c>
      <c r="F783" s="13" t="s">
        <v>50</v>
      </c>
      <c r="G783" s="13" t="s">
        <v>51</v>
      </c>
      <c r="H783" s="13" t="s">
        <v>52</v>
      </c>
      <c r="I783" s="13" t="s">
        <v>53</v>
      </c>
      <c r="J783" s="17">
        <v>0.72</v>
      </c>
      <c r="K783" s="14"/>
      <c r="L783" s="14" t="s">
        <v>1993</v>
      </c>
      <c r="M783" s="14" t="s">
        <v>1274</v>
      </c>
      <c r="N783" s="14" t="s">
        <v>120</v>
      </c>
      <c r="O783" s="17" t="s">
        <v>101</v>
      </c>
      <c r="P783" s="14"/>
      <c r="Q783" s="14">
        <v>0.9523809523809359</v>
      </c>
      <c r="R783" s="14">
        <v>0.71428571428570198</v>
      </c>
      <c r="S783" s="14">
        <v>7.8571428571428497</v>
      </c>
      <c r="T783" s="14">
        <v>2.1428571428571299</v>
      </c>
      <c r="U783" s="19">
        <f t="shared" si="54"/>
        <v>0.36363636363636176</v>
      </c>
      <c r="V783" s="41">
        <f t="shared" si="57"/>
        <v>-63.636363636363825</v>
      </c>
      <c r="W783" s="14"/>
      <c r="X783" s="14" t="s">
        <v>56</v>
      </c>
      <c r="Z783" s="14" t="s">
        <v>56</v>
      </c>
      <c r="AA783" s="14"/>
      <c r="AB783" s="14" t="s">
        <v>111</v>
      </c>
      <c r="AC783" s="14">
        <v>1992</v>
      </c>
      <c r="AD783" s="14">
        <v>10</v>
      </c>
      <c r="AE783" s="14"/>
      <c r="AF783" s="14"/>
      <c r="AG783" s="17">
        <v>1992</v>
      </c>
      <c r="AH783" s="14">
        <f t="shared" si="55"/>
        <v>0</v>
      </c>
      <c r="AI783" s="17">
        <f t="shared" si="56"/>
        <v>10</v>
      </c>
      <c r="AJ783" s="14"/>
      <c r="AK783" s="14" t="s">
        <v>58</v>
      </c>
      <c r="AL783" s="13" t="s">
        <v>859</v>
      </c>
      <c r="AM783" s="12">
        <v>2009</v>
      </c>
      <c r="AN783" s="12" t="s">
        <v>860</v>
      </c>
      <c r="AO783" s="12" t="s">
        <v>56</v>
      </c>
      <c r="AP783" s="12" t="s">
        <v>861</v>
      </c>
      <c r="AQ783" s="12" t="s">
        <v>56</v>
      </c>
      <c r="AR783" s="12" t="s">
        <v>58</v>
      </c>
      <c r="AS783" s="12" t="s">
        <v>163</v>
      </c>
      <c r="AT783" s="12"/>
      <c r="AU783" s="45" t="s">
        <v>862</v>
      </c>
      <c r="AV783" s="15"/>
      <c r="AW783" s="12" t="str">
        <f>B783&amp;C783&amp;L783&amp;M783&amp;O783&amp;U783&amp;AL783&amp;AM783</f>
        <v>AustraliaTinderbox Marine Nature ReserveCallophyllis spp.red algaecover0.363636363636362Barrett2009</v>
      </c>
    </row>
    <row r="784" spans="1:49" ht="14.25" customHeight="1" x14ac:dyDescent="0.35">
      <c r="A784" s="12">
        <v>783</v>
      </c>
      <c r="B784" s="12" t="s">
        <v>66</v>
      </c>
      <c r="C784" s="44" t="s">
        <v>1489</v>
      </c>
      <c r="D784" s="43" t="s">
        <v>1489</v>
      </c>
      <c r="E784" s="12" t="s">
        <v>136</v>
      </c>
      <c r="F784" s="13" t="s">
        <v>50</v>
      </c>
      <c r="G784" s="13" t="s">
        <v>51</v>
      </c>
      <c r="H784" s="13" t="s">
        <v>52</v>
      </c>
      <c r="I784" s="13" t="s">
        <v>53</v>
      </c>
      <c r="J784" s="17"/>
      <c r="K784" s="17">
        <v>7</v>
      </c>
      <c r="L784" s="14" t="s">
        <v>1312</v>
      </c>
      <c r="M784" s="14" t="s">
        <v>1313</v>
      </c>
      <c r="N784" s="14" t="s">
        <v>85</v>
      </c>
      <c r="O784" s="17" t="s">
        <v>101</v>
      </c>
      <c r="P784" s="14"/>
      <c r="Q784" s="14">
        <v>5.6313993174061396</v>
      </c>
      <c r="R784" s="14">
        <v>11.6894197952218</v>
      </c>
      <c r="S784" s="14">
        <v>9.7269624573378799</v>
      </c>
      <c r="T784" s="14">
        <v>20.307167235494799</v>
      </c>
      <c r="U784" s="19">
        <f t="shared" si="54"/>
        <v>1.0057625816365725</v>
      </c>
      <c r="V784" s="41">
        <f t="shared" si="57"/>
        <v>0.57625816365725058</v>
      </c>
      <c r="W784" s="14"/>
      <c r="X784" s="14" t="s">
        <v>56</v>
      </c>
      <c r="Z784" s="14" t="s">
        <v>56</v>
      </c>
      <c r="AA784" s="14"/>
      <c r="AB784" s="14" t="s">
        <v>111</v>
      </c>
      <c r="AC784" s="14">
        <v>1992</v>
      </c>
      <c r="AD784" s="14">
        <v>10</v>
      </c>
      <c r="AE784" s="14"/>
      <c r="AF784" s="14"/>
      <c r="AG784" s="17">
        <v>1992</v>
      </c>
      <c r="AH784" s="14">
        <f t="shared" si="55"/>
        <v>0</v>
      </c>
      <c r="AI784" s="17">
        <f t="shared" si="56"/>
        <v>10</v>
      </c>
      <c r="AJ784" s="14"/>
      <c r="AK784" s="14" t="s">
        <v>58</v>
      </c>
      <c r="AL784" s="13" t="s">
        <v>859</v>
      </c>
      <c r="AM784" s="12">
        <v>2009</v>
      </c>
      <c r="AN784" s="12" t="s">
        <v>860</v>
      </c>
      <c r="AO784" s="12" t="s">
        <v>56</v>
      </c>
      <c r="AP784" s="12" t="s">
        <v>861</v>
      </c>
      <c r="AQ784" s="12" t="s">
        <v>56</v>
      </c>
      <c r="AR784" s="12" t="s">
        <v>58</v>
      </c>
      <c r="AS784" s="12" t="s">
        <v>163</v>
      </c>
      <c r="AT784" s="12"/>
      <c r="AU784" s="45" t="s">
        <v>862</v>
      </c>
      <c r="AV784" s="15"/>
      <c r="AW784" s="12" t="str">
        <f>B784&amp;C784&amp;L784&amp;M784&amp;O784&amp;U784&amp;AL784&amp;AM784</f>
        <v>AustraliaNinepin Point Marine Nature ReserveCarpoglossum confluensBrown seaweedcover1.00576258163657Barrett2009</v>
      </c>
    </row>
    <row r="785" spans="1:49" ht="14.25" customHeight="1" x14ac:dyDescent="0.35">
      <c r="A785" s="12">
        <v>784</v>
      </c>
      <c r="B785" s="12" t="s">
        <v>66</v>
      </c>
      <c r="C785" s="44" t="s">
        <v>1489</v>
      </c>
      <c r="D785" s="43" t="s">
        <v>1489</v>
      </c>
      <c r="E785" s="12" t="s">
        <v>136</v>
      </c>
      <c r="F785" s="13" t="s">
        <v>50</v>
      </c>
      <c r="G785" s="13" t="s">
        <v>51</v>
      </c>
      <c r="H785" s="13" t="s">
        <v>52</v>
      </c>
      <c r="I785" s="13" t="s">
        <v>53</v>
      </c>
      <c r="J785" s="17"/>
      <c r="K785" s="14">
        <v>7</v>
      </c>
      <c r="L785" s="14" t="s">
        <v>433</v>
      </c>
      <c r="M785" s="14" t="s">
        <v>874</v>
      </c>
      <c r="N785" s="14" t="s">
        <v>85</v>
      </c>
      <c r="O785" s="17" t="s">
        <v>101</v>
      </c>
      <c r="P785" s="14"/>
      <c r="Q785" s="14">
        <v>3.3333333333333299</v>
      </c>
      <c r="R785" s="14">
        <v>13.690476190476099</v>
      </c>
      <c r="S785" s="14">
        <v>11.9047619047619</v>
      </c>
      <c r="T785" s="14">
        <v>11.9047619047619</v>
      </c>
      <c r="U785" s="19">
        <f t="shared" si="54"/>
        <v>0.24347826086956659</v>
      </c>
      <c r="V785" s="41">
        <f t="shared" si="57"/>
        <v>-75.652173913043342</v>
      </c>
      <c r="W785" s="14"/>
      <c r="X785" s="14" t="s">
        <v>56</v>
      </c>
      <c r="Z785" s="14" t="s">
        <v>56</v>
      </c>
      <c r="AA785" s="14"/>
      <c r="AB785" s="14" t="s">
        <v>111</v>
      </c>
      <c r="AC785" s="14">
        <v>1992</v>
      </c>
      <c r="AD785" s="14">
        <v>10</v>
      </c>
      <c r="AE785" s="14"/>
      <c r="AF785" s="14"/>
      <c r="AG785" s="17">
        <v>1992</v>
      </c>
      <c r="AH785" s="14">
        <f t="shared" si="55"/>
        <v>0</v>
      </c>
      <c r="AI785" s="17">
        <f t="shared" si="56"/>
        <v>10</v>
      </c>
      <c r="AJ785" s="14"/>
      <c r="AK785" s="14" t="s">
        <v>58</v>
      </c>
      <c r="AL785" s="13" t="s">
        <v>859</v>
      </c>
      <c r="AM785" s="12">
        <v>2009</v>
      </c>
      <c r="AN785" s="12" t="s">
        <v>860</v>
      </c>
      <c r="AO785" s="12" t="s">
        <v>56</v>
      </c>
      <c r="AP785" s="12" t="s">
        <v>861</v>
      </c>
      <c r="AQ785" s="12" t="s">
        <v>56</v>
      </c>
      <c r="AR785" s="12" t="s">
        <v>58</v>
      </c>
      <c r="AS785" s="12" t="s">
        <v>163</v>
      </c>
      <c r="AT785" s="12"/>
      <c r="AU785" s="45" t="s">
        <v>862</v>
      </c>
      <c r="AV785" s="15"/>
      <c r="AW785" s="12" t="str">
        <f>B785&amp;C785&amp;L785&amp;M785&amp;O785&amp;U785&amp;AL785&amp;AM785</f>
        <v>AustraliaNinepin Point Marine Nature ReserveEcklonia radiataBrown kelpcover0.243478260869567Barrett2009</v>
      </c>
    </row>
    <row r="786" spans="1:49" ht="14.25" customHeight="1" x14ac:dyDescent="0.35">
      <c r="A786" s="12">
        <v>785</v>
      </c>
      <c r="B786" s="12" t="s">
        <v>66</v>
      </c>
      <c r="C786" s="44" t="s">
        <v>1489</v>
      </c>
      <c r="D786" s="43" t="s">
        <v>1489</v>
      </c>
      <c r="E786" s="12" t="s">
        <v>136</v>
      </c>
      <c r="F786" s="13" t="s">
        <v>50</v>
      </c>
      <c r="G786" s="13" t="s">
        <v>51</v>
      </c>
      <c r="H786" s="13" t="s">
        <v>52</v>
      </c>
      <c r="I786" s="13" t="s">
        <v>53</v>
      </c>
      <c r="J786" s="17"/>
      <c r="K786" s="14">
        <v>7</v>
      </c>
      <c r="L786" s="14" t="s">
        <v>1316</v>
      </c>
      <c r="M786" s="14" t="s">
        <v>1317</v>
      </c>
      <c r="N786" s="14" t="s">
        <v>120</v>
      </c>
      <c r="O786" s="17" t="s">
        <v>101</v>
      </c>
      <c r="P786" s="14"/>
      <c r="Q786" s="14">
        <v>15.524193548387</v>
      </c>
      <c r="R786" s="14">
        <v>1.4112903225806399</v>
      </c>
      <c r="S786" s="14">
        <v>6.0483870967741904</v>
      </c>
      <c r="T786" s="14">
        <v>6.8548387096774199</v>
      </c>
      <c r="U786" s="19">
        <f t="shared" si="54"/>
        <v>12.466666666666642</v>
      </c>
      <c r="V786" s="41">
        <f t="shared" si="57"/>
        <v>1146.6666666666642</v>
      </c>
      <c r="W786" s="14"/>
      <c r="X786" s="14" t="s">
        <v>56</v>
      </c>
      <c r="Z786" s="14" t="s">
        <v>56</v>
      </c>
      <c r="AA786" s="14"/>
      <c r="AB786" s="14" t="s">
        <v>111</v>
      </c>
      <c r="AC786" s="14">
        <v>1992</v>
      </c>
      <c r="AD786" s="14">
        <v>10</v>
      </c>
      <c r="AE786" s="14"/>
      <c r="AF786" s="14"/>
      <c r="AG786" s="17">
        <v>1992</v>
      </c>
      <c r="AH786" s="14">
        <f t="shared" si="55"/>
        <v>0</v>
      </c>
      <c r="AI786" s="17">
        <f t="shared" si="56"/>
        <v>10</v>
      </c>
      <c r="AJ786" s="14"/>
      <c r="AK786" s="14" t="s">
        <v>58</v>
      </c>
      <c r="AL786" s="13" t="s">
        <v>859</v>
      </c>
      <c r="AM786" s="12">
        <v>2009</v>
      </c>
      <c r="AN786" s="12" t="s">
        <v>860</v>
      </c>
      <c r="AO786" s="12" t="s">
        <v>56</v>
      </c>
      <c r="AP786" s="12" t="s">
        <v>861</v>
      </c>
      <c r="AQ786" s="12" t="s">
        <v>56</v>
      </c>
      <c r="AR786" s="12" t="s">
        <v>58</v>
      </c>
      <c r="AS786" s="12" t="s">
        <v>163</v>
      </c>
      <c r="AT786" s="12"/>
      <c r="AU786" s="45" t="s">
        <v>862</v>
      </c>
      <c r="AV786" s="15"/>
      <c r="AW786" s="12" t="str">
        <f>B786&amp;C786&amp;L786&amp;M786&amp;O786&amp;U786&amp;AL786&amp;AM786</f>
        <v>AustraliaNinepin Point Marine Nature ReserveSargassum spp.brown macroalgeacover12.4666666666666Barrett2009</v>
      </c>
    </row>
    <row r="787" spans="1:49" ht="14.25" customHeight="1" x14ac:dyDescent="0.35">
      <c r="A787" s="12">
        <v>786</v>
      </c>
      <c r="B787" s="12" t="s">
        <v>66</v>
      </c>
      <c r="C787" s="44" t="s">
        <v>1489</v>
      </c>
      <c r="D787" s="43" t="s">
        <v>1489</v>
      </c>
      <c r="E787" s="12" t="s">
        <v>136</v>
      </c>
      <c r="F787" s="13" t="s">
        <v>50</v>
      </c>
      <c r="G787" s="13" t="s">
        <v>51</v>
      </c>
      <c r="H787" s="13" t="s">
        <v>52</v>
      </c>
      <c r="I787" s="13" t="s">
        <v>53</v>
      </c>
      <c r="J787" s="17"/>
      <c r="K787" s="14">
        <v>7</v>
      </c>
      <c r="L787" s="14" t="s">
        <v>1322</v>
      </c>
      <c r="M787" s="14" t="s">
        <v>1323</v>
      </c>
      <c r="N787" s="14" t="s">
        <v>120</v>
      </c>
      <c r="O787" s="17" t="s">
        <v>101</v>
      </c>
      <c r="P787" s="14"/>
      <c r="Q787" s="14">
        <v>6.6734693877551008</v>
      </c>
      <c r="R787" s="14">
        <v>5.3265306122448903</v>
      </c>
      <c r="S787" s="14">
        <v>8.3877551020408099</v>
      </c>
      <c r="T787" s="14">
        <v>6.4897959183673404</v>
      </c>
      <c r="U787" s="19">
        <f t="shared" si="54"/>
        <v>0.96937662555583615</v>
      </c>
      <c r="V787" s="41">
        <f t="shared" si="57"/>
        <v>-3.0623374444163853</v>
      </c>
      <c r="W787" s="14"/>
      <c r="X787" s="14" t="s">
        <v>56</v>
      </c>
      <c r="Z787" s="14" t="s">
        <v>56</v>
      </c>
      <c r="AA787" s="14"/>
      <c r="AB787" s="14" t="s">
        <v>111</v>
      </c>
      <c r="AC787" s="14">
        <v>1992</v>
      </c>
      <c r="AD787" s="14">
        <v>10</v>
      </c>
      <c r="AE787" s="14"/>
      <c r="AF787" s="14"/>
      <c r="AG787" s="17">
        <v>1992</v>
      </c>
      <c r="AH787" s="14">
        <f t="shared" si="55"/>
        <v>0</v>
      </c>
      <c r="AI787" s="17">
        <f t="shared" si="56"/>
        <v>10</v>
      </c>
      <c r="AJ787" s="14"/>
      <c r="AK787" s="14" t="s">
        <v>58</v>
      </c>
      <c r="AL787" s="13" t="s">
        <v>859</v>
      </c>
      <c r="AM787" s="12">
        <v>2009</v>
      </c>
      <c r="AN787" s="12" t="s">
        <v>860</v>
      </c>
      <c r="AO787" s="12" t="s">
        <v>56</v>
      </c>
      <c r="AP787" s="12" t="s">
        <v>861</v>
      </c>
      <c r="AQ787" s="12" t="s">
        <v>56</v>
      </c>
      <c r="AR787" s="12" t="s">
        <v>58</v>
      </c>
      <c r="AS787" s="12" t="s">
        <v>163</v>
      </c>
      <c r="AT787" s="12"/>
      <c r="AU787" s="45" t="s">
        <v>862</v>
      </c>
      <c r="AV787" s="15"/>
      <c r="AW787" s="12" t="str">
        <f>B787&amp;C787&amp;L787&amp;M787&amp;O787&amp;U787&amp;AL787&amp;AM787</f>
        <v>AustraliaNinepin Point Marine Nature ReserveZonaria spp.thalloid brown algacover0.969376625555836Barrett2009</v>
      </c>
    </row>
    <row r="788" spans="1:49" ht="14.25" customHeight="1" x14ac:dyDescent="0.35">
      <c r="A788" s="12">
        <v>787</v>
      </c>
      <c r="B788" s="12" t="s">
        <v>66</v>
      </c>
      <c r="C788" s="44" t="s">
        <v>1489</v>
      </c>
      <c r="D788" s="43" t="s">
        <v>1489</v>
      </c>
      <c r="E788" s="12" t="s">
        <v>136</v>
      </c>
      <c r="F788" s="13" t="s">
        <v>50</v>
      </c>
      <c r="G788" s="13" t="s">
        <v>51</v>
      </c>
      <c r="H788" s="13" t="s">
        <v>52</v>
      </c>
      <c r="I788" s="13" t="s">
        <v>53</v>
      </c>
      <c r="J788" s="17"/>
      <c r="K788" s="14">
        <v>7</v>
      </c>
      <c r="L788" s="14" t="s">
        <v>1492</v>
      </c>
      <c r="M788" s="14" t="s">
        <v>1274</v>
      </c>
      <c r="N788" s="14" t="s">
        <v>85</v>
      </c>
      <c r="O788" s="17" t="s">
        <v>101</v>
      </c>
      <c r="P788" s="14"/>
      <c r="Q788" s="14">
        <v>15.84</v>
      </c>
      <c r="R788" s="14">
        <v>12.3599999999999</v>
      </c>
      <c r="S788" s="14">
        <v>20.88</v>
      </c>
      <c r="T788" s="14">
        <v>14.039999999999901</v>
      </c>
      <c r="U788" s="19">
        <f t="shared" si="54"/>
        <v>0.86173418145296388</v>
      </c>
      <c r="V788" s="41">
        <f t="shared" si="57"/>
        <v>-13.826581854703612</v>
      </c>
      <c r="W788" s="14"/>
      <c r="X788" s="14" t="s">
        <v>56</v>
      </c>
      <c r="Z788" s="14" t="s">
        <v>56</v>
      </c>
      <c r="AA788" s="14"/>
      <c r="AB788" s="14" t="s">
        <v>111</v>
      </c>
      <c r="AC788" s="14">
        <v>1992</v>
      </c>
      <c r="AD788" s="14">
        <v>10</v>
      </c>
      <c r="AE788" s="14"/>
      <c r="AF788" s="14"/>
      <c r="AG788" s="17">
        <v>1992</v>
      </c>
      <c r="AH788" s="14">
        <f t="shared" si="55"/>
        <v>0</v>
      </c>
      <c r="AI788" s="17">
        <f t="shared" si="56"/>
        <v>10</v>
      </c>
      <c r="AJ788" s="14"/>
      <c r="AK788" s="14" t="s">
        <v>58</v>
      </c>
      <c r="AL788" s="13" t="s">
        <v>859</v>
      </c>
      <c r="AM788" s="12">
        <v>2009</v>
      </c>
      <c r="AN788" s="12" t="s">
        <v>860</v>
      </c>
      <c r="AO788" s="12" t="s">
        <v>56</v>
      </c>
      <c r="AP788" s="12" t="s">
        <v>861</v>
      </c>
      <c r="AQ788" s="12" t="s">
        <v>56</v>
      </c>
      <c r="AR788" s="12" t="s">
        <v>58</v>
      </c>
      <c r="AS788" s="12" t="s">
        <v>163</v>
      </c>
      <c r="AT788" s="12"/>
      <c r="AU788" s="45" t="s">
        <v>862</v>
      </c>
      <c r="AV788" s="15"/>
      <c r="AW788" s="12" t="str">
        <f>B788&amp;C788&amp;L788&amp;M788&amp;O788&amp;U788&amp;AL788&amp;AM788</f>
        <v>AustraliaNinepin Point Marine Nature ReserveSonderopelta coriaceaered algaecover0.861734181452964Barrett2009</v>
      </c>
    </row>
    <row r="789" spans="1:49" ht="14.25" customHeight="1" x14ac:dyDescent="0.35">
      <c r="A789" s="12">
        <v>788</v>
      </c>
      <c r="B789" s="12" t="s">
        <v>66</v>
      </c>
      <c r="C789" s="44" t="s">
        <v>1489</v>
      </c>
      <c r="D789" s="43" t="s">
        <v>1489</v>
      </c>
      <c r="E789" s="12" t="s">
        <v>136</v>
      </c>
      <c r="F789" s="13" t="s">
        <v>50</v>
      </c>
      <c r="G789" s="13" t="s">
        <v>51</v>
      </c>
      <c r="H789" s="13" t="s">
        <v>52</v>
      </c>
      <c r="I789" s="13" t="s">
        <v>53</v>
      </c>
      <c r="J789" s="17"/>
      <c r="K789" s="17">
        <v>7</v>
      </c>
      <c r="L789" s="14" t="s">
        <v>1493</v>
      </c>
      <c r="M789" s="14" t="s">
        <v>1494</v>
      </c>
      <c r="N789" s="14" t="s">
        <v>85</v>
      </c>
      <c r="O789" s="17" t="s">
        <v>101</v>
      </c>
      <c r="P789" s="14"/>
      <c r="Q789" s="14">
        <v>1.61290322580645</v>
      </c>
      <c r="R789" s="14">
        <v>1.51209677419354</v>
      </c>
      <c r="S789" s="14">
        <v>6.0483870967741904</v>
      </c>
      <c r="T789" s="14">
        <v>6.6532258064516103</v>
      </c>
      <c r="U789" s="19">
        <f t="shared" si="54"/>
        <v>1.1733333333333389</v>
      </c>
      <c r="V789" s="41">
        <f t="shared" si="57"/>
        <v>17.33333333333389</v>
      </c>
      <c r="W789" s="14"/>
      <c r="X789" s="14" t="s">
        <v>56</v>
      </c>
      <c r="Z789" s="14" t="s">
        <v>56</v>
      </c>
      <c r="AA789" s="14"/>
      <c r="AB789" s="14" t="s">
        <v>111</v>
      </c>
      <c r="AC789" s="14">
        <v>1992</v>
      </c>
      <c r="AD789" s="14">
        <v>10</v>
      </c>
      <c r="AE789" s="14"/>
      <c r="AF789" s="14"/>
      <c r="AG789" s="17">
        <v>1992</v>
      </c>
      <c r="AH789" s="14">
        <f t="shared" si="55"/>
        <v>0</v>
      </c>
      <c r="AI789" s="17">
        <f t="shared" si="56"/>
        <v>10</v>
      </c>
      <c r="AJ789" s="14"/>
      <c r="AK789" s="14" t="s">
        <v>58</v>
      </c>
      <c r="AL789" s="13" t="s">
        <v>859</v>
      </c>
      <c r="AM789" s="12">
        <v>2009</v>
      </c>
      <c r="AN789" s="12" t="s">
        <v>860</v>
      </c>
      <c r="AO789" s="12" t="s">
        <v>56</v>
      </c>
      <c r="AP789" s="12" t="s">
        <v>861</v>
      </c>
      <c r="AQ789" s="12" t="s">
        <v>56</v>
      </c>
      <c r="AR789" s="12" t="s">
        <v>58</v>
      </c>
      <c r="AS789" s="12" t="s">
        <v>163</v>
      </c>
      <c r="AT789" s="12"/>
      <c r="AU789" s="45" t="s">
        <v>862</v>
      </c>
      <c r="AV789" s="15"/>
      <c r="AW789" s="12" t="str">
        <f>B789&amp;C789&amp;L789&amp;M789&amp;O789&amp;U789&amp;AL789&amp;AM789</f>
        <v>AustraliaNinepin Point Marine Nature ReserveThamnoclonoum dichotomumalgaecover1.17333333333334Barrett2009</v>
      </c>
    </row>
    <row r="790" spans="1:49" ht="14.25" customHeight="1" x14ac:dyDescent="0.35">
      <c r="A790" s="12">
        <v>789</v>
      </c>
      <c r="B790" s="12" t="s">
        <v>66</v>
      </c>
      <c r="C790" s="12" t="s">
        <v>853</v>
      </c>
      <c r="D790" s="15" t="s">
        <v>853</v>
      </c>
      <c r="E790" s="12" t="s">
        <v>136</v>
      </c>
      <c r="F790" s="13" t="s">
        <v>50</v>
      </c>
      <c r="G790" s="13" t="s">
        <v>51</v>
      </c>
      <c r="H790" s="13" t="s">
        <v>52</v>
      </c>
      <c r="I790" s="13" t="s">
        <v>53</v>
      </c>
      <c r="J790" s="17"/>
      <c r="K790" s="17">
        <v>1</v>
      </c>
      <c r="L790" s="14" t="s">
        <v>871</v>
      </c>
      <c r="M790" s="14" t="s">
        <v>872</v>
      </c>
      <c r="N790" s="14" t="s">
        <v>85</v>
      </c>
      <c r="O790" s="17" t="s">
        <v>101</v>
      </c>
      <c r="P790" s="14"/>
      <c r="Q790" s="14">
        <v>4.29708222811671</v>
      </c>
      <c r="R790" s="14">
        <v>16.392572944297001</v>
      </c>
      <c r="S790" s="14">
        <v>10.9814323607427</v>
      </c>
      <c r="T790" s="14">
        <v>23.236074270557001</v>
      </c>
      <c r="U790" s="19">
        <f t="shared" si="54"/>
        <v>0.55466441536513533</v>
      </c>
      <c r="V790" s="41">
        <f t="shared" si="57"/>
        <v>-44.533558463486465</v>
      </c>
      <c r="W790" s="14"/>
      <c r="X790" s="14" t="s">
        <v>56</v>
      </c>
      <c r="Z790" s="14" t="s">
        <v>56</v>
      </c>
      <c r="AA790" s="14"/>
      <c r="AB790" s="14" t="s">
        <v>111</v>
      </c>
      <c r="AC790" s="14">
        <v>1992</v>
      </c>
      <c r="AD790" s="14">
        <v>10</v>
      </c>
      <c r="AE790" s="14"/>
      <c r="AF790" s="14"/>
      <c r="AG790" s="17">
        <v>1992</v>
      </c>
      <c r="AH790" s="14">
        <f t="shared" si="55"/>
        <v>0</v>
      </c>
      <c r="AI790" s="17">
        <f t="shared" si="56"/>
        <v>10</v>
      </c>
      <c r="AJ790" s="14"/>
      <c r="AK790" s="14" t="s">
        <v>58</v>
      </c>
      <c r="AL790" s="13" t="s">
        <v>859</v>
      </c>
      <c r="AM790" s="12">
        <v>2009</v>
      </c>
      <c r="AN790" s="12" t="s">
        <v>860</v>
      </c>
      <c r="AO790" s="12" t="s">
        <v>56</v>
      </c>
      <c r="AP790" s="12" t="s">
        <v>861</v>
      </c>
      <c r="AQ790" s="12" t="s">
        <v>56</v>
      </c>
      <c r="AR790" s="12" t="s">
        <v>58</v>
      </c>
      <c r="AS790" s="12" t="s">
        <v>163</v>
      </c>
      <c r="AT790" s="12"/>
      <c r="AU790" s="45" t="s">
        <v>862</v>
      </c>
      <c r="AV790" s="15"/>
      <c r="AW790" s="12" t="str">
        <f>B790&amp;C790&amp;L790&amp;M790&amp;O790&amp;U790&amp;AL790&amp;AM790</f>
        <v>AustraliaGovernor Island Marine Nature ReserveDurvillaea potatorumbull kelpcover0.554664415365135Barrett2009</v>
      </c>
    </row>
    <row r="791" spans="1:49" ht="14.25" customHeight="1" x14ac:dyDescent="0.35">
      <c r="A791" s="12">
        <v>790</v>
      </c>
      <c r="B791" s="12" t="s">
        <v>66</v>
      </c>
      <c r="C791" s="12" t="s">
        <v>853</v>
      </c>
      <c r="D791" s="15" t="s">
        <v>853</v>
      </c>
      <c r="E791" s="12" t="s">
        <v>136</v>
      </c>
      <c r="F791" s="13" t="s">
        <v>50</v>
      </c>
      <c r="G791" s="13" t="s">
        <v>51</v>
      </c>
      <c r="H791" s="13" t="s">
        <v>52</v>
      </c>
      <c r="I791" s="13" t="s">
        <v>53</v>
      </c>
      <c r="J791" s="17"/>
      <c r="K791" s="14">
        <v>1</v>
      </c>
      <c r="L791" s="14" t="s">
        <v>447</v>
      </c>
      <c r="M791" s="14" t="s">
        <v>873</v>
      </c>
      <c r="N791" s="14" t="s">
        <v>85</v>
      </c>
      <c r="O791" s="17" t="s">
        <v>101</v>
      </c>
      <c r="P791" s="14"/>
      <c r="Q791" s="14">
        <v>60</v>
      </c>
      <c r="R791" s="14">
        <v>54.315789473684198</v>
      </c>
      <c r="S791" s="14">
        <v>84.947368421052602</v>
      </c>
      <c r="T791" s="14">
        <v>67.894736842105203</v>
      </c>
      <c r="U791" s="19">
        <f t="shared" si="54"/>
        <v>0.88289962825278778</v>
      </c>
      <c r="V791" s="41">
        <f t="shared" si="57"/>
        <v>-11.710037174721222</v>
      </c>
      <c r="W791" s="14"/>
      <c r="X791" s="14" t="s">
        <v>56</v>
      </c>
      <c r="Z791" s="14" t="s">
        <v>56</v>
      </c>
      <c r="AA791" s="14"/>
      <c r="AB791" s="14" t="s">
        <v>111</v>
      </c>
      <c r="AC791" s="14">
        <v>1992</v>
      </c>
      <c r="AD791" s="14">
        <v>10</v>
      </c>
      <c r="AE791" s="14"/>
      <c r="AF791" s="14"/>
      <c r="AG791" s="17">
        <v>1992</v>
      </c>
      <c r="AH791" s="14">
        <f t="shared" si="55"/>
        <v>0</v>
      </c>
      <c r="AI791" s="17">
        <f t="shared" si="56"/>
        <v>10</v>
      </c>
      <c r="AJ791" s="14"/>
      <c r="AK791" s="14" t="s">
        <v>58</v>
      </c>
      <c r="AL791" s="13" t="s">
        <v>859</v>
      </c>
      <c r="AM791" s="12">
        <v>2009</v>
      </c>
      <c r="AN791" s="12" t="s">
        <v>860</v>
      </c>
      <c r="AO791" s="12" t="s">
        <v>56</v>
      </c>
      <c r="AP791" s="12" t="s">
        <v>861</v>
      </c>
      <c r="AQ791" s="12" t="s">
        <v>56</v>
      </c>
      <c r="AR791" s="12" t="s">
        <v>58</v>
      </c>
      <c r="AS791" s="12" t="s">
        <v>163</v>
      </c>
      <c r="AT791" s="12"/>
      <c r="AU791" s="45" t="s">
        <v>862</v>
      </c>
      <c r="AV791" s="15"/>
      <c r="AW791" s="12" t="str">
        <f>B791&amp;C791&amp;L791&amp;M791&amp;O791&amp;U791&amp;AL791&amp;AM791</f>
        <v>AustraliaGovernor Island Marine Nature ReservePhyllospora comosacrayweedcover0.882899628252788Barrett2009</v>
      </c>
    </row>
    <row r="792" spans="1:49" ht="14.25" customHeight="1" x14ac:dyDescent="0.35">
      <c r="A792" s="12">
        <v>791</v>
      </c>
      <c r="B792" s="12" t="s">
        <v>66</v>
      </c>
      <c r="C792" s="15" t="s">
        <v>853</v>
      </c>
      <c r="D792" s="15" t="s">
        <v>853</v>
      </c>
      <c r="E792" s="15" t="s">
        <v>136</v>
      </c>
      <c r="F792" s="13" t="s">
        <v>50</v>
      </c>
      <c r="G792" s="13" t="s">
        <v>51</v>
      </c>
      <c r="H792" s="16" t="s">
        <v>52</v>
      </c>
      <c r="I792" s="16" t="s">
        <v>53</v>
      </c>
      <c r="J792" s="17"/>
      <c r="K792" s="17">
        <v>1</v>
      </c>
      <c r="L792" s="17" t="s">
        <v>433</v>
      </c>
      <c r="M792" s="17" t="s">
        <v>874</v>
      </c>
      <c r="N792" s="14" t="s">
        <v>85</v>
      </c>
      <c r="O792" s="17" t="s">
        <v>101</v>
      </c>
      <c r="P792" s="17"/>
      <c r="Q792" s="17">
        <v>14.276527331189699</v>
      </c>
      <c r="R792" s="17">
        <v>16.720257234726599</v>
      </c>
      <c r="S792" s="17">
        <v>7.0739549839228202</v>
      </c>
      <c r="T792" s="17">
        <v>9.0032154340836001</v>
      </c>
      <c r="U792" s="20">
        <f t="shared" si="54"/>
        <v>1.0867132867132929</v>
      </c>
      <c r="V792" s="41">
        <f t="shared" si="57"/>
        <v>8.6713286713292916</v>
      </c>
      <c r="W792" s="17"/>
      <c r="X792" s="17" t="s">
        <v>56</v>
      </c>
      <c r="Z792" s="17" t="s">
        <v>56</v>
      </c>
      <c r="AA792" s="17"/>
      <c r="AB792" s="17" t="s">
        <v>111</v>
      </c>
      <c r="AC792" s="17">
        <v>1992</v>
      </c>
      <c r="AD792" s="17">
        <v>10</v>
      </c>
      <c r="AE792" s="17"/>
      <c r="AF792" s="17"/>
      <c r="AG792" s="17">
        <v>1992</v>
      </c>
      <c r="AH792" s="14">
        <f t="shared" si="55"/>
        <v>0</v>
      </c>
      <c r="AI792" s="17">
        <f t="shared" si="56"/>
        <v>10</v>
      </c>
      <c r="AJ792" s="17"/>
      <c r="AK792" s="17" t="s">
        <v>58</v>
      </c>
      <c r="AL792" s="16" t="s">
        <v>859</v>
      </c>
      <c r="AM792" s="15">
        <v>2009</v>
      </c>
      <c r="AN792" s="15" t="s">
        <v>860</v>
      </c>
      <c r="AO792" s="15" t="s">
        <v>56</v>
      </c>
      <c r="AP792" s="15" t="s">
        <v>861</v>
      </c>
      <c r="AQ792" s="15" t="s">
        <v>56</v>
      </c>
      <c r="AR792" s="15" t="s">
        <v>58</v>
      </c>
      <c r="AS792" s="15" t="s">
        <v>163</v>
      </c>
      <c r="AT792" s="15"/>
      <c r="AU792" s="45" t="s">
        <v>862</v>
      </c>
      <c r="AV792" s="15"/>
      <c r="AW792" s="12" t="str">
        <f>B792&amp;C792&amp;L792&amp;M792&amp;O792&amp;U792&amp;AL792&amp;AM792</f>
        <v>AustraliaGovernor Island Marine Nature ReserveEcklonia radiataBrown kelpcover1.08671328671329Barrett2009</v>
      </c>
    </row>
    <row r="793" spans="1:49" ht="14.25" customHeight="1" x14ac:dyDescent="0.35">
      <c r="A793" s="12">
        <v>792</v>
      </c>
      <c r="B793" s="12" t="s">
        <v>66</v>
      </c>
      <c r="C793" s="15" t="s">
        <v>1298</v>
      </c>
      <c r="D793" s="15" t="s">
        <v>1298</v>
      </c>
      <c r="E793" s="15" t="s">
        <v>136</v>
      </c>
      <c r="F793" s="13" t="s">
        <v>50</v>
      </c>
      <c r="G793" s="13" t="s">
        <v>51</v>
      </c>
      <c r="H793" s="16" t="s">
        <v>52</v>
      </c>
      <c r="I793" s="16" t="s">
        <v>53</v>
      </c>
      <c r="J793" s="17"/>
      <c r="K793" s="17">
        <v>12</v>
      </c>
      <c r="L793" s="17"/>
      <c r="M793" s="17" t="s">
        <v>857</v>
      </c>
      <c r="N793" s="14" t="s">
        <v>1070</v>
      </c>
      <c r="O793" s="17" t="s">
        <v>55</v>
      </c>
      <c r="P793" s="17"/>
      <c r="Q793" s="17">
        <v>16.272401433691702</v>
      </c>
      <c r="R793" s="17">
        <v>10.6810035842293</v>
      </c>
      <c r="S793" s="17">
        <v>14.838709677419301</v>
      </c>
      <c r="T793" s="17">
        <v>11.6129032258064</v>
      </c>
      <c r="U793" s="20">
        <f t="shared" si="54"/>
        <v>1.1922964692150622</v>
      </c>
      <c r="V793" s="41">
        <f t="shared" si="57"/>
        <v>19.229646921506216</v>
      </c>
      <c r="W793" s="17"/>
      <c r="X793" s="17" t="s">
        <v>56</v>
      </c>
      <c r="Z793" s="17" t="s">
        <v>56</v>
      </c>
      <c r="AA793" s="17"/>
      <c r="AB793" s="17" t="s">
        <v>111</v>
      </c>
      <c r="AC793" s="17">
        <v>1992</v>
      </c>
      <c r="AD793" s="17">
        <v>10</v>
      </c>
      <c r="AE793" s="17"/>
      <c r="AF793" s="17"/>
      <c r="AG793" s="17">
        <v>1992</v>
      </c>
      <c r="AH793" s="14">
        <f t="shared" si="55"/>
        <v>0</v>
      </c>
      <c r="AI793" s="17">
        <f t="shared" si="56"/>
        <v>10</v>
      </c>
      <c r="AJ793" s="17"/>
      <c r="AK793" s="17" t="s">
        <v>58</v>
      </c>
      <c r="AL793" s="16" t="s">
        <v>859</v>
      </c>
      <c r="AM793" s="15">
        <v>2009</v>
      </c>
      <c r="AN793" s="15" t="s">
        <v>860</v>
      </c>
      <c r="AO793" s="15" t="s">
        <v>56</v>
      </c>
      <c r="AP793" s="15" t="s">
        <v>861</v>
      </c>
      <c r="AQ793" s="15" t="s">
        <v>56</v>
      </c>
      <c r="AR793" s="15" t="s">
        <v>58</v>
      </c>
      <c r="AS793" s="15" t="s">
        <v>163</v>
      </c>
      <c r="AT793" s="15"/>
      <c r="AU793" s="45" t="s">
        <v>862</v>
      </c>
      <c r="AV793" s="15"/>
      <c r="AW793" s="12" t="str">
        <f>B793&amp;C793&amp;L793&amp;M793&amp;O793&amp;U793&amp;AL793&amp;AM793</f>
        <v>AustraliaMaria Island Marine Nature Reserveinvertebratesrichness1.19229646921506Barrett2009</v>
      </c>
    </row>
    <row r="794" spans="1:49" ht="14.5" x14ac:dyDescent="0.35">
      <c r="A794" s="12">
        <v>793</v>
      </c>
      <c r="B794" s="12" t="s">
        <v>66</v>
      </c>
      <c r="C794" s="15" t="s">
        <v>1983</v>
      </c>
      <c r="D794" s="15" t="s">
        <v>1983</v>
      </c>
      <c r="E794" s="15" t="s">
        <v>136</v>
      </c>
      <c r="F794" s="16" t="s">
        <v>50</v>
      </c>
      <c r="G794" s="16" t="s">
        <v>51</v>
      </c>
      <c r="H794" s="16" t="s">
        <v>52</v>
      </c>
      <c r="I794" s="16" t="s">
        <v>53</v>
      </c>
      <c r="J794" s="17">
        <v>0.72</v>
      </c>
      <c r="K794" s="17"/>
      <c r="L794" s="17"/>
      <c r="M794" s="17" t="s">
        <v>857</v>
      </c>
      <c r="N794" s="14" t="s">
        <v>1070</v>
      </c>
      <c r="O794" s="17" t="s">
        <v>55</v>
      </c>
      <c r="P794" s="17"/>
      <c r="Q794" s="17">
        <v>14.0794223826714</v>
      </c>
      <c r="R794" s="17">
        <v>13.5379061371841</v>
      </c>
      <c r="S794" s="17">
        <v>16.5162454873646</v>
      </c>
      <c r="T794" s="17">
        <v>11.5523465703971</v>
      </c>
      <c r="U794" s="20">
        <f t="shared" si="54"/>
        <v>0.72743169398906793</v>
      </c>
      <c r="V794" s="41">
        <f t="shared" si="57"/>
        <v>-27.256830601093206</v>
      </c>
      <c r="W794" s="17"/>
      <c r="X794" s="17" t="s">
        <v>56</v>
      </c>
      <c r="Z794" s="17" t="s">
        <v>56</v>
      </c>
      <c r="AA794" s="17"/>
      <c r="AB794" s="17" t="s">
        <v>111</v>
      </c>
      <c r="AC794" s="17">
        <v>1992</v>
      </c>
      <c r="AD794" s="17">
        <v>10</v>
      </c>
      <c r="AE794" s="17"/>
      <c r="AF794" s="17"/>
      <c r="AG794" s="17">
        <v>1992</v>
      </c>
      <c r="AH794" s="14">
        <f t="shared" si="55"/>
        <v>0</v>
      </c>
      <c r="AI794" s="17">
        <f t="shared" si="56"/>
        <v>10</v>
      </c>
      <c r="AJ794" s="17"/>
      <c r="AK794" s="17" t="s">
        <v>58</v>
      </c>
      <c r="AL794" s="16" t="s">
        <v>859</v>
      </c>
      <c r="AM794" s="15">
        <v>2009</v>
      </c>
      <c r="AN794" s="15" t="s">
        <v>860</v>
      </c>
      <c r="AO794" s="15" t="s">
        <v>56</v>
      </c>
      <c r="AP794" s="15" t="s">
        <v>861</v>
      </c>
      <c r="AQ794" s="15" t="s">
        <v>56</v>
      </c>
      <c r="AR794" s="15" t="s">
        <v>58</v>
      </c>
      <c r="AS794" s="15" t="s">
        <v>163</v>
      </c>
      <c r="AT794" s="15"/>
      <c r="AU794" s="45" t="s">
        <v>862</v>
      </c>
      <c r="AV794" s="15"/>
      <c r="AW794" s="12" t="str">
        <f>B794&amp;C794&amp;L794&amp;M794&amp;O794&amp;U794&amp;AL794&amp;AM794</f>
        <v>AustraliaTinderbox Marine Nature Reserveinvertebratesrichness0.727431693989068Barrett2009</v>
      </c>
    </row>
    <row r="795" spans="1:49" ht="14.25" customHeight="1" x14ac:dyDescent="0.35">
      <c r="A795" s="12">
        <v>794</v>
      </c>
      <c r="B795" s="12" t="s">
        <v>66</v>
      </c>
      <c r="C795" s="12" t="s">
        <v>1298</v>
      </c>
      <c r="D795" s="12" t="s">
        <v>1298</v>
      </c>
      <c r="E795" s="12" t="s">
        <v>136</v>
      </c>
      <c r="F795" s="13" t="s">
        <v>50</v>
      </c>
      <c r="G795" s="13" t="s">
        <v>51</v>
      </c>
      <c r="H795" s="13" t="s">
        <v>52</v>
      </c>
      <c r="I795" s="13" t="s">
        <v>53</v>
      </c>
      <c r="K795" s="14">
        <v>12</v>
      </c>
      <c r="L795" s="14"/>
      <c r="M795" s="14" t="s">
        <v>473</v>
      </c>
      <c r="N795" s="14" t="s">
        <v>1070</v>
      </c>
      <c r="O795" s="17" t="s">
        <v>55</v>
      </c>
      <c r="P795" s="14"/>
      <c r="Q795" s="14">
        <v>18.925233644859802</v>
      </c>
      <c r="R795" s="14">
        <v>21.028037383177502</v>
      </c>
      <c r="S795" s="14">
        <v>20.1869158878504</v>
      </c>
      <c r="T795" s="14">
        <v>23.411214953270999</v>
      </c>
      <c r="U795" s="19">
        <f t="shared" si="54"/>
        <v>1.0437500000000048</v>
      </c>
      <c r="V795" s="41">
        <f t="shared" si="57"/>
        <v>4.3750000000004841</v>
      </c>
      <c r="W795" s="14"/>
      <c r="X795" s="14" t="s">
        <v>56</v>
      </c>
      <c r="Z795" s="14" t="s">
        <v>56</v>
      </c>
      <c r="AA795" s="14"/>
      <c r="AB795" s="14" t="s">
        <v>111</v>
      </c>
      <c r="AC795" s="14">
        <v>1992</v>
      </c>
      <c r="AD795" s="14">
        <v>10</v>
      </c>
      <c r="AE795" s="14"/>
      <c r="AF795" s="14"/>
      <c r="AG795" s="14">
        <v>1992</v>
      </c>
      <c r="AH795" s="14">
        <f t="shared" si="55"/>
        <v>0</v>
      </c>
      <c r="AI795" s="17">
        <f t="shared" si="56"/>
        <v>10</v>
      </c>
      <c r="AJ795" s="14"/>
      <c r="AK795" s="14" t="s">
        <v>58</v>
      </c>
      <c r="AL795" s="13" t="s">
        <v>859</v>
      </c>
      <c r="AM795" s="12">
        <v>2009</v>
      </c>
      <c r="AN795" s="12" t="s">
        <v>860</v>
      </c>
      <c r="AO795" s="12" t="s">
        <v>56</v>
      </c>
      <c r="AP795" s="12" t="s">
        <v>861</v>
      </c>
      <c r="AQ795" s="12" t="s">
        <v>56</v>
      </c>
      <c r="AR795" s="12" t="s">
        <v>58</v>
      </c>
      <c r="AS795" s="12" t="s">
        <v>163</v>
      </c>
      <c r="AT795" s="12"/>
      <c r="AU795" s="45" t="s">
        <v>862</v>
      </c>
      <c r="AV795" s="15"/>
      <c r="AW795" s="12" t="str">
        <f>B795&amp;C795&amp;L795&amp;M795&amp;O795&amp;U795&amp;AL795&amp;AM795</f>
        <v>AustraliaMaria Island Marine Nature ReserveAlgaerichness1.04375Barrett2009</v>
      </c>
    </row>
    <row r="796" spans="1:49" ht="14.25" customHeight="1" x14ac:dyDescent="0.35">
      <c r="A796" s="12">
        <v>795</v>
      </c>
      <c r="B796" s="12" t="s">
        <v>66</v>
      </c>
      <c r="C796" s="12" t="s">
        <v>1983</v>
      </c>
      <c r="D796" s="12" t="s">
        <v>1983</v>
      </c>
      <c r="E796" s="12" t="s">
        <v>136</v>
      </c>
      <c r="F796" s="13" t="s">
        <v>50</v>
      </c>
      <c r="G796" s="13" t="s">
        <v>51</v>
      </c>
      <c r="H796" s="13" t="s">
        <v>52</v>
      </c>
      <c r="I796" s="13" t="s">
        <v>53</v>
      </c>
      <c r="J796" s="14">
        <v>0.72</v>
      </c>
      <c r="K796" s="17"/>
      <c r="L796" s="14"/>
      <c r="M796" s="14" t="s">
        <v>473</v>
      </c>
      <c r="N796" s="14" t="s">
        <v>1070</v>
      </c>
      <c r="O796" s="17" t="s">
        <v>55</v>
      </c>
      <c r="P796" s="14"/>
      <c r="Q796" s="14">
        <v>17.048458149779702</v>
      </c>
      <c r="R796" s="14">
        <v>15.3303964757709</v>
      </c>
      <c r="S796" s="14">
        <v>21.541850220264301</v>
      </c>
      <c r="T796" s="14">
        <v>22.863436123347999</v>
      </c>
      <c r="U796" s="19">
        <f t="shared" si="54"/>
        <v>1.180294055426274</v>
      </c>
      <c r="V796" s="41">
        <f t="shared" si="57"/>
        <v>18.029405542627398</v>
      </c>
      <c r="W796" s="14"/>
      <c r="X796" s="14" t="s">
        <v>56</v>
      </c>
      <c r="Z796" s="14" t="s">
        <v>56</v>
      </c>
      <c r="AA796" s="14"/>
      <c r="AB796" s="14" t="s">
        <v>111</v>
      </c>
      <c r="AC796" s="14">
        <v>1992</v>
      </c>
      <c r="AD796" s="14">
        <v>10</v>
      </c>
      <c r="AE796" s="14"/>
      <c r="AF796" s="14"/>
      <c r="AG796" s="14">
        <v>1992</v>
      </c>
      <c r="AH796" s="14">
        <f t="shared" si="55"/>
        <v>0</v>
      </c>
      <c r="AI796" s="17">
        <f t="shared" si="56"/>
        <v>10</v>
      </c>
      <c r="AJ796" s="14"/>
      <c r="AK796" s="14" t="s">
        <v>58</v>
      </c>
      <c r="AL796" s="13" t="s">
        <v>859</v>
      </c>
      <c r="AM796" s="12">
        <v>2009</v>
      </c>
      <c r="AN796" s="12" t="s">
        <v>860</v>
      </c>
      <c r="AO796" s="12" t="s">
        <v>56</v>
      </c>
      <c r="AP796" s="12" t="s">
        <v>861</v>
      </c>
      <c r="AQ796" s="12" t="s">
        <v>56</v>
      </c>
      <c r="AR796" s="12" t="s">
        <v>58</v>
      </c>
      <c r="AS796" s="12" t="s">
        <v>163</v>
      </c>
      <c r="AT796" s="12"/>
      <c r="AU796" s="45" t="s">
        <v>862</v>
      </c>
      <c r="AV796" s="15"/>
      <c r="AW796" s="12" t="str">
        <f>B796&amp;C796&amp;L796&amp;M796&amp;O796&amp;U796&amp;AL796&amp;AM796</f>
        <v>AustraliaTinderbox Marine Nature ReserveAlgaerichness1.18029405542627Barrett2009</v>
      </c>
    </row>
    <row r="797" spans="1:49" ht="14.25" customHeight="1" x14ac:dyDescent="0.35">
      <c r="A797" s="12">
        <v>796</v>
      </c>
      <c r="B797" s="15" t="s">
        <v>66</v>
      </c>
      <c r="C797" s="44" t="s">
        <v>1489</v>
      </c>
      <c r="D797" s="44" t="s">
        <v>1489</v>
      </c>
      <c r="E797" s="15" t="s">
        <v>136</v>
      </c>
      <c r="F797" s="16" t="s">
        <v>50</v>
      </c>
      <c r="G797" s="16" t="s">
        <v>51</v>
      </c>
      <c r="H797" s="16" t="s">
        <v>52</v>
      </c>
      <c r="I797" s="16" t="s">
        <v>53</v>
      </c>
      <c r="K797" s="17">
        <v>7</v>
      </c>
      <c r="L797" s="17"/>
      <c r="M797" s="17" t="s">
        <v>857</v>
      </c>
      <c r="N797" s="14" t="s">
        <v>1070</v>
      </c>
      <c r="O797" s="17" t="s">
        <v>55</v>
      </c>
      <c r="P797" s="17"/>
      <c r="Q797" s="17">
        <v>11.1004784688995</v>
      </c>
      <c r="R797" s="17">
        <v>8.6124401913875595</v>
      </c>
      <c r="S797" s="17">
        <v>11.1004784688995</v>
      </c>
      <c r="T797" s="17">
        <v>11.1004784688995</v>
      </c>
      <c r="U797" s="20">
        <f t="shared" si="54"/>
        <v>1.2888888888888863</v>
      </c>
      <c r="V797" s="41">
        <f t="shared" si="57"/>
        <v>28.88888888888863</v>
      </c>
      <c r="W797" s="17"/>
      <c r="X797" s="17" t="s">
        <v>56</v>
      </c>
      <c r="Z797" s="17" t="s">
        <v>56</v>
      </c>
      <c r="AA797" s="17"/>
      <c r="AB797" s="17" t="s">
        <v>111</v>
      </c>
      <c r="AC797" s="17">
        <v>1992</v>
      </c>
      <c r="AD797" s="17">
        <v>10</v>
      </c>
      <c r="AE797" s="17"/>
      <c r="AF797" s="17"/>
      <c r="AG797" s="17">
        <v>1992</v>
      </c>
      <c r="AH797" s="14">
        <f t="shared" si="55"/>
        <v>0</v>
      </c>
      <c r="AI797" s="17">
        <f t="shared" si="56"/>
        <v>10</v>
      </c>
      <c r="AJ797" s="17"/>
      <c r="AK797" s="17" t="s">
        <v>58</v>
      </c>
      <c r="AL797" s="16" t="s">
        <v>859</v>
      </c>
      <c r="AM797" s="15">
        <v>2009</v>
      </c>
      <c r="AN797" s="12" t="s">
        <v>860</v>
      </c>
      <c r="AO797" s="15" t="s">
        <v>56</v>
      </c>
      <c r="AP797" s="15" t="s">
        <v>861</v>
      </c>
      <c r="AQ797" s="15" t="s">
        <v>56</v>
      </c>
      <c r="AR797" s="15" t="s">
        <v>58</v>
      </c>
      <c r="AS797" s="15" t="s">
        <v>163</v>
      </c>
      <c r="AT797" s="15"/>
      <c r="AU797" s="45" t="s">
        <v>862</v>
      </c>
      <c r="AV797" s="15"/>
      <c r="AW797" s="12" t="str">
        <f>B797&amp;C797&amp;L797&amp;M797&amp;O797&amp;U797&amp;AL797&amp;AM797</f>
        <v>AustraliaNinepin Point Marine Nature Reserveinvertebratesrichness1.28888888888889Barrett2009</v>
      </c>
    </row>
    <row r="798" spans="1:49" ht="14.25" customHeight="1" x14ac:dyDescent="0.35">
      <c r="A798" s="12">
        <v>797</v>
      </c>
      <c r="B798" s="15" t="s">
        <v>66</v>
      </c>
      <c r="C798" s="12" t="s">
        <v>853</v>
      </c>
      <c r="D798" s="12" t="s">
        <v>853</v>
      </c>
      <c r="E798" s="15" t="s">
        <v>136</v>
      </c>
      <c r="F798" s="16" t="s">
        <v>50</v>
      </c>
      <c r="G798" s="16" t="s">
        <v>51</v>
      </c>
      <c r="H798" s="16" t="s">
        <v>52</v>
      </c>
      <c r="I798" s="16" t="s">
        <v>53</v>
      </c>
      <c r="K798" s="17">
        <v>1</v>
      </c>
      <c r="L798" s="17"/>
      <c r="M798" s="17" t="s">
        <v>857</v>
      </c>
      <c r="N798" s="14" t="s">
        <v>1070</v>
      </c>
      <c r="O798" s="17" t="s">
        <v>55</v>
      </c>
      <c r="P798" s="17"/>
      <c r="Q798" s="17">
        <v>8.7081339712918595</v>
      </c>
      <c r="R798" s="17">
        <v>9.7607655502392294</v>
      </c>
      <c r="S798" s="17">
        <v>13.3014354066985</v>
      </c>
      <c r="T798" s="17">
        <v>11.1961722488038</v>
      </c>
      <c r="U798" s="20">
        <f t="shared" si="54"/>
        <v>0.7509521794329258</v>
      </c>
      <c r="V798" s="41">
        <f t="shared" si="57"/>
        <v>-24.904782056707418</v>
      </c>
      <c r="W798" s="17"/>
      <c r="X798" s="17" t="s">
        <v>56</v>
      </c>
      <c r="Z798" s="17" t="s">
        <v>56</v>
      </c>
      <c r="AA798" s="17"/>
      <c r="AB798" s="17" t="s">
        <v>111</v>
      </c>
      <c r="AC798" s="17">
        <v>1992</v>
      </c>
      <c r="AD798" s="17">
        <v>10</v>
      </c>
      <c r="AE798" s="17"/>
      <c r="AF798" s="17"/>
      <c r="AG798" s="17">
        <v>1992</v>
      </c>
      <c r="AH798" s="14">
        <f t="shared" si="55"/>
        <v>0</v>
      </c>
      <c r="AI798" s="17">
        <f t="shared" si="56"/>
        <v>10</v>
      </c>
      <c r="AJ798" s="17"/>
      <c r="AK798" s="17" t="s">
        <v>58</v>
      </c>
      <c r="AL798" s="16" t="s">
        <v>859</v>
      </c>
      <c r="AM798" s="15">
        <v>2009</v>
      </c>
      <c r="AN798" s="12" t="s">
        <v>860</v>
      </c>
      <c r="AO798" s="15" t="s">
        <v>56</v>
      </c>
      <c r="AP798" s="15" t="s">
        <v>861</v>
      </c>
      <c r="AQ798" s="15" t="s">
        <v>56</v>
      </c>
      <c r="AR798" s="15" t="s">
        <v>58</v>
      </c>
      <c r="AS798" s="15" t="s">
        <v>163</v>
      </c>
      <c r="AT798" s="15"/>
      <c r="AU798" s="45" t="s">
        <v>862</v>
      </c>
      <c r="AV798" s="15"/>
      <c r="AW798" s="12" t="str">
        <f>B798&amp;C798&amp;L798&amp;M798&amp;O798&amp;U798&amp;AL798&amp;AM798</f>
        <v>AustraliaGovernor Island Marine Nature Reserveinvertebratesrichness0.750952179432926Barrett2009</v>
      </c>
    </row>
    <row r="799" spans="1:49" ht="14.25" customHeight="1" x14ac:dyDescent="0.35">
      <c r="A799" s="12">
        <v>798</v>
      </c>
      <c r="B799" s="15" t="s">
        <v>66</v>
      </c>
      <c r="C799" s="44" t="s">
        <v>1489</v>
      </c>
      <c r="D799" s="44" t="s">
        <v>1489</v>
      </c>
      <c r="E799" s="15" t="s">
        <v>136</v>
      </c>
      <c r="F799" s="16" t="s">
        <v>50</v>
      </c>
      <c r="G799" s="16" t="s">
        <v>51</v>
      </c>
      <c r="H799" s="16" t="s">
        <v>52</v>
      </c>
      <c r="I799" s="16" t="s">
        <v>53</v>
      </c>
      <c r="K799" s="17">
        <v>7</v>
      </c>
      <c r="L799" s="17"/>
      <c r="M799" s="17" t="s">
        <v>473</v>
      </c>
      <c r="N799" s="14" t="s">
        <v>1070</v>
      </c>
      <c r="O799" s="17" t="s">
        <v>55</v>
      </c>
      <c r="P799" s="17"/>
      <c r="Q799" s="17">
        <v>19.246861924686101</v>
      </c>
      <c r="R799" s="17">
        <v>13.891213389121299</v>
      </c>
      <c r="S799" s="17">
        <v>27.782426778242598</v>
      </c>
      <c r="T799" s="17">
        <v>30.962343096234299</v>
      </c>
      <c r="U799" s="20">
        <f t="shared" si="54"/>
        <v>1.5441283205109604</v>
      </c>
      <c r="V799" s="41">
        <f t="shared" si="57"/>
        <v>54.412832051096039</v>
      </c>
      <c r="W799" s="17"/>
      <c r="X799" s="17" t="s">
        <v>56</v>
      </c>
      <c r="Z799" s="17" t="s">
        <v>56</v>
      </c>
      <c r="AA799" s="17"/>
      <c r="AB799" s="17" t="s">
        <v>111</v>
      </c>
      <c r="AC799" s="17">
        <v>1992</v>
      </c>
      <c r="AD799" s="17">
        <v>10</v>
      </c>
      <c r="AE799" s="17"/>
      <c r="AF799" s="17"/>
      <c r="AG799" s="17">
        <v>1992</v>
      </c>
      <c r="AH799" s="14">
        <f t="shared" si="55"/>
        <v>0</v>
      </c>
      <c r="AI799" s="17">
        <f t="shared" si="56"/>
        <v>10</v>
      </c>
      <c r="AJ799" s="17"/>
      <c r="AK799" s="17" t="s">
        <v>58</v>
      </c>
      <c r="AL799" s="16" t="s">
        <v>859</v>
      </c>
      <c r="AM799" s="15">
        <v>2009</v>
      </c>
      <c r="AN799" s="12" t="s">
        <v>860</v>
      </c>
      <c r="AO799" s="15" t="s">
        <v>56</v>
      </c>
      <c r="AP799" s="15" t="s">
        <v>861</v>
      </c>
      <c r="AQ799" s="15" t="s">
        <v>56</v>
      </c>
      <c r="AR799" s="15" t="s">
        <v>58</v>
      </c>
      <c r="AS799" s="15" t="s">
        <v>163</v>
      </c>
      <c r="AT799" s="15"/>
      <c r="AU799" s="45" t="s">
        <v>862</v>
      </c>
      <c r="AV799" s="15"/>
      <c r="AW799" s="12" t="str">
        <f>B799&amp;C799&amp;L799&amp;M799&amp;O799&amp;U799&amp;AL799&amp;AM799</f>
        <v>AustraliaNinepin Point Marine Nature ReserveAlgaerichness1.54412832051096Barrett2009</v>
      </c>
    </row>
    <row r="800" spans="1:49" ht="14.25" customHeight="1" x14ac:dyDescent="0.35">
      <c r="A800" s="12">
        <v>799</v>
      </c>
      <c r="B800" s="12" t="s">
        <v>66</v>
      </c>
      <c r="C800" s="12" t="s">
        <v>853</v>
      </c>
      <c r="D800" s="12" t="s">
        <v>853</v>
      </c>
      <c r="E800" s="12" t="s">
        <v>136</v>
      </c>
      <c r="F800" s="13" t="s">
        <v>50</v>
      </c>
      <c r="G800" s="13" t="s">
        <v>51</v>
      </c>
      <c r="H800" s="13" t="s">
        <v>52</v>
      </c>
      <c r="I800" s="13" t="s">
        <v>53</v>
      </c>
      <c r="K800" s="14">
        <v>1</v>
      </c>
      <c r="L800" s="14"/>
      <c r="M800" s="14" t="s">
        <v>473</v>
      </c>
      <c r="N800" s="14" t="s">
        <v>1070</v>
      </c>
      <c r="O800" s="17" t="s">
        <v>55</v>
      </c>
      <c r="P800" s="14"/>
      <c r="Q800" s="14">
        <v>9.4779116465863495</v>
      </c>
      <c r="R800" s="14">
        <v>6.6666666666666696</v>
      </c>
      <c r="S800" s="14">
        <v>11.1646586345381</v>
      </c>
      <c r="T800" s="14">
        <v>9.6385542168674601</v>
      </c>
      <c r="U800" s="19">
        <f t="shared" si="54"/>
        <v>1.2273554650255745</v>
      </c>
      <c r="V800" s="41">
        <f t="shared" si="57"/>
        <v>22.735546502557447</v>
      </c>
      <c r="W800" s="14"/>
      <c r="X800" s="14" t="s">
        <v>56</v>
      </c>
      <c r="Z800" s="14" t="s">
        <v>56</v>
      </c>
      <c r="AA800" s="14"/>
      <c r="AB800" s="14" t="s">
        <v>111</v>
      </c>
      <c r="AC800" s="14">
        <v>1992</v>
      </c>
      <c r="AD800" s="14">
        <v>10</v>
      </c>
      <c r="AE800" s="14"/>
      <c r="AF800" s="14"/>
      <c r="AG800" s="14">
        <v>1992</v>
      </c>
      <c r="AH800" s="14">
        <f t="shared" si="55"/>
        <v>0</v>
      </c>
      <c r="AI800" s="17">
        <f t="shared" si="56"/>
        <v>10</v>
      </c>
      <c r="AJ800" s="14"/>
      <c r="AK800" s="14" t="s">
        <v>58</v>
      </c>
      <c r="AL800" s="13" t="s">
        <v>859</v>
      </c>
      <c r="AM800" s="12">
        <v>2009</v>
      </c>
      <c r="AN800" s="12" t="s">
        <v>860</v>
      </c>
      <c r="AO800" s="12" t="s">
        <v>56</v>
      </c>
      <c r="AP800" s="12" t="s">
        <v>861</v>
      </c>
      <c r="AQ800" s="12" t="s">
        <v>56</v>
      </c>
      <c r="AR800" s="12" t="s">
        <v>58</v>
      </c>
      <c r="AS800" s="12" t="s">
        <v>163</v>
      </c>
      <c r="AT800" s="12"/>
      <c r="AU800" s="45" t="s">
        <v>862</v>
      </c>
      <c r="AV800" s="15"/>
      <c r="AW800" s="12" t="str">
        <f>B800&amp;C800&amp;L800&amp;M800&amp;O800&amp;U800&amp;AL800&amp;AM800</f>
        <v>AustraliaGovernor Island Marine Nature ReserveAlgaerichness1.22735546502557Barrett2009</v>
      </c>
    </row>
    <row r="801" spans="1:49" ht="14.25" customHeight="1" x14ac:dyDescent="0.35">
      <c r="A801" s="12">
        <v>800</v>
      </c>
      <c r="B801" s="15" t="s">
        <v>633</v>
      </c>
      <c r="C801" s="15" t="s">
        <v>1773</v>
      </c>
      <c r="D801" s="15" t="s">
        <v>1773</v>
      </c>
      <c r="E801" s="15" t="s">
        <v>171</v>
      </c>
      <c r="F801" s="16" t="s">
        <v>50</v>
      </c>
      <c r="G801" s="16" t="s">
        <v>51</v>
      </c>
      <c r="H801" s="16" t="s">
        <v>78</v>
      </c>
      <c r="I801" s="16" t="s">
        <v>156</v>
      </c>
      <c r="J801" s="17">
        <v>250</v>
      </c>
      <c r="K801" s="17"/>
      <c r="L801" s="17" t="s">
        <v>1774</v>
      </c>
      <c r="M801" s="17" t="s">
        <v>1775</v>
      </c>
      <c r="N801" s="14" t="s">
        <v>85</v>
      </c>
      <c r="O801" s="17" t="s">
        <v>70</v>
      </c>
      <c r="P801" s="17"/>
      <c r="Q801" s="17"/>
      <c r="R801" s="17"/>
      <c r="S801" s="17">
        <v>0.01</v>
      </c>
      <c r="T801" s="17">
        <v>0.02</v>
      </c>
      <c r="U801" s="20">
        <f t="shared" si="54"/>
        <v>2</v>
      </c>
      <c r="V801" s="41">
        <f t="shared" si="57"/>
        <v>100</v>
      </c>
      <c r="W801" s="17"/>
      <c r="X801" s="17" t="s">
        <v>58</v>
      </c>
      <c r="Y801" s="14">
        <v>220</v>
      </c>
      <c r="Z801" s="17" t="s">
        <v>56</v>
      </c>
      <c r="AA801" s="17"/>
      <c r="AB801" s="17" t="s">
        <v>57</v>
      </c>
      <c r="AC801" s="17">
        <v>2013</v>
      </c>
      <c r="AD801" s="17">
        <v>2</v>
      </c>
      <c r="AE801" s="17"/>
      <c r="AF801" s="17"/>
      <c r="AG801" s="17">
        <v>2006</v>
      </c>
      <c r="AH801" s="14">
        <f t="shared" si="55"/>
        <v>7</v>
      </c>
      <c r="AI801" s="17">
        <f t="shared" si="56"/>
        <v>9</v>
      </c>
      <c r="AJ801" s="17"/>
      <c r="AK801" s="17" t="s">
        <v>56</v>
      </c>
      <c r="AL801" s="16" t="s">
        <v>1776</v>
      </c>
      <c r="AM801" s="15">
        <v>2019</v>
      </c>
      <c r="AN801" s="15" t="s">
        <v>343</v>
      </c>
      <c r="AO801" s="15" t="s">
        <v>56</v>
      </c>
      <c r="AP801" s="15"/>
      <c r="AQ801" s="15" t="s">
        <v>56</v>
      </c>
      <c r="AR801" s="15" t="s">
        <v>58</v>
      </c>
      <c r="AS801" s="15" t="s">
        <v>163</v>
      </c>
      <c r="AT801" s="15"/>
      <c r="AU801" s="45" t="s">
        <v>1777</v>
      </c>
      <c r="AV801" s="15"/>
      <c r="AW801" s="12" t="str">
        <f>B801&amp;C801&amp;L801&amp;M801&amp;O801&amp;U801&amp;AL801&amp;AM801</f>
        <v>Costa RicaSanta Rosa National Park, Camaronal National Wildlife Refuge, Caletas Ario National Wildlife Refuge, Curu National Wildlife RefugeMuraena lentiginosaJewel moraybiomassden2Beita-Jimenez2019</v>
      </c>
    </row>
    <row r="802" spans="1:49" ht="14.25" customHeight="1" x14ac:dyDescent="0.35">
      <c r="A802" s="12">
        <v>801</v>
      </c>
      <c r="B802" s="12" t="s">
        <v>633</v>
      </c>
      <c r="C802" s="12" t="s">
        <v>1773</v>
      </c>
      <c r="D802" s="12" t="s">
        <v>1773</v>
      </c>
      <c r="E802" s="12" t="s">
        <v>171</v>
      </c>
      <c r="F802" s="13" t="s">
        <v>50</v>
      </c>
      <c r="G802" s="13" t="s">
        <v>51</v>
      </c>
      <c r="H802" s="13" t="s">
        <v>78</v>
      </c>
      <c r="I802" s="13" t="s">
        <v>156</v>
      </c>
      <c r="J802" s="17">
        <v>250</v>
      </c>
      <c r="K802" s="17"/>
      <c r="L802" s="14" t="s">
        <v>1778</v>
      </c>
      <c r="M802" s="14" t="s">
        <v>1779</v>
      </c>
      <c r="N802" s="14" t="s">
        <v>85</v>
      </c>
      <c r="O802" s="17" t="s">
        <v>70</v>
      </c>
      <c r="P802" s="14"/>
      <c r="Q802" s="14"/>
      <c r="R802" s="14"/>
      <c r="S802" s="14">
        <v>0.06</v>
      </c>
      <c r="T802" s="14">
        <v>0.06</v>
      </c>
      <c r="U802" s="19">
        <f t="shared" si="54"/>
        <v>1</v>
      </c>
      <c r="V802" s="41">
        <f t="shared" si="57"/>
        <v>0</v>
      </c>
      <c r="W802" s="14"/>
      <c r="X802" s="17" t="s">
        <v>58</v>
      </c>
      <c r="Y802" s="14">
        <v>220</v>
      </c>
      <c r="Z802" s="14" t="s">
        <v>56</v>
      </c>
      <c r="AA802" s="14"/>
      <c r="AB802" s="14" t="s">
        <v>57</v>
      </c>
      <c r="AC802" s="14">
        <v>2013</v>
      </c>
      <c r="AD802" s="14">
        <v>2</v>
      </c>
      <c r="AE802" s="14"/>
      <c r="AF802" s="14"/>
      <c r="AG802" s="14">
        <v>2006</v>
      </c>
      <c r="AH802" s="14">
        <f t="shared" si="55"/>
        <v>7</v>
      </c>
      <c r="AI802" s="17">
        <f t="shared" si="56"/>
        <v>9</v>
      </c>
      <c r="AJ802" s="14"/>
      <c r="AK802" s="14" t="s">
        <v>56</v>
      </c>
      <c r="AL802" s="13" t="s">
        <v>1776</v>
      </c>
      <c r="AM802" s="12">
        <v>2019</v>
      </c>
      <c r="AN802" s="12" t="s">
        <v>343</v>
      </c>
      <c r="AO802" s="12" t="s">
        <v>56</v>
      </c>
      <c r="AP802" s="12"/>
      <c r="AQ802" s="12" t="s">
        <v>56</v>
      </c>
      <c r="AR802" s="12" t="s">
        <v>58</v>
      </c>
      <c r="AS802" s="12" t="s">
        <v>163</v>
      </c>
      <c r="AT802" s="12"/>
      <c r="AU802" s="45" t="s">
        <v>1777</v>
      </c>
      <c r="AV802" s="15"/>
      <c r="AW802" s="12" t="str">
        <f>B802&amp;C802&amp;L802&amp;M802&amp;O802&amp;U802&amp;AL802&amp;AM802</f>
        <v>Costa RicaSanta Rosa National Park, Camaronal National Wildlife Refuge, Caletas Ario National Wildlife Refuge, Curu National Wildlife RefugeSargocentron suborbitalisTinsel squirrelfishbiomassden1Beita-Jimenez2019</v>
      </c>
    </row>
    <row r="803" spans="1:49" ht="14.25" customHeight="1" x14ac:dyDescent="0.35">
      <c r="A803" s="12">
        <v>802</v>
      </c>
      <c r="B803" s="12" t="s">
        <v>633</v>
      </c>
      <c r="C803" s="12" t="s">
        <v>1773</v>
      </c>
      <c r="D803" s="12" t="s">
        <v>1773</v>
      </c>
      <c r="E803" s="12" t="s">
        <v>171</v>
      </c>
      <c r="F803" s="13" t="s">
        <v>50</v>
      </c>
      <c r="G803" s="13" t="s">
        <v>51</v>
      </c>
      <c r="H803" s="13" t="s">
        <v>78</v>
      </c>
      <c r="I803" s="13" t="s">
        <v>156</v>
      </c>
      <c r="J803" s="17">
        <v>250</v>
      </c>
      <c r="K803" s="14"/>
      <c r="L803" s="14" t="s">
        <v>1780</v>
      </c>
      <c r="M803" s="14" t="s">
        <v>1781</v>
      </c>
      <c r="N803" s="14" t="s">
        <v>85</v>
      </c>
      <c r="O803" s="17" t="s">
        <v>70</v>
      </c>
      <c r="P803" s="14"/>
      <c r="Q803" s="14"/>
      <c r="R803" s="14"/>
      <c r="S803" s="14">
        <v>1.69</v>
      </c>
      <c r="T803" s="14">
        <v>0.87</v>
      </c>
      <c r="U803" s="19">
        <f t="shared" si="54"/>
        <v>0.51479289940828399</v>
      </c>
      <c r="V803" s="41">
        <f t="shared" si="57"/>
        <v>-48.520710059171599</v>
      </c>
      <c r="W803" s="14"/>
      <c r="X803" s="17" t="s">
        <v>58</v>
      </c>
      <c r="Y803" s="14">
        <v>220</v>
      </c>
      <c r="Z803" s="14" t="s">
        <v>56</v>
      </c>
      <c r="AA803" s="14"/>
      <c r="AB803" s="14" t="s">
        <v>57</v>
      </c>
      <c r="AC803" s="14">
        <v>2013</v>
      </c>
      <c r="AD803" s="14">
        <v>2</v>
      </c>
      <c r="AE803" s="14"/>
      <c r="AF803" s="14"/>
      <c r="AG803" s="14">
        <v>2006</v>
      </c>
      <c r="AH803" s="14">
        <f t="shared" si="55"/>
        <v>7</v>
      </c>
      <c r="AI803" s="17">
        <f t="shared" si="56"/>
        <v>9</v>
      </c>
      <c r="AJ803" s="14"/>
      <c r="AK803" s="14" t="s">
        <v>56</v>
      </c>
      <c r="AL803" s="13" t="s">
        <v>1776</v>
      </c>
      <c r="AM803" s="12">
        <v>2019</v>
      </c>
      <c r="AN803" s="12" t="s">
        <v>343</v>
      </c>
      <c r="AO803" s="12" t="s">
        <v>56</v>
      </c>
      <c r="AP803" s="12"/>
      <c r="AQ803" s="12" t="s">
        <v>56</v>
      </c>
      <c r="AR803" s="12" t="s">
        <v>58</v>
      </c>
      <c r="AS803" s="12" t="s">
        <v>163</v>
      </c>
      <c r="AT803" s="12"/>
      <c r="AU803" s="45" t="s">
        <v>1777</v>
      </c>
      <c r="AV803" s="15"/>
      <c r="AW803" s="12" t="str">
        <f>B803&amp;C803&amp;L803&amp;M803&amp;O803&amp;U803&amp;AL803&amp;AM803</f>
        <v>Costa RicaSanta Rosa National Park, Camaronal National Wildlife Refuge, Caletas Ario National Wildlife Refuge, Curu National Wildlife RefugeAcanthurus xanthopterusYellowfin surgeonfishbiomassden0.514792899408284Beita-Jimenez2019</v>
      </c>
    </row>
    <row r="804" spans="1:49" ht="14.25" customHeight="1" x14ac:dyDescent="0.35">
      <c r="A804" s="12">
        <v>803</v>
      </c>
      <c r="B804" s="12" t="s">
        <v>633</v>
      </c>
      <c r="C804" s="12" t="s">
        <v>1773</v>
      </c>
      <c r="D804" s="12" t="s">
        <v>1773</v>
      </c>
      <c r="E804" s="12" t="s">
        <v>171</v>
      </c>
      <c r="F804" s="13" t="s">
        <v>50</v>
      </c>
      <c r="G804" s="13" t="s">
        <v>51</v>
      </c>
      <c r="H804" s="13" t="s">
        <v>78</v>
      </c>
      <c r="I804" s="13" t="s">
        <v>156</v>
      </c>
      <c r="J804" s="17">
        <v>250</v>
      </c>
      <c r="K804" s="17"/>
      <c r="L804" s="14" t="s">
        <v>1782</v>
      </c>
      <c r="M804" s="14" t="s">
        <v>1783</v>
      </c>
      <c r="N804" s="14" t="s">
        <v>85</v>
      </c>
      <c r="O804" s="17" t="s">
        <v>70</v>
      </c>
      <c r="P804" s="14"/>
      <c r="Q804" s="14"/>
      <c r="R804" s="14"/>
      <c r="S804" s="14">
        <v>0.62</v>
      </c>
      <c r="T804" s="14">
        <v>11.85</v>
      </c>
      <c r="U804" s="19">
        <f t="shared" si="54"/>
        <v>19.112903225806452</v>
      </c>
      <c r="V804" s="41">
        <f t="shared" si="57"/>
        <v>1811.2903225806451</v>
      </c>
      <c r="W804" s="14"/>
      <c r="X804" s="17" t="s">
        <v>58</v>
      </c>
      <c r="Y804" s="14">
        <v>220</v>
      </c>
      <c r="Z804" s="14" t="s">
        <v>56</v>
      </c>
      <c r="AA804" s="14"/>
      <c r="AB804" s="14" t="s">
        <v>57</v>
      </c>
      <c r="AC804" s="14">
        <v>2013</v>
      </c>
      <c r="AD804" s="14">
        <v>2</v>
      </c>
      <c r="AE804" s="14"/>
      <c r="AF804" s="14"/>
      <c r="AG804" s="14">
        <v>2006</v>
      </c>
      <c r="AH804" s="14">
        <f t="shared" si="55"/>
        <v>7</v>
      </c>
      <c r="AI804" s="17">
        <f t="shared" si="56"/>
        <v>9</v>
      </c>
      <c r="AJ804" s="14"/>
      <c r="AK804" s="14" t="s">
        <v>56</v>
      </c>
      <c r="AL804" s="13" t="s">
        <v>1776</v>
      </c>
      <c r="AM804" s="12">
        <v>2019</v>
      </c>
      <c r="AN804" s="12" t="s">
        <v>343</v>
      </c>
      <c r="AO804" s="12" t="s">
        <v>56</v>
      </c>
      <c r="AP804" s="12"/>
      <c r="AQ804" s="12" t="s">
        <v>56</v>
      </c>
      <c r="AR804" s="12" t="s">
        <v>58</v>
      </c>
      <c r="AS804" s="12" t="s">
        <v>163</v>
      </c>
      <c r="AT804" s="12"/>
      <c r="AU804" s="45" t="s">
        <v>1777</v>
      </c>
      <c r="AV804" s="15"/>
      <c r="AW804" s="12" t="str">
        <f>B804&amp;C804&amp;L804&amp;M804&amp;O804&amp;U804&amp;AL804&amp;AM804</f>
        <v>Costa RicaSanta Rosa National Park, Camaronal National Wildlife Refuge, Caletas Ario National Wildlife Refuge, Curu National Wildlife RefugePrionurus laticlaviusRazor surgeonfishbiomassden19.1129032258065Beita-Jimenez2019</v>
      </c>
    </row>
    <row r="805" spans="1:49" ht="14.25" customHeight="1" x14ac:dyDescent="0.35">
      <c r="A805" s="12">
        <v>804</v>
      </c>
      <c r="B805" s="12" t="s">
        <v>633</v>
      </c>
      <c r="C805" s="12" t="s">
        <v>1773</v>
      </c>
      <c r="D805" s="12" t="s">
        <v>1773</v>
      </c>
      <c r="E805" s="12" t="s">
        <v>171</v>
      </c>
      <c r="F805" s="13" t="s">
        <v>50</v>
      </c>
      <c r="G805" s="13" t="s">
        <v>51</v>
      </c>
      <c r="H805" s="13" t="s">
        <v>78</v>
      </c>
      <c r="I805" s="13" t="s">
        <v>156</v>
      </c>
      <c r="J805" s="17">
        <v>250</v>
      </c>
      <c r="K805" s="17"/>
      <c r="L805" s="14" t="s">
        <v>1784</v>
      </c>
      <c r="M805" s="14" t="s">
        <v>1785</v>
      </c>
      <c r="N805" s="14" t="s">
        <v>85</v>
      </c>
      <c r="O805" s="17" t="s">
        <v>70</v>
      </c>
      <c r="P805" s="14"/>
      <c r="Q805" s="14"/>
      <c r="R805" s="14"/>
      <c r="S805" s="14">
        <v>0</v>
      </c>
      <c r="T805" s="14">
        <v>0</v>
      </c>
      <c r="U805" s="19" t="str">
        <f t="shared" si="54"/>
        <v>N/A</v>
      </c>
      <c r="V805" s="41" t="str">
        <f t="shared" si="57"/>
        <v>N/A</v>
      </c>
      <c r="W805" s="14"/>
      <c r="X805" s="17" t="s">
        <v>58</v>
      </c>
      <c r="Y805" s="14">
        <v>220</v>
      </c>
      <c r="Z805" s="14" t="s">
        <v>56</v>
      </c>
      <c r="AA805" s="14"/>
      <c r="AB805" s="14" t="s">
        <v>57</v>
      </c>
      <c r="AC805" s="14">
        <v>2013</v>
      </c>
      <c r="AD805" s="14">
        <v>2</v>
      </c>
      <c r="AE805" s="14"/>
      <c r="AF805" s="14"/>
      <c r="AG805" s="14">
        <v>2006</v>
      </c>
      <c r="AH805" s="14">
        <f t="shared" si="55"/>
        <v>7</v>
      </c>
      <c r="AI805" s="17">
        <f t="shared" si="56"/>
        <v>9</v>
      </c>
      <c r="AJ805" s="14"/>
      <c r="AK805" s="14" t="s">
        <v>56</v>
      </c>
      <c r="AL805" s="13" t="s">
        <v>1776</v>
      </c>
      <c r="AM805" s="12">
        <v>2019</v>
      </c>
      <c r="AN805" s="12" t="s">
        <v>343</v>
      </c>
      <c r="AO805" s="12" t="s">
        <v>56</v>
      </c>
      <c r="AP805" s="12"/>
      <c r="AQ805" s="12" t="s">
        <v>56</v>
      </c>
      <c r="AR805" s="12" t="s">
        <v>58</v>
      </c>
      <c r="AS805" s="12" t="s">
        <v>163</v>
      </c>
      <c r="AT805" s="12"/>
      <c r="AU805" s="45" t="s">
        <v>1777</v>
      </c>
      <c r="AV805" s="15"/>
      <c r="AW805" s="12" t="str">
        <f>B805&amp;C805&amp;L805&amp;M805&amp;O805&amp;U805&amp;AL805&amp;AM805</f>
        <v>Costa RicaSanta Rosa National Park, Camaronal National Wildlife Refuge, Caletas Ario National Wildlife Refuge, Curu National Wildlife RefugeApogon doviiTailspot cardinalfishbiomassdenN/ABeita-Jimenez2019</v>
      </c>
    </row>
    <row r="806" spans="1:49" ht="14.25" customHeight="1" x14ac:dyDescent="0.35">
      <c r="A806" s="12">
        <v>805</v>
      </c>
      <c r="B806" s="15" t="s">
        <v>633</v>
      </c>
      <c r="C806" s="15" t="s">
        <v>1773</v>
      </c>
      <c r="D806" s="15" t="s">
        <v>1773</v>
      </c>
      <c r="E806" s="12" t="s">
        <v>171</v>
      </c>
      <c r="F806" s="13" t="s">
        <v>50</v>
      </c>
      <c r="G806" s="13" t="s">
        <v>51</v>
      </c>
      <c r="H806" s="16" t="s">
        <v>78</v>
      </c>
      <c r="I806" s="16" t="s">
        <v>156</v>
      </c>
      <c r="J806" s="17">
        <v>250</v>
      </c>
      <c r="K806" s="17"/>
      <c r="L806" s="17" t="s">
        <v>1786</v>
      </c>
      <c r="M806" s="17" t="s">
        <v>1787</v>
      </c>
      <c r="N806" s="14" t="s">
        <v>85</v>
      </c>
      <c r="O806" s="17" t="s">
        <v>70</v>
      </c>
      <c r="P806" s="17"/>
      <c r="Q806" s="17"/>
      <c r="R806" s="17"/>
      <c r="S806" s="17">
        <v>0</v>
      </c>
      <c r="T806" s="17">
        <v>0.08</v>
      </c>
      <c r="U806" s="19" t="str">
        <f t="shared" si="54"/>
        <v>N/A</v>
      </c>
      <c r="V806" s="41" t="str">
        <f t="shared" si="57"/>
        <v>N/A</v>
      </c>
      <c r="W806" s="14"/>
      <c r="X806" s="17" t="s">
        <v>58</v>
      </c>
      <c r="Y806" s="14">
        <v>220</v>
      </c>
      <c r="Z806" s="17" t="s">
        <v>56</v>
      </c>
      <c r="AA806" s="17"/>
      <c r="AB806" s="17" t="s">
        <v>57</v>
      </c>
      <c r="AC806" s="17">
        <v>2013</v>
      </c>
      <c r="AD806" s="17">
        <v>2</v>
      </c>
      <c r="AE806" s="17"/>
      <c r="AF806" s="17"/>
      <c r="AG806" s="17">
        <v>2006</v>
      </c>
      <c r="AH806" s="14">
        <f t="shared" si="55"/>
        <v>7</v>
      </c>
      <c r="AI806" s="17">
        <f t="shared" si="56"/>
        <v>9</v>
      </c>
      <c r="AJ806" s="17"/>
      <c r="AK806" s="17" t="s">
        <v>56</v>
      </c>
      <c r="AL806" s="16" t="s">
        <v>1776</v>
      </c>
      <c r="AM806" s="15">
        <v>2019</v>
      </c>
      <c r="AN806" s="15" t="s">
        <v>343</v>
      </c>
      <c r="AO806" s="15" t="s">
        <v>56</v>
      </c>
      <c r="AP806" s="15"/>
      <c r="AQ806" s="15" t="s">
        <v>56</v>
      </c>
      <c r="AR806" s="15" t="s">
        <v>58</v>
      </c>
      <c r="AS806" s="15" t="s">
        <v>163</v>
      </c>
      <c r="AT806" s="12"/>
      <c r="AU806" s="45" t="s">
        <v>1777</v>
      </c>
      <c r="AV806" s="15"/>
      <c r="AW806" s="12" t="str">
        <f>B806&amp;C806&amp;L806&amp;M806&amp;O806&amp;U806&amp;AL806&amp;AM806</f>
        <v>Costa RicaSanta Rosa National Park, Camaronal National Wildlife Refuge, Caletas Ario National Wildlife Refuge, Curu National Wildlife RefugeOphioblennius steindachneriLarge-banded blennybiomassdenN/ABeita-Jimenez2019</v>
      </c>
    </row>
    <row r="807" spans="1:49" ht="14.25" customHeight="1" x14ac:dyDescent="0.35">
      <c r="A807" s="12">
        <v>806</v>
      </c>
      <c r="B807" s="15" t="s">
        <v>633</v>
      </c>
      <c r="C807" s="15" t="s">
        <v>1773</v>
      </c>
      <c r="D807" s="15" t="s">
        <v>1773</v>
      </c>
      <c r="E807" s="15" t="s">
        <v>171</v>
      </c>
      <c r="F807" s="13" t="s">
        <v>50</v>
      </c>
      <c r="G807" s="13" t="s">
        <v>51</v>
      </c>
      <c r="H807" s="16" t="s">
        <v>78</v>
      </c>
      <c r="I807" s="16" t="s">
        <v>156</v>
      </c>
      <c r="J807" s="17">
        <v>250</v>
      </c>
      <c r="K807" s="17"/>
      <c r="L807" s="17" t="s">
        <v>1788</v>
      </c>
      <c r="M807" s="17" t="s">
        <v>1789</v>
      </c>
      <c r="N807" s="14" t="s">
        <v>85</v>
      </c>
      <c r="O807" s="17" t="s">
        <v>70</v>
      </c>
      <c r="P807" s="17"/>
      <c r="Q807" s="17"/>
      <c r="R807" s="17"/>
      <c r="S807" s="17">
        <v>0</v>
      </c>
      <c r="T807" s="17">
        <v>0</v>
      </c>
      <c r="U807" s="20" t="str">
        <f t="shared" si="54"/>
        <v>N/A</v>
      </c>
      <c r="V807" s="41" t="str">
        <f t="shared" si="57"/>
        <v>N/A</v>
      </c>
      <c r="W807" s="17"/>
      <c r="X807" s="17" t="s">
        <v>58</v>
      </c>
      <c r="Y807" s="14">
        <v>220</v>
      </c>
      <c r="Z807" s="17" t="s">
        <v>56</v>
      </c>
      <c r="AA807" s="17"/>
      <c r="AB807" s="17" t="s">
        <v>57</v>
      </c>
      <c r="AC807" s="17">
        <v>2013</v>
      </c>
      <c r="AD807" s="17">
        <v>2</v>
      </c>
      <c r="AE807" s="17"/>
      <c r="AF807" s="17"/>
      <c r="AG807" s="17">
        <v>2006</v>
      </c>
      <c r="AH807" s="14">
        <f t="shared" si="55"/>
        <v>7</v>
      </c>
      <c r="AI807" s="17">
        <f t="shared" si="56"/>
        <v>9</v>
      </c>
      <c r="AJ807" s="17"/>
      <c r="AK807" s="17" t="s">
        <v>56</v>
      </c>
      <c r="AL807" s="16" t="s">
        <v>1776</v>
      </c>
      <c r="AM807" s="15">
        <v>2019</v>
      </c>
      <c r="AN807" s="15" t="s">
        <v>343</v>
      </c>
      <c r="AO807" s="15" t="s">
        <v>56</v>
      </c>
      <c r="AP807" s="15"/>
      <c r="AQ807" s="15" t="s">
        <v>56</v>
      </c>
      <c r="AR807" s="15" t="s">
        <v>58</v>
      </c>
      <c r="AS807" s="15" t="s">
        <v>163</v>
      </c>
      <c r="AT807" s="15"/>
      <c r="AU807" s="45" t="s">
        <v>1777</v>
      </c>
      <c r="AV807" s="15"/>
      <c r="AW807" s="12" t="str">
        <f>B807&amp;C807&amp;L807&amp;M807&amp;O807&amp;U807&amp;AL807&amp;AM807</f>
        <v>Costa RicaSanta Rosa National Park, Camaronal National Wildlife Refuge, Caletas Ario National Wildlife Refuge, Curu National Wildlife RefugePlagiotremus azaleusSabertooth blennybiomassdenN/ABeita-Jimenez2019</v>
      </c>
    </row>
    <row r="808" spans="1:49" ht="14.25" customHeight="1" x14ac:dyDescent="0.35">
      <c r="A808" s="12">
        <v>807</v>
      </c>
      <c r="B808" s="15" t="s">
        <v>633</v>
      </c>
      <c r="C808" s="15" t="s">
        <v>1773</v>
      </c>
      <c r="D808" s="15" t="s">
        <v>1773</v>
      </c>
      <c r="E808" s="15" t="s">
        <v>171</v>
      </c>
      <c r="F808" s="13" t="s">
        <v>50</v>
      </c>
      <c r="G808" s="13" t="s">
        <v>51</v>
      </c>
      <c r="H808" s="16" t="s">
        <v>78</v>
      </c>
      <c r="I808" s="16" t="s">
        <v>156</v>
      </c>
      <c r="J808" s="17">
        <v>250</v>
      </c>
      <c r="K808" s="17"/>
      <c r="L808" s="17" t="s">
        <v>1790</v>
      </c>
      <c r="M808" s="17"/>
      <c r="N808" s="14" t="s">
        <v>85</v>
      </c>
      <c r="O808" s="17" t="s">
        <v>70</v>
      </c>
      <c r="P808" s="17"/>
      <c r="Q808" s="17"/>
      <c r="R808" s="17"/>
      <c r="S808" s="17">
        <v>0.56000000000000005</v>
      </c>
      <c r="T808" s="17">
        <v>1.71</v>
      </c>
      <c r="U808" s="20">
        <f t="shared" si="54"/>
        <v>3.0535714285714284</v>
      </c>
      <c r="V808" s="41">
        <f t="shared" si="57"/>
        <v>205.35714285714283</v>
      </c>
      <c r="W808" s="17"/>
      <c r="X808" s="17" t="s">
        <v>58</v>
      </c>
      <c r="Y808" s="14">
        <v>220</v>
      </c>
      <c r="Z808" s="17" t="s">
        <v>56</v>
      </c>
      <c r="AA808" s="17"/>
      <c r="AB808" s="17" t="s">
        <v>57</v>
      </c>
      <c r="AC808" s="17">
        <v>2013</v>
      </c>
      <c r="AD808" s="17">
        <v>2</v>
      </c>
      <c r="AE808" s="17"/>
      <c r="AF808" s="17"/>
      <c r="AG808" s="17">
        <v>2006</v>
      </c>
      <c r="AH808" s="14">
        <f t="shared" si="55"/>
        <v>7</v>
      </c>
      <c r="AI808" s="17">
        <f t="shared" si="56"/>
        <v>9</v>
      </c>
      <c r="AJ808" s="17"/>
      <c r="AK808" s="17" t="s">
        <v>56</v>
      </c>
      <c r="AL808" s="16" t="s">
        <v>1776</v>
      </c>
      <c r="AM808" s="15">
        <v>2019</v>
      </c>
      <c r="AN808" s="15" t="s">
        <v>343</v>
      </c>
      <c r="AO808" s="15" t="s">
        <v>56</v>
      </c>
      <c r="AP808" s="15"/>
      <c r="AQ808" s="15" t="s">
        <v>56</v>
      </c>
      <c r="AR808" s="15" t="s">
        <v>58</v>
      </c>
      <c r="AS808" s="15" t="s">
        <v>163</v>
      </c>
      <c r="AT808" s="15"/>
      <c r="AU808" s="45" t="s">
        <v>1777</v>
      </c>
      <c r="AV808" s="15"/>
      <c r="AW808" s="12" t="str">
        <f>B808&amp;C808&amp;L808&amp;M808&amp;O808&amp;U808&amp;AL808&amp;AM808</f>
        <v>Costa RicaSanta Rosa National Park, Camaronal National Wildlife Refuge, Caletas Ario National Wildlife Refuge, Curu National Wildlife RefugeCaranx caballusbiomassden3.05357142857143Beita-Jimenez2019</v>
      </c>
    </row>
    <row r="809" spans="1:49" ht="14.25" customHeight="1" x14ac:dyDescent="0.35">
      <c r="A809" s="12">
        <v>808</v>
      </c>
      <c r="B809" s="15" t="s">
        <v>633</v>
      </c>
      <c r="C809" s="15" t="s">
        <v>1773</v>
      </c>
      <c r="D809" s="15" t="s">
        <v>1773</v>
      </c>
      <c r="E809" s="15" t="s">
        <v>171</v>
      </c>
      <c r="F809" s="13" t="s">
        <v>50</v>
      </c>
      <c r="G809" s="13" t="s">
        <v>51</v>
      </c>
      <c r="H809" s="16" t="s">
        <v>78</v>
      </c>
      <c r="I809" s="16" t="s">
        <v>156</v>
      </c>
      <c r="J809" s="17">
        <v>250</v>
      </c>
      <c r="K809" s="17"/>
      <c r="L809" s="17" t="s">
        <v>1791</v>
      </c>
      <c r="M809" s="17"/>
      <c r="N809" s="14" t="s">
        <v>85</v>
      </c>
      <c r="O809" s="17" t="s">
        <v>70</v>
      </c>
      <c r="P809" s="17"/>
      <c r="Q809" s="17"/>
      <c r="R809" s="17"/>
      <c r="S809" s="17">
        <v>0.2</v>
      </c>
      <c r="T809" s="17">
        <v>0.2</v>
      </c>
      <c r="U809" s="20">
        <f t="shared" si="54"/>
        <v>1</v>
      </c>
      <c r="V809" s="41">
        <f t="shared" si="57"/>
        <v>0</v>
      </c>
      <c r="W809" s="17"/>
      <c r="X809" s="17" t="s">
        <v>58</v>
      </c>
      <c r="Y809" s="14">
        <v>220</v>
      </c>
      <c r="Z809" s="17" t="s">
        <v>56</v>
      </c>
      <c r="AA809" s="17"/>
      <c r="AB809" s="17" t="s">
        <v>57</v>
      </c>
      <c r="AC809" s="17">
        <v>2013</v>
      </c>
      <c r="AD809" s="17">
        <v>2</v>
      </c>
      <c r="AE809" s="17"/>
      <c r="AF809" s="17"/>
      <c r="AG809" s="17">
        <v>2006</v>
      </c>
      <c r="AH809" s="14">
        <f t="shared" si="55"/>
        <v>7</v>
      </c>
      <c r="AI809" s="17">
        <f t="shared" si="56"/>
        <v>9</v>
      </c>
      <c r="AJ809" s="17"/>
      <c r="AK809" s="17" t="s">
        <v>56</v>
      </c>
      <c r="AL809" s="16" t="s">
        <v>1776</v>
      </c>
      <c r="AM809" s="15">
        <v>2019</v>
      </c>
      <c r="AN809" s="15" t="s">
        <v>343</v>
      </c>
      <c r="AO809" s="15" t="s">
        <v>56</v>
      </c>
      <c r="AP809" s="15"/>
      <c r="AQ809" s="15" t="s">
        <v>56</v>
      </c>
      <c r="AR809" s="15" t="s">
        <v>58</v>
      </c>
      <c r="AS809" s="15" t="s">
        <v>163</v>
      </c>
      <c r="AT809" s="15"/>
      <c r="AU809" s="45" t="s">
        <v>1777</v>
      </c>
      <c r="AV809" s="15"/>
      <c r="AW809" s="12" t="str">
        <f>B809&amp;C809&amp;L809&amp;M809&amp;O809&amp;U809&amp;AL809&amp;AM809</f>
        <v>Costa RicaSanta Rosa National Park, Camaronal National Wildlife Refuge, Caletas Ario National Wildlife Refuge, Curu National Wildlife RefugeSeriola rivolianabiomassden1Beita-Jimenez2019</v>
      </c>
    </row>
    <row r="810" spans="1:49" ht="14.25" customHeight="1" x14ac:dyDescent="0.35">
      <c r="A810" s="12">
        <v>809</v>
      </c>
      <c r="B810" s="15" t="s">
        <v>633</v>
      </c>
      <c r="C810" s="15" t="s">
        <v>1773</v>
      </c>
      <c r="D810" s="15" t="s">
        <v>1773</v>
      </c>
      <c r="E810" s="15" t="s">
        <v>171</v>
      </c>
      <c r="F810" s="13" t="s">
        <v>50</v>
      </c>
      <c r="G810" s="13" t="s">
        <v>51</v>
      </c>
      <c r="H810" s="16" t="s">
        <v>78</v>
      </c>
      <c r="I810" s="16" t="s">
        <v>156</v>
      </c>
      <c r="J810" s="17">
        <v>250</v>
      </c>
      <c r="K810" s="17"/>
      <c r="L810" s="17" t="s">
        <v>1792</v>
      </c>
      <c r="M810" s="17"/>
      <c r="N810" s="14" t="s">
        <v>85</v>
      </c>
      <c r="O810" s="17" t="s">
        <v>70</v>
      </c>
      <c r="P810" s="17"/>
      <c r="Q810" s="17"/>
      <c r="R810" s="17"/>
      <c r="S810" s="17">
        <v>0.03</v>
      </c>
      <c r="T810" s="17">
        <v>0.03</v>
      </c>
      <c r="U810" s="20">
        <f t="shared" si="54"/>
        <v>1</v>
      </c>
      <c r="V810" s="41">
        <f t="shared" si="57"/>
        <v>0</v>
      </c>
      <c r="W810" s="17"/>
      <c r="X810" s="17" t="s">
        <v>58</v>
      </c>
      <c r="Y810" s="14">
        <v>220</v>
      </c>
      <c r="Z810" s="17" t="s">
        <v>56</v>
      </c>
      <c r="AA810" s="17"/>
      <c r="AB810" s="17" t="s">
        <v>57</v>
      </c>
      <c r="AC810" s="17">
        <v>2013</v>
      </c>
      <c r="AD810" s="17">
        <v>2</v>
      </c>
      <c r="AE810" s="17"/>
      <c r="AF810" s="17"/>
      <c r="AG810" s="17">
        <v>2006</v>
      </c>
      <c r="AH810" s="14">
        <f t="shared" si="55"/>
        <v>7</v>
      </c>
      <c r="AI810" s="17">
        <f t="shared" si="56"/>
        <v>9</v>
      </c>
      <c r="AJ810" s="17"/>
      <c r="AK810" s="17" t="s">
        <v>56</v>
      </c>
      <c r="AL810" s="16" t="s">
        <v>1776</v>
      </c>
      <c r="AM810" s="15">
        <v>2019</v>
      </c>
      <c r="AN810" s="15" t="s">
        <v>343</v>
      </c>
      <c r="AO810" s="15" t="s">
        <v>56</v>
      </c>
      <c r="AP810" s="15"/>
      <c r="AQ810" s="15" t="s">
        <v>56</v>
      </c>
      <c r="AR810" s="15" t="s">
        <v>58</v>
      </c>
      <c r="AS810" s="15" t="s">
        <v>163</v>
      </c>
      <c r="AT810" s="15"/>
      <c r="AU810" s="45" t="s">
        <v>1777</v>
      </c>
      <c r="AV810" s="15"/>
      <c r="AW810" s="12" t="str">
        <f>B810&amp;C810&amp;L810&amp;M810&amp;O810&amp;U810&amp;AL810&amp;AM810</f>
        <v>Costa RicaSanta Rosa National Park, Camaronal National Wildlife Refuge, Caletas Ario National Wildlife Refuge, Curu National Wildlife RefugeChaetodon humeralisbiomassden1Beita-Jimenez2019</v>
      </c>
    </row>
    <row r="811" spans="1:49" ht="14.25" customHeight="1" x14ac:dyDescent="0.35">
      <c r="A811" s="12">
        <v>810</v>
      </c>
      <c r="B811" s="15" t="s">
        <v>633</v>
      </c>
      <c r="C811" s="15" t="s">
        <v>1773</v>
      </c>
      <c r="D811" s="15" t="s">
        <v>1773</v>
      </c>
      <c r="E811" s="15" t="s">
        <v>171</v>
      </c>
      <c r="F811" s="13" t="s">
        <v>50</v>
      </c>
      <c r="G811" s="13" t="s">
        <v>51</v>
      </c>
      <c r="H811" s="16" t="s">
        <v>78</v>
      </c>
      <c r="I811" s="16" t="s">
        <v>156</v>
      </c>
      <c r="J811" s="17">
        <v>250</v>
      </c>
      <c r="K811" s="17"/>
      <c r="L811" s="17" t="s">
        <v>1793</v>
      </c>
      <c r="M811" s="17"/>
      <c r="N811" s="14" t="s">
        <v>85</v>
      </c>
      <c r="O811" s="17" t="s">
        <v>70</v>
      </c>
      <c r="P811" s="17"/>
      <c r="Q811" s="17"/>
      <c r="R811" s="17"/>
      <c r="S811" s="17">
        <v>0.02</v>
      </c>
      <c r="T811" s="17">
        <v>0.06</v>
      </c>
      <c r="U811" s="20">
        <f t="shared" si="54"/>
        <v>3</v>
      </c>
      <c r="V811" s="41">
        <f t="shared" si="57"/>
        <v>200</v>
      </c>
      <c r="W811" s="17"/>
      <c r="X811" s="17" t="s">
        <v>58</v>
      </c>
      <c r="Y811" s="14">
        <v>220</v>
      </c>
      <c r="Z811" s="17" t="s">
        <v>56</v>
      </c>
      <c r="AA811" s="17"/>
      <c r="AB811" s="17" t="s">
        <v>57</v>
      </c>
      <c r="AC811" s="17">
        <v>2013</v>
      </c>
      <c r="AD811" s="17">
        <v>2</v>
      </c>
      <c r="AE811" s="17"/>
      <c r="AF811" s="17"/>
      <c r="AG811" s="17">
        <v>2006</v>
      </c>
      <c r="AH811" s="14">
        <f t="shared" si="55"/>
        <v>7</v>
      </c>
      <c r="AI811" s="17">
        <f t="shared" si="56"/>
        <v>9</v>
      </c>
      <c r="AJ811" s="17"/>
      <c r="AK811" s="17" t="s">
        <v>56</v>
      </c>
      <c r="AL811" s="16" t="s">
        <v>1776</v>
      </c>
      <c r="AM811" s="15">
        <v>2019</v>
      </c>
      <c r="AN811" s="15" t="s">
        <v>343</v>
      </c>
      <c r="AO811" s="15" t="s">
        <v>56</v>
      </c>
      <c r="AP811" s="15"/>
      <c r="AQ811" s="15" t="s">
        <v>56</v>
      </c>
      <c r="AR811" s="15" t="s">
        <v>58</v>
      </c>
      <c r="AS811" s="15" t="s">
        <v>163</v>
      </c>
      <c r="AT811" s="15"/>
      <c r="AU811" s="45" t="s">
        <v>1777</v>
      </c>
      <c r="AV811" s="15"/>
      <c r="AW811" s="12" t="str">
        <f>B811&amp;C811&amp;L811&amp;M811&amp;O811&amp;U811&amp;AL811&amp;AM811</f>
        <v>Costa RicaSanta Rosa National Park, Camaronal National Wildlife Refuge, Caletas Ario National Wildlife Refuge, Curu National Wildlife RefugeJohnrandallia nigrirostrisbiomassden3Beita-Jimenez2019</v>
      </c>
    </row>
    <row r="812" spans="1:49" ht="14.25" customHeight="1" x14ac:dyDescent="0.35">
      <c r="A812" s="12">
        <v>811</v>
      </c>
      <c r="B812" s="15" t="s">
        <v>633</v>
      </c>
      <c r="C812" s="15" t="s">
        <v>1773</v>
      </c>
      <c r="D812" s="15" t="s">
        <v>1773</v>
      </c>
      <c r="E812" s="15" t="s">
        <v>171</v>
      </c>
      <c r="F812" s="13" t="s">
        <v>50</v>
      </c>
      <c r="G812" s="13" t="s">
        <v>51</v>
      </c>
      <c r="H812" s="16" t="s">
        <v>78</v>
      </c>
      <c r="I812" s="16" t="s">
        <v>156</v>
      </c>
      <c r="J812" s="17">
        <v>250</v>
      </c>
      <c r="K812" s="17"/>
      <c r="L812" s="17" t="s">
        <v>1794</v>
      </c>
      <c r="M812" s="17"/>
      <c r="N812" s="14" t="s">
        <v>85</v>
      </c>
      <c r="O812" s="17" t="s">
        <v>70</v>
      </c>
      <c r="P812" s="17"/>
      <c r="Q812" s="17"/>
      <c r="R812" s="17"/>
      <c r="S812" s="17">
        <v>0.01</v>
      </c>
      <c r="T812" s="17">
        <v>0.04</v>
      </c>
      <c r="U812" s="20">
        <f t="shared" si="54"/>
        <v>4</v>
      </c>
      <c r="V812" s="41">
        <f t="shared" si="57"/>
        <v>300</v>
      </c>
      <c r="W812" s="17"/>
      <c r="X812" s="17" t="s">
        <v>58</v>
      </c>
      <c r="Y812" s="14">
        <v>220</v>
      </c>
      <c r="Z812" s="17" t="s">
        <v>56</v>
      </c>
      <c r="AA812" s="17"/>
      <c r="AB812" s="17" t="s">
        <v>57</v>
      </c>
      <c r="AC812" s="17">
        <v>2013</v>
      </c>
      <c r="AD812" s="17">
        <v>2</v>
      </c>
      <c r="AE812" s="17"/>
      <c r="AF812" s="17"/>
      <c r="AG812" s="17">
        <v>2006</v>
      </c>
      <c r="AH812" s="14">
        <f t="shared" si="55"/>
        <v>7</v>
      </c>
      <c r="AI812" s="17">
        <f t="shared" si="56"/>
        <v>9</v>
      </c>
      <c r="AJ812" s="17"/>
      <c r="AK812" s="17" t="s">
        <v>56</v>
      </c>
      <c r="AL812" s="16" t="s">
        <v>1776</v>
      </c>
      <c r="AM812" s="15">
        <v>2019</v>
      </c>
      <c r="AN812" s="15" t="s">
        <v>343</v>
      </c>
      <c r="AO812" s="15" t="s">
        <v>56</v>
      </c>
      <c r="AP812" s="15"/>
      <c r="AQ812" s="15" t="s">
        <v>56</v>
      </c>
      <c r="AR812" s="15" t="s">
        <v>58</v>
      </c>
      <c r="AS812" s="15" t="s">
        <v>163</v>
      </c>
      <c r="AT812" s="15"/>
      <c r="AU812" s="45" t="s">
        <v>1777</v>
      </c>
      <c r="AV812" s="15"/>
      <c r="AW812" s="12" t="str">
        <f>B812&amp;C812&amp;L812&amp;M812&amp;O812&amp;U812&amp;AL812&amp;AM812</f>
        <v>Costa RicaSanta Rosa National Park, Camaronal National Wildlife Refuge, Caletas Ario National Wildlife Refuge, Curu National Wildlife RefugeCirrhitichthys oxycephalusbiomassden4Beita-Jimenez2019</v>
      </c>
    </row>
    <row r="813" spans="1:49" ht="14.25" customHeight="1" x14ac:dyDescent="0.35">
      <c r="A813" s="12">
        <v>812</v>
      </c>
      <c r="B813" s="15" t="s">
        <v>633</v>
      </c>
      <c r="C813" s="15" t="s">
        <v>1773</v>
      </c>
      <c r="D813" s="15" t="s">
        <v>1773</v>
      </c>
      <c r="E813" s="15" t="s">
        <v>171</v>
      </c>
      <c r="F813" s="13" t="s">
        <v>50</v>
      </c>
      <c r="G813" s="13" t="s">
        <v>51</v>
      </c>
      <c r="H813" s="16" t="s">
        <v>78</v>
      </c>
      <c r="I813" s="16" t="s">
        <v>156</v>
      </c>
      <c r="J813" s="17">
        <v>250</v>
      </c>
      <c r="K813" s="17"/>
      <c r="L813" s="17" t="s">
        <v>1795</v>
      </c>
      <c r="M813" s="17"/>
      <c r="N813" s="14" t="s">
        <v>85</v>
      </c>
      <c r="O813" s="17" t="s">
        <v>70</v>
      </c>
      <c r="P813" s="17"/>
      <c r="Q813" s="17"/>
      <c r="R813" s="17"/>
      <c r="S813" s="17">
        <v>0.05</v>
      </c>
      <c r="T813" s="17">
        <v>0.28000000000000003</v>
      </c>
      <c r="U813" s="20">
        <f t="shared" si="54"/>
        <v>5.6000000000000005</v>
      </c>
      <c r="V813" s="41">
        <f t="shared" si="57"/>
        <v>460.00000000000006</v>
      </c>
      <c r="W813" s="17"/>
      <c r="X813" s="17" t="s">
        <v>58</v>
      </c>
      <c r="Y813" s="14">
        <v>220</v>
      </c>
      <c r="Z813" s="17" t="s">
        <v>56</v>
      </c>
      <c r="AA813" s="17"/>
      <c r="AB813" s="17" t="s">
        <v>57</v>
      </c>
      <c r="AC813" s="17">
        <v>2013</v>
      </c>
      <c r="AD813" s="17">
        <v>2</v>
      </c>
      <c r="AE813" s="17"/>
      <c r="AF813" s="17"/>
      <c r="AG813" s="17">
        <v>2006</v>
      </c>
      <c r="AH813" s="14">
        <f t="shared" si="55"/>
        <v>7</v>
      </c>
      <c r="AI813" s="17">
        <f t="shared" si="56"/>
        <v>9</v>
      </c>
      <c r="AJ813" s="17"/>
      <c r="AK813" s="17" t="s">
        <v>56</v>
      </c>
      <c r="AL813" s="16" t="s">
        <v>1776</v>
      </c>
      <c r="AM813" s="15">
        <v>2019</v>
      </c>
      <c r="AN813" s="15" t="s">
        <v>343</v>
      </c>
      <c r="AO813" s="15" t="s">
        <v>56</v>
      </c>
      <c r="AP813" s="15"/>
      <c r="AQ813" s="15" t="s">
        <v>56</v>
      </c>
      <c r="AR813" s="15" t="s">
        <v>58</v>
      </c>
      <c r="AS813" s="15" t="s">
        <v>163</v>
      </c>
      <c r="AT813" s="15"/>
      <c r="AU813" s="45" t="s">
        <v>1777</v>
      </c>
      <c r="AV813" s="15"/>
      <c r="AW813" s="12" t="str">
        <f>B813&amp;C813&amp;L813&amp;M813&amp;O813&amp;U813&amp;AL813&amp;AM813</f>
        <v>Costa RicaSanta Rosa National Park, Camaronal National Wildlife Refuge, Caletas Ario National Wildlife Refuge, Curu National Wildlife RefugeCirrhitus rivulatusbiomassden5.6Beita-Jimenez2019</v>
      </c>
    </row>
    <row r="814" spans="1:49" ht="14.25" customHeight="1" x14ac:dyDescent="0.35">
      <c r="A814" s="12">
        <v>813</v>
      </c>
      <c r="B814" s="15" t="s">
        <v>633</v>
      </c>
      <c r="C814" s="15" t="s">
        <v>1773</v>
      </c>
      <c r="D814" s="15" t="s">
        <v>1773</v>
      </c>
      <c r="E814" s="15" t="s">
        <v>171</v>
      </c>
      <c r="F814" s="16" t="s">
        <v>50</v>
      </c>
      <c r="G814" s="16" t="s">
        <v>51</v>
      </c>
      <c r="H814" s="16" t="s">
        <v>78</v>
      </c>
      <c r="I814" s="16" t="s">
        <v>156</v>
      </c>
      <c r="J814" s="17">
        <v>250</v>
      </c>
      <c r="K814" s="17"/>
      <c r="L814" s="17" t="s">
        <v>1796</v>
      </c>
      <c r="M814" s="17"/>
      <c r="N814" s="14" t="s">
        <v>85</v>
      </c>
      <c r="O814" s="17" t="s">
        <v>70</v>
      </c>
      <c r="P814" s="17"/>
      <c r="Q814" s="17"/>
      <c r="R814" s="17"/>
      <c r="S814" s="17">
        <v>0.02</v>
      </c>
      <c r="T814" s="17">
        <v>0.04</v>
      </c>
      <c r="U814" s="20">
        <f t="shared" si="54"/>
        <v>2</v>
      </c>
      <c r="V814" s="41">
        <f t="shared" si="57"/>
        <v>100</v>
      </c>
      <c r="W814" s="17"/>
      <c r="X814" s="17" t="s">
        <v>58</v>
      </c>
      <c r="Y814" s="14">
        <v>220</v>
      </c>
      <c r="Z814" s="17" t="s">
        <v>56</v>
      </c>
      <c r="AA814" s="17"/>
      <c r="AB814" s="17" t="s">
        <v>57</v>
      </c>
      <c r="AC814" s="17">
        <v>2013</v>
      </c>
      <c r="AD814" s="17">
        <v>2</v>
      </c>
      <c r="AE814" s="17"/>
      <c r="AF814" s="17"/>
      <c r="AG814" s="17">
        <v>2006</v>
      </c>
      <c r="AH814" s="14">
        <f t="shared" si="55"/>
        <v>7</v>
      </c>
      <c r="AI814" s="17">
        <f t="shared" si="56"/>
        <v>9</v>
      </c>
      <c r="AJ814" s="17"/>
      <c r="AK814" s="17" t="s">
        <v>56</v>
      </c>
      <c r="AL814" s="16" t="s">
        <v>1776</v>
      </c>
      <c r="AM814" s="15">
        <v>2019</v>
      </c>
      <c r="AN814" s="15" t="s">
        <v>343</v>
      </c>
      <c r="AO814" s="15" t="s">
        <v>56</v>
      </c>
      <c r="AP814" s="15"/>
      <c r="AQ814" s="15" t="s">
        <v>56</v>
      </c>
      <c r="AR814" s="15" t="s">
        <v>58</v>
      </c>
      <c r="AS814" s="15" t="s">
        <v>163</v>
      </c>
      <c r="AT814" s="15"/>
      <c r="AU814" s="45" t="s">
        <v>1777</v>
      </c>
      <c r="AV814" s="15"/>
      <c r="AW814" s="12" t="str">
        <f>B814&amp;C814&amp;L814&amp;M814&amp;O814&amp;U814&amp;AL814&amp;AM814</f>
        <v>Costa RicaSanta Rosa National Park, Camaronal National Wildlife Refuge, Caletas Ario National Wildlife Refuge, Curu National Wildlife RefugeAnisotremus caesiusbiomassden2Beita-Jimenez2019</v>
      </c>
    </row>
    <row r="815" spans="1:49" ht="14.25" customHeight="1" x14ac:dyDescent="0.35">
      <c r="A815" s="12">
        <v>814</v>
      </c>
      <c r="B815" s="12" t="s">
        <v>633</v>
      </c>
      <c r="C815" s="15" t="s">
        <v>1773</v>
      </c>
      <c r="D815" s="15" t="s">
        <v>1773</v>
      </c>
      <c r="E815" s="12" t="s">
        <v>171</v>
      </c>
      <c r="F815" s="13" t="s">
        <v>50</v>
      </c>
      <c r="G815" s="13" t="s">
        <v>51</v>
      </c>
      <c r="H815" s="13" t="s">
        <v>78</v>
      </c>
      <c r="I815" s="13" t="s">
        <v>156</v>
      </c>
      <c r="J815" s="17">
        <v>250</v>
      </c>
      <c r="K815" s="17"/>
      <c r="L815" s="14" t="s">
        <v>1797</v>
      </c>
      <c r="M815" s="14"/>
      <c r="N815" s="14" t="s">
        <v>85</v>
      </c>
      <c r="O815" s="17" t="s">
        <v>70</v>
      </c>
      <c r="P815" s="14"/>
      <c r="Q815" s="14"/>
      <c r="R815" s="14"/>
      <c r="S815" s="14">
        <v>0.91</v>
      </c>
      <c r="T815" s="14">
        <v>7.45</v>
      </c>
      <c r="U815" s="19">
        <f t="shared" si="54"/>
        <v>8.1868131868131861</v>
      </c>
      <c r="V815" s="41">
        <f t="shared" si="57"/>
        <v>718.68131868131866</v>
      </c>
      <c r="W815" s="14"/>
      <c r="X815" s="14" t="s">
        <v>58</v>
      </c>
      <c r="Y815" s="14">
        <v>220</v>
      </c>
      <c r="Z815" s="14" t="s">
        <v>56</v>
      </c>
      <c r="AA815" s="14"/>
      <c r="AB815" s="14" t="s">
        <v>57</v>
      </c>
      <c r="AC815" s="14">
        <v>2013</v>
      </c>
      <c r="AD815" s="14">
        <v>2</v>
      </c>
      <c r="AE815" s="14"/>
      <c r="AF815" s="14"/>
      <c r="AG815" s="14">
        <v>2006</v>
      </c>
      <c r="AH815" s="14">
        <f t="shared" si="55"/>
        <v>7</v>
      </c>
      <c r="AI815" s="17">
        <f t="shared" si="56"/>
        <v>9</v>
      </c>
      <c r="AJ815" s="14"/>
      <c r="AK815" s="14" t="s">
        <v>56</v>
      </c>
      <c r="AL815" s="13" t="s">
        <v>1776</v>
      </c>
      <c r="AM815" s="12">
        <v>2019</v>
      </c>
      <c r="AN815" s="12" t="s">
        <v>343</v>
      </c>
      <c r="AO815" s="12" t="s">
        <v>56</v>
      </c>
      <c r="AP815" s="12"/>
      <c r="AQ815" s="12" t="s">
        <v>56</v>
      </c>
      <c r="AR815" s="12" t="s">
        <v>58</v>
      </c>
      <c r="AS815" s="12" t="s">
        <v>163</v>
      </c>
      <c r="AT815" s="12"/>
      <c r="AU815" s="45" t="s">
        <v>1777</v>
      </c>
      <c r="AV815" s="15"/>
      <c r="AW815" s="12" t="str">
        <f>B815&amp;C815&amp;L815&amp;M815&amp;O815&amp;U815&amp;AL815&amp;AM815</f>
        <v>Costa RicaSanta Rosa National Park, Camaronal National Wildlife Refuge, Caletas Ario National Wildlife Refuge, Curu National Wildlife RefugeHaemulon flaviguttatumbiomassden8.18681318681319Beita-Jimenez2019</v>
      </c>
    </row>
    <row r="816" spans="1:49" ht="14.25" customHeight="1" x14ac:dyDescent="0.35">
      <c r="A816" s="12">
        <v>815</v>
      </c>
      <c r="B816" s="12" t="s">
        <v>633</v>
      </c>
      <c r="C816" s="15" t="s">
        <v>1773</v>
      </c>
      <c r="D816" s="15" t="s">
        <v>1773</v>
      </c>
      <c r="E816" s="12" t="s">
        <v>171</v>
      </c>
      <c r="F816" s="16" t="s">
        <v>50</v>
      </c>
      <c r="G816" s="16" t="s">
        <v>51</v>
      </c>
      <c r="H816" s="13" t="s">
        <v>78</v>
      </c>
      <c r="I816" s="13" t="s">
        <v>156</v>
      </c>
      <c r="J816" s="17">
        <v>250</v>
      </c>
      <c r="K816" s="17"/>
      <c r="L816" s="14" t="s">
        <v>1798</v>
      </c>
      <c r="M816" s="14"/>
      <c r="N816" s="14" t="s">
        <v>85</v>
      </c>
      <c r="O816" s="17" t="s">
        <v>70</v>
      </c>
      <c r="P816" s="14"/>
      <c r="Q816" s="14"/>
      <c r="R816" s="14"/>
      <c r="S816" s="14">
        <v>1.08</v>
      </c>
      <c r="T816" s="14">
        <v>0.53</v>
      </c>
      <c r="U816" s="19">
        <f t="shared" si="54"/>
        <v>0.49074074074074076</v>
      </c>
      <c r="V816" s="41">
        <f t="shared" si="57"/>
        <v>-50.925925925925931</v>
      </c>
      <c r="W816" s="14"/>
      <c r="X816" s="14" t="s">
        <v>58</v>
      </c>
      <c r="Y816" s="14">
        <v>220</v>
      </c>
      <c r="Z816" s="14" t="s">
        <v>56</v>
      </c>
      <c r="AA816" s="14"/>
      <c r="AB816" s="14" t="s">
        <v>57</v>
      </c>
      <c r="AC816" s="14">
        <v>2013</v>
      </c>
      <c r="AD816" s="14">
        <v>2</v>
      </c>
      <c r="AE816" s="14"/>
      <c r="AF816" s="14"/>
      <c r="AG816" s="14">
        <v>2006</v>
      </c>
      <c r="AH816" s="14">
        <f t="shared" si="55"/>
        <v>7</v>
      </c>
      <c r="AI816" s="17">
        <f t="shared" si="56"/>
        <v>9</v>
      </c>
      <c r="AJ816" s="14"/>
      <c r="AK816" s="14" t="s">
        <v>56</v>
      </c>
      <c r="AL816" s="13" t="s">
        <v>1776</v>
      </c>
      <c r="AM816" s="12">
        <v>2019</v>
      </c>
      <c r="AN816" s="12" t="s">
        <v>343</v>
      </c>
      <c r="AO816" s="12" t="s">
        <v>56</v>
      </c>
      <c r="AP816" s="12"/>
      <c r="AQ816" s="12" t="s">
        <v>56</v>
      </c>
      <c r="AR816" s="12" t="s">
        <v>58</v>
      </c>
      <c r="AS816" s="12" t="s">
        <v>163</v>
      </c>
      <c r="AT816" s="12"/>
      <c r="AU816" s="45" t="s">
        <v>1777</v>
      </c>
      <c r="AV816" s="15"/>
      <c r="AW816" s="12" t="str">
        <f>B816&amp;C816&amp;L816&amp;M816&amp;O816&amp;U816&amp;AL816&amp;AM816</f>
        <v>Costa RicaSanta Rosa National Park, Camaronal National Wildlife Refuge, Caletas Ario National Wildlife Refuge, Curu National Wildlife RefugeHaemulon maculicaudabiomassden0.490740740740741Beita-Jimenez2019</v>
      </c>
    </row>
    <row r="817" spans="1:49" ht="14.25" customHeight="1" x14ac:dyDescent="0.35">
      <c r="A817" s="12">
        <v>816</v>
      </c>
      <c r="B817" s="12" t="s">
        <v>633</v>
      </c>
      <c r="C817" s="15" t="s">
        <v>1773</v>
      </c>
      <c r="D817" s="15" t="s">
        <v>1773</v>
      </c>
      <c r="E817" s="12" t="s">
        <v>171</v>
      </c>
      <c r="F817" s="13" t="s">
        <v>50</v>
      </c>
      <c r="G817" s="13" t="s">
        <v>51</v>
      </c>
      <c r="H817" s="13" t="s">
        <v>78</v>
      </c>
      <c r="I817" s="13" t="s">
        <v>156</v>
      </c>
      <c r="J817" s="17">
        <v>250</v>
      </c>
      <c r="K817" s="17"/>
      <c r="L817" s="14" t="s">
        <v>1799</v>
      </c>
      <c r="M817" s="14"/>
      <c r="N817" s="14" t="s">
        <v>85</v>
      </c>
      <c r="O817" s="17" t="s">
        <v>70</v>
      </c>
      <c r="P817" s="14"/>
      <c r="Q817" s="14"/>
      <c r="R817" s="14"/>
      <c r="S817" s="14">
        <v>0.06</v>
      </c>
      <c r="T817" s="14">
        <v>0.12</v>
      </c>
      <c r="U817" s="19">
        <f t="shared" si="54"/>
        <v>2</v>
      </c>
      <c r="V817" s="41">
        <f t="shared" si="57"/>
        <v>100</v>
      </c>
      <c r="W817" s="14"/>
      <c r="X817" s="14" t="s">
        <v>58</v>
      </c>
      <c r="Y817" s="14">
        <v>220</v>
      </c>
      <c r="Z817" s="14" t="s">
        <v>56</v>
      </c>
      <c r="AA817" s="14"/>
      <c r="AB817" s="14" t="s">
        <v>57</v>
      </c>
      <c r="AC817" s="14">
        <v>2013</v>
      </c>
      <c r="AD817" s="14">
        <v>2</v>
      </c>
      <c r="AE817" s="14"/>
      <c r="AF817" s="14"/>
      <c r="AG817" s="14">
        <v>2006</v>
      </c>
      <c r="AH817" s="14">
        <f t="shared" si="55"/>
        <v>7</v>
      </c>
      <c r="AI817" s="17">
        <f t="shared" si="56"/>
        <v>9</v>
      </c>
      <c r="AJ817" s="14"/>
      <c r="AK817" s="14" t="s">
        <v>56</v>
      </c>
      <c r="AL817" s="13" t="s">
        <v>1776</v>
      </c>
      <c r="AM817" s="12">
        <v>2019</v>
      </c>
      <c r="AN817" s="12" t="s">
        <v>343</v>
      </c>
      <c r="AO817" s="12" t="s">
        <v>56</v>
      </c>
      <c r="AP817" s="12"/>
      <c r="AQ817" s="12" t="s">
        <v>56</v>
      </c>
      <c r="AR817" s="12" t="s">
        <v>58</v>
      </c>
      <c r="AS817" s="12" t="s">
        <v>163</v>
      </c>
      <c r="AT817" s="12"/>
      <c r="AU817" s="45" t="s">
        <v>1777</v>
      </c>
      <c r="AV817" s="15"/>
      <c r="AW817" s="12" t="str">
        <f>B817&amp;C817&amp;L817&amp;M817&amp;O817&amp;U817&amp;AL817&amp;AM817</f>
        <v>Costa RicaSanta Rosa National Park, Camaronal National Wildlife Refuge, Caletas Ario National Wildlife Refuge, Curu National Wildlife RefugeHaemulon sexfasciatumbiomassden2Beita-Jimenez2019</v>
      </c>
    </row>
    <row r="818" spans="1:49" ht="14.25" customHeight="1" x14ac:dyDescent="0.35">
      <c r="A818" s="12">
        <v>817</v>
      </c>
      <c r="B818" s="15" t="s">
        <v>633</v>
      </c>
      <c r="C818" s="15" t="s">
        <v>1773</v>
      </c>
      <c r="D818" s="15" t="s">
        <v>1773</v>
      </c>
      <c r="E818" s="15" t="s">
        <v>171</v>
      </c>
      <c r="F818" s="16" t="s">
        <v>50</v>
      </c>
      <c r="G818" s="16" t="s">
        <v>51</v>
      </c>
      <c r="H818" s="16" t="s">
        <v>78</v>
      </c>
      <c r="I818" s="16" t="s">
        <v>156</v>
      </c>
      <c r="J818" s="17">
        <v>250</v>
      </c>
      <c r="K818" s="17"/>
      <c r="L818" s="17" t="s">
        <v>1800</v>
      </c>
      <c r="M818" s="17"/>
      <c r="N818" s="14" t="s">
        <v>85</v>
      </c>
      <c r="O818" s="17" t="s">
        <v>70</v>
      </c>
      <c r="P818" s="17"/>
      <c r="Q818" s="17"/>
      <c r="R818" s="17"/>
      <c r="S818" s="17">
        <v>0.05</v>
      </c>
      <c r="T818" s="17">
        <v>0.04</v>
      </c>
      <c r="U818" s="20">
        <f t="shared" si="54"/>
        <v>0.79999999999999993</v>
      </c>
      <c r="V818" s="41">
        <f t="shared" si="57"/>
        <v>-20.000000000000007</v>
      </c>
      <c r="W818" s="17"/>
      <c r="X818" s="17" t="s">
        <v>58</v>
      </c>
      <c r="Y818" s="14">
        <v>220</v>
      </c>
      <c r="Z818" s="17" t="s">
        <v>56</v>
      </c>
      <c r="AA818" s="17"/>
      <c r="AB818" s="17" t="s">
        <v>57</v>
      </c>
      <c r="AC818" s="17">
        <v>2013</v>
      </c>
      <c r="AD818" s="17">
        <v>2</v>
      </c>
      <c r="AE818" s="17"/>
      <c r="AF818" s="17"/>
      <c r="AG818" s="17">
        <v>2006</v>
      </c>
      <c r="AH818" s="14">
        <f t="shared" si="55"/>
        <v>7</v>
      </c>
      <c r="AI818" s="17">
        <f t="shared" si="56"/>
        <v>9</v>
      </c>
      <c r="AJ818" s="17"/>
      <c r="AK818" s="17" t="s">
        <v>56</v>
      </c>
      <c r="AL818" s="16" t="s">
        <v>1776</v>
      </c>
      <c r="AM818" s="15">
        <v>2019</v>
      </c>
      <c r="AN818" s="15" t="s">
        <v>343</v>
      </c>
      <c r="AO818" s="15" t="s">
        <v>56</v>
      </c>
      <c r="AP818" s="15"/>
      <c r="AQ818" s="15" t="s">
        <v>56</v>
      </c>
      <c r="AR818" s="15" t="s">
        <v>58</v>
      </c>
      <c r="AS818" s="15" t="s">
        <v>163</v>
      </c>
      <c r="AT818" s="15"/>
      <c r="AU818" s="45" t="s">
        <v>1777</v>
      </c>
      <c r="AV818" s="15"/>
      <c r="AW818" s="12" t="str">
        <f>B818&amp;C818&amp;L818&amp;M818&amp;O818&amp;U818&amp;AL818&amp;AM818</f>
        <v>Costa RicaSanta Rosa National Park, Camaronal National Wildlife Refuge, Caletas Ario National Wildlife Refuge, Curu National Wildlife RefugeHaemulon steindachneribiomassden0.8Beita-Jimenez2019</v>
      </c>
    </row>
    <row r="819" spans="1:49" ht="14.25" customHeight="1" x14ac:dyDescent="0.35">
      <c r="A819" s="12">
        <v>818</v>
      </c>
      <c r="B819" s="12" t="s">
        <v>633</v>
      </c>
      <c r="C819" s="15" t="s">
        <v>1773</v>
      </c>
      <c r="D819" s="15" t="s">
        <v>1773</v>
      </c>
      <c r="E819" s="12" t="s">
        <v>171</v>
      </c>
      <c r="F819" s="16" t="s">
        <v>50</v>
      </c>
      <c r="G819" s="16" t="s">
        <v>51</v>
      </c>
      <c r="H819" s="13" t="s">
        <v>78</v>
      </c>
      <c r="I819" s="13" t="s">
        <v>156</v>
      </c>
      <c r="J819" s="17">
        <v>250</v>
      </c>
      <c r="K819" s="17"/>
      <c r="L819" s="14" t="s">
        <v>1801</v>
      </c>
      <c r="M819" s="14"/>
      <c r="N819" s="14" t="s">
        <v>85</v>
      </c>
      <c r="O819" s="14" t="s">
        <v>70</v>
      </c>
      <c r="P819" s="14"/>
      <c r="Q819" s="14"/>
      <c r="R819" s="14"/>
      <c r="S819" s="14">
        <v>0.56000000000000005</v>
      </c>
      <c r="T819" s="14">
        <v>0.03</v>
      </c>
      <c r="U819" s="19">
        <f t="shared" ref="U819:U882" si="58">IFERROR(IF(AND(Q819="",R819="",S819="",T819=""),"",IF(AND(Q819&lt;&gt;"",R819&lt;&gt;"",S819&lt;&gt;"",T819&lt;&gt;""),(T819/R819)/(S819/Q819),IF(AND(Q819&lt;&gt;"",R819&lt;&gt;""),R819/Q819,IF(AND(S819&lt;&gt;"",T819&lt;&gt;""),T819/S819,IF(AND(Q819&lt;&gt;"",S819&lt;&gt;""),Q819/S819,IF(AND(R819&lt;&gt;"",T819&lt;&gt;""),T819/R819)))))), "N/A")</f>
        <v>5.3571428571428562E-2</v>
      </c>
      <c r="V819" s="41">
        <f t="shared" si="57"/>
        <v>-94.642857142857139</v>
      </c>
      <c r="W819" s="14"/>
      <c r="X819" s="14" t="s">
        <v>58</v>
      </c>
      <c r="Y819" s="14">
        <v>220</v>
      </c>
      <c r="Z819" s="14" t="s">
        <v>56</v>
      </c>
      <c r="AA819" s="14"/>
      <c r="AB819" s="14" t="s">
        <v>57</v>
      </c>
      <c r="AC819" s="14">
        <v>2013</v>
      </c>
      <c r="AD819" s="14">
        <v>2</v>
      </c>
      <c r="AE819" s="14"/>
      <c r="AF819" s="14"/>
      <c r="AG819" s="14">
        <v>2006</v>
      </c>
      <c r="AH819" s="14">
        <f t="shared" si="55"/>
        <v>7</v>
      </c>
      <c r="AI819" s="17">
        <f t="shared" si="56"/>
        <v>9</v>
      </c>
      <c r="AJ819" s="14"/>
      <c r="AK819" s="14" t="s">
        <v>56</v>
      </c>
      <c r="AL819" s="13" t="s">
        <v>1776</v>
      </c>
      <c r="AM819" s="12">
        <v>2019</v>
      </c>
      <c r="AN819" s="12" t="s">
        <v>343</v>
      </c>
      <c r="AO819" s="12" t="s">
        <v>56</v>
      </c>
      <c r="AP819" s="12"/>
      <c r="AQ819" s="12" t="s">
        <v>56</v>
      </c>
      <c r="AR819" s="12" t="s">
        <v>58</v>
      </c>
      <c r="AS819" s="12" t="s">
        <v>163</v>
      </c>
      <c r="AT819" s="12"/>
      <c r="AU819" s="45" t="s">
        <v>1777</v>
      </c>
      <c r="AV819" s="15"/>
      <c r="AW819" s="12" t="str">
        <f>B819&amp;C819&amp;L819&amp;M819&amp;O819&amp;U819&amp;AL819&amp;AM819</f>
        <v>Costa RicaSanta Rosa National Park, Camaronal National Wildlife Refuge, Caletas Ario National Wildlife Refuge, Curu National Wildlife RefugeKyphosus analogusbiomassden0.0535714285714286Beita-Jimenez2019</v>
      </c>
    </row>
    <row r="820" spans="1:49" ht="14.25" customHeight="1" x14ac:dyDescent="0.35">
      <c r="A820" s="12">
        <v>819</v>
      </c>
      <c r="B820" s="15" t="s">
        <v>633</v>
      </c>
      <c r="C820" s="15" t="s">
        <v>1773</v>
      </c>
      <c r="D820" s="15" t="s">
        <v>1773</v>
      </c>
      <c r="E820" s="15" t="s">
        <v>171</v>
      </c>
      <c r="F820" s="16" t="s">
        <v>50</v>
      </c>
      <c r="G820" s="16" t="s">
        <v>51</v>
      </c>
      <c r="H820" s="16" t="s">
        <v>78</v>
      </c>
      <c r="I820" s="16" t="s">
        <v>156</v>
      </c>
      <c r="J820" s="17">
        <v>250</v>
      </c>
      <c r="K820" s="17"/>
      <c r="L820" s="17" t="s">
        <v>1802</v>
      </c>
      <c r="M820" s="17"/>
      <c r="N820" s="14" t="s">
        <v>85</v>
      </c>
      <c r="O820" s="17" t="s">
        <v>70</v>
      </c>
      <c r="P820" s="17"/>
      <c r="Q820" s="17"/>
      <c r="R820" s="17"/>
      <c r="S820" s="17">
        <v>0.04</v>
      </c>
      <c r="T820" s="17">
        <v>0.1</v>
      </c>
      <c r="U820" s="20">
        <f t="shared" si="58"/>
        <v>2.5</v>
      </c>
      <c r="V820" s="41">
        <f t="shared" si="57"/>
        <v>150</v>
      </c>
      <c r="W820" s="17"/>
      <c r="X820" s="17" t="s">
        <v>58</v>
      </c>
      <c r="Y820" s="14">
        <v>220</v>
      </c>
      <c r="Z820" s="17" t="s">
        <v>56</v>
      </c>
      <c r="AA820" s="17"/>
      <c r="AB820" s="17" t="s">
        <v>57</v>
      </c>
      <c r="AC820" s="17">
        <v>2013</v>
      </c>
      <c r="AD820" s="17">
        <v>2</v>
      </c>
      <c r="AE820" s="17"/>
      <c r="AF820" s="17"/>
      <c r="AG820" s="17">
        <v>2006</v>
      </c>
      <c r="AH820" s="14">
        <f t="shared" si="55"/>
        <v>7</v>
      </c>
      <c r="AI820" s="17">
        <f t="shared" si="56"/>
        <v>9</v>
      </c>
      <c r="AJ820" s="17"/>
      <c r="AK820" s="17" t="s">
        <v>56</v>
      </c>
      <c r="AL820" s="16" t="s">
        <v>1776</v>
      </c>
      <c r="AM820" s="15">
        <v>2019</v>
      </c>
      <c r="AN820" s="15" t="s">
        <v>343</v>
      </c>
      <c r="AO820" s="15" t="s">
        <v>56</v>
      </c>
      <c r="AP820" s="15"/>
      <c r="AQ820" s="15" t="s">
        <v>56</v>
      </c>
      <c r="AR820" s="15" t="s">
        <v>58</v>
      </c>
      <c r="AS820" s="15" t="s">
        <v>163</v>
      </c>
      <c r="AT820" s="15"/>
      <c r="AU820" s="45" t="s">
        <v>1777</v>
      </c>
      <c r="AV820" s="15"/>
      <c r="AW820" s="12" t="str">
        <f>B820&amp;C820&amp;L820&amp;M820&amp;O820&amp;U820&amp;AL820&amp;AM820</f>
        <v>Costa RicaSanta Rosa National Park, Camaronal National Wildlife Refuge, Caletas Ario National Wildlife Refuge, Curu National Wildlife RefugeBodianus diplotaeniabiomassden2.5Beita-Jimenez2019</v>
      </c>
    </row>
    <row r="821" spans="1:49" ht="14.25" customHeight="1" x14ac:dyDescent="0.35">
      <c r="A821" s="12">
        <v>820</v>
      </c>
      <c r="B821" s="15" t="s">
        <v>633</v>
      </c>
      <c r="C821" s="15" t="s">
        <v>1773</v>
      </c>
      <c r="D821" s="15" t="s">
        <v>1773</v>
      </c>
      <c r="E821" s="15" t="s">
        <v>171</v>
      </c>
      <c r="F821" s="16" t="s">
        <v>50</v>
      </c>
      <c r="G821" s="16" t="s">
        <v>51</v>
      </c>
      <c r="H821" s="16" t="s">
        <v>78</v>
      </c>
      <c r="I821" s="16" t="s">
        <v>156</v>
      </c>
      <c r="J821" s="17">
        <v>250</v>
      </c>
      <c r="K821" s="17"/>
      <c r="L821" s="17" t="s">
        <v>1803</v>
      </c>
      <c r="M821" s="17"/>
      <c r="N821" s="14" t="s">
        <v>85</v>
      </c>
      <c r="O821" s="17" t="s">
        <v>70</v>
      </c>
      <c r="P821" s="17"/>
      <c r="Q821" s="17"/>
      <c r="R821" s="17"/>
      <c r="S821" s="17">
        <v>0.02</v>
      </c>
      <c r="T821" s="17">
        <v>0.01</v>
      </c>
      <c r="U821" s="20">
        <f t="shared" si="58"/>
        <v>0.5</v>
      </c>
      <c r="V821" s="41">
        <f t="shared" si="57"/>
        <v>-50</v>
      </c>
      <c r="W821" s="17"/>
      <c r="X821" s="17" t="s">
        <v>58</v>
      </c>
      <c r="Y821" s="14">
        <v>220</v>
      </c>
      <c r="Z821" s="17" t="s">
        <v>56</v>
      </c>
      <c r="AA821" s="17"/>
      <c r="AB821" s="17" t="s">
        <v>57</v>
      </c>
      <c r="AC821" s="17">
        <v>2013</v>
      </c>
      <c r="AD821" s="17">
        <v>2</v>
      </c>
      <c r="AE821" s="17"/>
      <c r="AF821" s="17"/>
      <c r="AG821" s="17">
        <v>2006</v>
      </c>
      <c r="AH821" s="14">
        <f t="shared" si="55"/>
        <v>7</v>
      </c>
      <c r="AI821" s="17">
        <f t="shared" si="56"/>
        <v>9</v>
      </c>
      <c r="AJ821" s="17"/>
      <c r="AK821" s="17" t="s">
        <v>56</v>
      </c>
      <c r="AL821" s="16" t="s">
        <v>1776</v>
      </c>
      <c r="AM821" s="15">
        <v>2019</v>
      </c>
      <c r="AN821" s="15" t="s">
        <v>343</v>
      </c>
      <c r="AO821" s="15" t="s">
        <v>56</v>
      </c>
      <c r="AP821" s="15"/>
      <c r="AQ821" s="15" t="s">
        <v>56</v>
      </c>
      <c r="AR821" s="15" t="s">
        <v>58</v>
      </c>
      <c r="AS821" s="15" t="s">
        <v>163</v>
      </c>
      <c r="AT821" s="15"/>
      <c r="AU821" s="45" t="s">
        <v>1777</v>
      </c>
      <c r="AV821" s="15"/>
      <c r="AW821" s="12" t="str">
        <f>B821&amp;C821&amp;L821&amp;M821&amp;O821&amp;U821&amp;AL821&amp;AM821</f>
        <v>Costa RicaSanta Rosa National Park, Camaronal National Wildlife Refuge, Caletas Ario National Wildlife Refuge, Curu National Wildlife RefugeHalichoeres chierchiaebiomassden0.5Beita-Jimenez2019</v>
      </c>
    </row>
    <row r="822" spans="1:49" ht="14.25" customHeight="1" x14ac:dyDescent="0.35">
      <c r="A822" s="12">
        <v>821</v>
      </c>
      <c r="B822" s="15" t="s">
        <v>633</v>
      </c>
      <c r="C822" s="15" t="s">
        <v>1773</v>
      </c>
      <c r="D822" s="15" t="s">
        <v>1773</v>
      </c>
      <c r="E822" s="15" t="s">
        <v>171</v>
      </c>
      <c r="F822" s="16" t="s">
        <v>50</v>
      </c>
      <c r="G822" s="16" t="s">
        <v>51</v>
      </c>
      <c r="H822" s="16" t="s">
        <v>78</v>
      </c>
      <c r="I822" s="16" t="s">
        <v>156</v>
      </c>
      <c r="J822" s="17">
        <v>250</v>
      </c>
      <c r="K822" s="17"/>
      <c r="L822" s="17" t="s">
        <v>1804</v>
      </c>
      <c r="M822" s="17"/>
      <c r="N822" s="14" t="s">
        <v>85</v>
      </c>
      <c r="O822" s="17" t="s">
        <v>70</v>
      </c>
      <c r="P822" s="17"/>
      <c r="Q822" s="17"/>
      <c r="R822" s="17"/>
      <c r="S822" s="17">
        <v>0.03</v>
      </c>
      <c r="T822" s="17">
        <v>0.06</v>
      </c>
      <c r="U822" s="20">
        <f t="shared" si="58"/>
        <v>2</v>
      </c>
      <c r="V822" s="41">
        <f t="shared" si="57"/>
        <v>100</v>
      </c>
      <c r="W822" s="17"/>
      <c r="X822" s="17" t="s">
        <v>58</v>
      </c>
      <c r="Y822" s="14">
        <v>220</v>
      </c>
      <c r="Z822" s="17" t="s">
        <v>56</v>
      </c>
      <c r="AA822" s="17"/>
      <c r="AB822" s="17" t="s">
        <v>57</v>
      </c>
      <c r="AC822" s="17">
        <v>2013</v>
      </c>
      <c r="AD822" s="17">
        <v>2</v>
      </c>
      <c r="AE822" s="17"/>
      <c r="AF822" s="17"/>
      <c r="AG822" s="17">
        <v>2006</v>
      </c>
      <c r="AH822" s="14">
        <f t="shared" si="55"/>
        <v>7</v>
      </c>
      <c r="AI822" s="17">
        <f t="shared" si="56"/>
        <v>9</v>
      </c>
      <c r="AJ822" s="17"/>
      <c r="AK822" s="17" t="s">
        <v>56</v>
      </c>
      <c r="AL822" s="16" t="s">
        <v>1776</v>
      </c>
      <c r="AM822" s="15">
        <v>2019</v>
      </c>
      <c r="AN822" s="15" t="s">
        <v>343</v>
      </c>
      <c r="AO822" s="15" t="s">
        <v>56</v>
      </c>
      <c r="AP822" s="15"/>
      <c r="AQ822" s="15" t="s">
        <v>56</v>
      </c>
      <c r="AR822" s="15" t="s">
        <v>58</v>
      </c>
      <c r="AS822" s="15" t="s">
        <v>163</v>
      </c>
      <c r="AT822" s="15"/>
      <c r="AU822" s="45" t="s">
        <v>1777</v>
      </c>
      <c r="AV822" s="15"/>
      <c r="AW822" s="12" t="str">
        <f>B822&amp;C822&amp;L822&amp;M822&amp;O822&amp;U822&amp;AL822&amp;AM822</f>
        <v>Costa RicaSanta Rosa National Park, Camaronal National Wildlife Refuge, Caletas Ario National Wildlife Refuge, Curu National Wildlife RefugeHalichoeres dispilusbiomassden2Beita-Jimenez2019</v>
      </c>
    </row>
    <row r="823" spans="1:49" ht="14.25" customHeight="1" x14ac:dyDescent="0.35">
      <c r="A823" s="12">
        <v>822</v>
      </c>
      <c r="B823" s="12" t="s">
        <v>633</v>
      </c>
      <c r="C823" s="15" t="s">
        <v>1773</v>
      </c>
      <c r="D823" s="15" t="s">
        <v>1773</v>
      </c>
      <c r="E823" s="12" t="s">
        <v>171</v>
      </c>
      <c r="F823" s="13" t="s">
        <v>50</v>
      </c>
      <c r="G823" s="13" t="s">
        <v>51</v>
      </c>
      <c r="H823" s="13" t="s">
        <v>78</v>
      </c>
      <c r="I823" s="13" t="s">
        <v>156</v>
      </c>
      <c r="J823" s="17">
        <v>250</v>
      </c>
      <c r="K823" s="17"/>
      <c r="L823" s="14" t="s">
        <v>1805</v>
      </c>
      <c r="M823" s="14"/>
      <c r="N823" s="14" t="s">
        <v>85</v>
      </c>
      <c r="O823" s="17" t="s">
        <v>70</v>
      </c>
      <c r="P823" s="14"/>
      <c r="Q823" s="14"/>
      <c r="R823" s="14"/>
      <c r="S823" s="14">
        <v>0.01</v>
      </c>
      <c r="T823" s="14">
        <v>0.01</v>
      </c>
      <c r="U823" s="19">
        <f t="shared" si="58"/>
        <v>1</v>
      </c>
      <c r="V823" s="41">
        <f t="shared" si="57"/>
        <v>0</v>
      </c>
      <c r="W823" s="14"/>
      <c r="X823" s="14" t="s">
        <v>58</v>
      </c>
      <c r="Y823" s="14">
        <v>220</v>
      </c>
      <c r="Z823" s="14" t="s">
        <v>56</v>
      </c>
      <c r="AA823" s="14"/>
      <c r="AB823" s="14" t="s">
        <v>57</v>
      </c>
      <c r="AC823" s="14">
        <v>2013</v>
      </c>
      <c r="AD823" s="14">
        <v>2</v>
      </c>
      <c r="AE823" s="14"/>
      <c r="AF823" s="14"/>
      <c r="AG823" s="14">
        <v>2006</v>
      </c>
      <c r="AH823" s="14">
        <f t="shared" si="55"/>
        <v>7</v>
      </c>
      <c r="AI823" s="17">
        <f t="shared" si="56"/>
        <v>9</v>
      </c>
      <c r="AJ823" s="14"/>
      <c r="AK823" s="14" t="s">
        <v>56</v>
      </c>
      <c r="AL823" s="13" t="s">
        <v>1776</v>
      </c>
      <c r="AM823" s="12">
        <v>2019</v>
      </c>
      <c r="AN823" s="12" t="s">
        <v>343</v>
      </c>
      <c r="AO823" s="12" t="s">
        <v>56</v>
      </c>
      <c r="AP823" s="12"/>
      <c r="AQ823" s="12" t="s">
        <v>56</v>
      </c>
      <c r="AR823" s="12" t="s">
        <v>58</v>
      </c>
      <c r="AS823" s="12" t="s">
        <v>163</v>
      </c>
      <c r="AT823" s="12"/>
      <c r="AU823" s="45" t="s">
        <v>1777</v>
      </c>
      <c r="AV823" s="15"/>
      <c r="AW823" s="12" t="str">
        <f>B823&amp;C823&amp;L823&amp;M823&amp;O823&amp;U823&amp;AL823&amp;AM823</f>
        <v>Costa RicaSanta Rosa National Park, Camaronal National Wildlife Refuge, Caletas Ario National Wildlife Refuge, Curu National Wildlife RefugeHalichoeres nicholsibiomassden1Beita-Jimenez2019</v>
      </c>
    </row>
    <row r="824" spans="1:49" ht="14.25" customHeight="1" x14ac:dyDescent="0.35">
      <c r="A824" s="12">
        <v>823</v>
      </c>
      <c r="B824" s="12" t="s">
        <v>633</v>
      </c>
      <c r="C824" s="15" t="s">
        <v>1773</v>
      </c>
      <c r="D824" s="15" t="s">
        <v>1773</v>
      </c>
      <c r="E824" s="12" t="s">
        <v>171</v>
      </c>
      <c r="F824" s="13" t="s">
        <v>50</v>
      </c>
      <c r="G824" s="13" t="s">
        <v>51</v>
      </c>
      <c r="H824" s="13" t="s">
        <v>78</v>
      </c>
      <c r="I824" s="13" t="s">
        <v>156</v>
      </c>
      <c r="J824" s="17">
        <v>250</v>
      </c>
      <c r="K824" s="17"/>
      <c r="L824" s="14" t="s">
        <v>1806</v>
      </c>
      <c r="M824" s="14"/>
      <c r="N824" s="14" t="s">
        <v>85</v>
      </c>
      <c r="O824" s="17" t="s">
        <v>70</v>
      </c>
      <c r="P824" s="14"/>
      <c r="Q824" s="14"/>
      <c r="R824" s="14"/>
      <c r="S824" s="14">
        <v>0.04</v>
      </c>
      <c r="T824" s="14">
        <v>0.04</v>
      </c>
      <c r="U824" s="19">
        <f t="shared" si="58"/>
        <v>1</v>
      </c>
      <c r="V824" s="41">
        <f t="shared" si="57"/>
        <v>0</v>
      </c>
      <c r="W824" s="14"/>
      <c r="X824" s="14" t="s">
        <v>58</v>
      </c>
      <c r="Y824" s="14">
        <v>220</v>
      </c>
      <c r="Z824" s="14" t="s">
        <v>56</v>
      </c>
      <c r="AA824" s="14"/>
      <c r="AB824" s="14" t="s">
        <v>57</v>
      </c>
      <c r="AC824" s="14">
        <v>2013</v>
      </c>
      <c r="AD824" s="14">
        <v>2</v>
      </c>
      <c r="AE824" s="14"/>
      <c r="AF824" s="14"/>
      <c r="AG824" s="14">
        <v>2006</v>
      </c>
      <c r="AH824" s="14">
        <f t="shared" si="55"/>
        <v>7</v>
      </c>
      <c r="AI824" s="17">
        <f t="shared" si="56"/>
        <v>9</v>
      </c>
      <c r="AJ824" s="14"/>
      <c r="AK824" s="14" t="s">
        <v>56</v>
      </c>
      <c r="AL824" s="13" t="s">
        <v>1776</v>
      </c>
      <c r="AM824" s="12">
        <v>2019</v>
      </c>
      <c r="AN824" s="12" t="s">
        <v>343</v>
      </c>
      <c r="AO824" s="12" t="s">
        <v>56</v>
      </c>
      <c r="AP824" s="12"/>
      <c r="AQ824" s="12" t="s">
        <v>56</v>
      </c>
      <c r="AR824" s="12" t="s">
        <v>58</v>
      </c>
      <c r="AS824" s="12" t="s">
        <v>163</v>
      </c>
      <c r="AT824" s="12"/>
      <c r="AU824" s="45" t="s">
        <v>1777</v>
      </c>
      <c r="AV824" s="15"/>
      <c r="AW824" s="12" t="str">
        <f>B824&amp;C824&amp;L824&amp;M824&amp;O824&amp;U824&amp;AL824&amp;AM824</f>
        <v>Costa RicaSanta Rosa National Park, Camaronal National Wildlife Refuge, Caletas Ario National Wildlife Refuge, Curu National Wildlife RefugeHalichoeres notospilusbiomassden1Beita-Jimenez2019</v>
      </c>
    </row>
    <row r="825" spans="1:49" ht="14.25" customHeight="1" x14ac:dyDescent="0.35">
      <c r="A825" s="12">
        <v>824</v>
      </c>
      <c r="B825" s="15" t="s">
        <v>633</v>
      </c>
      <c r="C825" s="15" t="s">
        <v>1773</v>
      </c>
      <c r="D825" s="15" t="s">
        <v>1773</v>
      </c>
      <c r="E825" s="15" t="s">
        <v>171</v>
      </c>
      <c r="F825" s="16" t="s">
        <v>50</v>
      </c>
      <c r="G825" s="16" t="s">
        <v>51</v>
      </c>
      <c r="H825" s="16" t="s">
        <v>78</v>
      </c>
      <c r="I825" s="16" t="s">
        <v>156</v>
      </c>
      <c r="J825" s="17">
        <v>250</v>
      </c>
      <c r="K825" s="17"/>
      <c r="L825" s="17" t="s">
        <v>1807</v>
      </c>
      <c r="M825" s="17"/>
      <c r="N825" s="14" t="s">
        <v>85</v>
      </c>
      <c r="O825" s="17" t="s">
        <v>70</v>
      </c>
      <c r="P825" s="17"/>
      <c r="Q825" s="17"/>
      <c r="R825" s="17"/>
      <c r="S825" s="17">
        <v>0.04</v>
      </c>
      <c r="T825" s="17">
        <v>0.16</v>
      </c>
      <c r="U825" s="20">
        <f t="shared" si="58"/>
        <v>4</v>
      </c>
      <c r="V825" s="41">
        <f t="shared" si="57"/>
        <v>300</v>
      </c>
      <c r="W825" s="17"/>
      <c r="X825" s="17" t="s">
        <v>58</v>
      </c>
      <c r="Y825" s="14">
        <v>220</v>
      </c>
      <c r="Z825" s="17" t="s">
        <v>56</v>
      </c>
      <c r="AA825" s="17"/>
      <c r="AB825" s="17" t="s">
        <v>57</v>
      </c>
      <c r="AC825" s="17">
        <v>2013</v>
      </c>
      <c r="AD825" s="17">
        <v>2</v>
      </c>
      <c r="AE825" s="17"/>
      <c r="AF825" s="17"/>
      <c r="AG825" s="17">
        <v>2006</v>
      </c>
      <c r="AH825" s="14">
        <f t="shared" si="55"/>
        <v>7</v>
      </c>
      <c r="AI825" s="17">
        <f t="shared" si="56"/>
        <v>9</v>
      </c>
      <c r="AJ825" s="17"/>
      <c r="AK825" s="17" t="s">
        <v>56</v>
      </c>
      <c r="AL825" s="16" t="s">
        <v>1776</v>
      </c>
      <c r="AM825" s="15">
        <v>2019</v>
      </c>
      <c r="AN825" s="15" t="s">
        <v>343</v>
      </c>
      <c r="AO825" s="15" t="s">
        <v>56</v>
      </c>
      <c r="AP825" s="15"/>
      <c r="AQ825" s="15" t="s">
        <v>56</v>
      </c>
      <c r="AR825" s="15" t="s">
        <v>58</v>
      </c>
      <c r="AS825" s="15" t="s">
        <v>163</v>
      </c>
      <c r="AT825" s="15"/>
      <c r="AU825" s="45" t="s">
        <v>1777</v>
      </c>
      <c r="AV825" s="15"/>
      <c r="AW825" s="12" t="str">
        <f>B825&amp;C825&amp;L825&amp;M825&amp;O825&amp;U825&amp;AL825&amp;AM825</f>
        <v>Costa RicaSanta Rosa National Park, Camaronal National Wildlife Refuge, Caletas Ario National Wildlife Refuge, Curu National Wildlife RefugeThalassoma lucasanumbiomassden4Beita-Jimenez2019</v>
      </c>
    </row>
    <row r="826" spans="1:49" ht="14.25" customHeight="1" x14ac:dyDescent="0.35">
      <c r="A826" s="12">
        <v>825</v>
      </c>
      <c r="B826" s="12" t="s">
        <v>633</v>
      </c>
      <c r="C826" s="15" t="s">
        <v>1773</v>
      </c>
      <c r="D826" s="15" t="s">
        <v>1773</v>
      </c>
      <c r="E826" s="12" t="s">
        <v>171</v>
      </c>
      <c r="F826" s="13" t="s">
        <v>50</v>
      </c>
      <c r="G826" s="13" t="s">
        <v>51</v>
      </c>
      <c r="H826" s="13" t="s">
        <v>78</v>
      </c>
      <c r="I826" s="13" t="s">
        <v>156</v>
      </c>
      <c r="J826" s="17">
        <v>250</v>
      </c>
      <c r="K826" s="17"/>
      <c r="L826" s="14" t="s">
        <v>1808</v>
      </c>
      <c r="M826" s="14"/>
      <c r="N826" s="14" t="s">
        <v>85</v>
      </c>
      <c r="O826" s="17" t="s">
        <v>70</v>
      </c>
      <c r="P826" s="14"/>
      <c r="Q826" s="14"/>
      <c r="R826" s="14"/>
      <c r="S826" s="14">
        <v>0.06</v>
      </c>
      <c r="T826" s="14">
        <v>0.01</v>
      </c>
      <c r="U826" s="19">
        <f t="shared" si="58"/>
        <v>0.16666666666666669</v>
      </c>
      <c r="V826" s="41">
        <f t="shared" si="57"/>
        <v>-83.333333333333329</v>
      </c>
      <c r="W826" s="14"/>
      <c r="X826" s="14" t="s">
        <v>58</v>
      </c>
      <c r="Y826" s="14">
        <v>220</v>
      </c>
      <c r="Z826" s="14" t="s">
        <v>56</v>
      </c>
      <c r="AA826" s="14"/>
      <c r="AB826" s="14" t="s">
        <v>57</v>
      </c>
      <c r="AC826" s="14">
        <v>2013</v>
      </c>
      <c r="AD826" s="14">
        <v>2</v>
      </c>
      <c r="AE826" s="14"/>
      <c r="AF826" s="14"/>
      <c r="AG826" s="14">
        <v>2006</v>
      </c>
      <c r="AH826" s="14">
        <f t="shared" si="55"/>
        <v>7</v>
      </c>
      <c r="AI826" s="17">
        <f t="shared" si="56"/>
        <v>9</v>
      </c>
      <c r="AJ826" s="14"/>
      <c r="AK826" s="14" t="s">
        <v>56</v>
      </c>
      <c r="AL826" s="13" t="s">
        <v>1776</v>
      </c>
      <c r="AM826" s="12">
        <v>2019</v>
      </c>
      <c r="AN826" s="12" t="s">
        <v>343</v>
      </c>
      <c r="AO826" s="12" t="s">
        <v>56</v>
      </c>
      <c r="AP826" s="12"/>
      <c r="AQ826" s="12" t="s">
        <v>56</v>
      </c>
      <c r="AR826" s="12" t="s">
        <v>58</v>
      </c>
      <c r="AS826" s="12" t="s">
        <v>163</v>
      </c>
      <c r="AT826" s="12"/>
      <c r="AU826" s="45" t="s">
        <v>1777</v>
      </c>
      <c r="AV826" s="15"/>
      <c r="AW826" s="12" t="str">
        <f>B826&amp;C826&amp;L826&amp;M826&amp;O826&amp;U826&amp;AL826&amp;AM826</f>
        <v>Costa RicaSanta Rosa National Park, Camaronal National Wildlife Refuge, Caletas Ario National Wildlife Refuge, Curu National Wildlife RefugeHoplopagrus guentheriibiomassden0.166666666666667Beita-Jimenez2019</v>
      </c>
    </row>
    <row r="827" spans="1:49" ht="14.25" customHeight="1" x14ac:dyDescent="0.35">
      <c r="A827" s="12">
        <v>826</v>
      </c>
      <c r="B827" s="12" t="s">
        <v>633</v>
      </c>
      <c r="C827" s="15" t="s">
        <v>1773</v>
      </c>
      <c r="D827" s="15" t="s">
        <v>1773</v>
      </c>
      <c r="E827" s="12" t="s">
        <v>171</v>
      </c>
      <c r="F827" s="13" t="s">
        <v>50</v>
      </c>
      <c r="G827" s="13" t="s">
        <v>51</v>
      </c>
      <c r="H827" s="13" t="s">
        <v>78</v>
      </c>
      <c r="I827" s="13" t="s">
        <v>156</v>
      </c>
      <c r="J827" s="17">
        <v>250</v>
      </c>
      <c r="K827" s="17"/>
      <c r="L827" s="14" t="s">
        <v>1809</v>
      </c>
      <c r="M827" s="14"/>
      <c r="N827" s="14" t="s">
        <v>85</v>
      </c>
      <c r="O827" s="14" t="s">
        <v>70</v>
      </c>
      <c r="P827" s="14"/>
      <c r="Q827" s="14"/>
      <c r="R827" s="14"/>
      <c r="S827" s="14">
        <v>0.17</v>
      </c>
      <c r="T827" s="14">
        <v>2.29</v>
      </c>
      <c r="U827" s="19">
        <f t="shared" si="58"/>
        <v>13.470588235294118</v>
      </c>
      <c r="V827" s="41">
        <f t="shared" si="57"/>
        <v>1247.0588235294117</v>
      </c>
      <c r="W827" s="14"/>
      <c r="X827" s="14" t="s">
        <v>58</v>
      </c>
      <c r="Y827" s="14">
        <v>220</v>
      </c>
      <c r="Z827" s="14" t="s">
        <v>56</v>
      </c>
      <c r="AA827" s="14"/>
      <c r="AB827" s="14" t="s">
        <v>57</v>
      </c>
      <c r="AC827" s="14">
        <v>2013</v>
      </c>
      <c r="AD827" s="14">
        <v>2</v>
      </c>
      <c r="AE827" s="14"/>
      <c r="AF827" s="14"/>
      <c r="AG827" s="14">
        <v>2006</v>
      </c>
      <c r="AH827" s="14">
        <f t="shared" si="55"/>
        <v>7</v>
      </c>
      <c r="AI827" s="17">
        <f t="shared" si="56"/>
        <v>9</v>
      </c>
      <c r="AJ827" s="14"/>
      <c r="AK827" s="14" t="s">
        <v>56</v>
      </c>
      <c r="AL827" s="13" t="s">
        <v>1776</v>
      </c>
      <c r="AM827" s="12">
        <v>2019</v>
      </c>
      <c r="AN827" s="12" t="s">
        <v>343</v>
      </c>
      <c r="AO827" s="12" t="s">
        <v>56</v>
      </c>
      <c r="AP827" s="12"/>
      <c r="AQ827" s="12" t="s">
        <v>56</v>
      </c>
      <c r="AR827" s="12" t="s">
        <v>58</v>
      </c>
      <c r="AS827" s="12" t="s">
        <v>163</v>
      </c>
      <c r="AT827" s="12"/>
      <c r="AU827" s="45" t="s">
        <v>1777</v>
      </c>
      <c r="AV827" s="15"/>
      <c r="AW827" s="12" t="str">
        <f>B827&amp;C827&amp;L827&amp;M827&amp;O827&amp;U827&amp;AL827&amp;AM827</f>
        <v>Costa RicaSanta Rosa National Park, Camaronal National Wildlife Refuge, Caletas Ario National Wildlife Refuge, Curu National Wildlife RefugeLutjanus argentiventrisbiomassden13.4705882352941Beita-Jimenez2019</v>
      </c>
    </row>
    <row r="828" spans="1:49" ht="14.25" customHeight="1" x14ac:dyDescent="0.35">
      <c r="A828" s="12">
        <v>827</v>
      </c>
      <c r="B828" s="12" t="s">
        <v>633</v>
      </c>
      <c r="C828" s="15" t="s">
        <v>1773</v>
      </c>
      <c r="D828" s="15" t="s">
        <v>1773</v>
      </c>
      <c r="E828" s="12" t="s">
        <v>171</v>
      </c>
      <c r="F828" s="13" t="s">
        <v>50</v>
      </c>
      <c r="G828" s="13" t="s">
        <v>51</v>
      </c>
      <c r="H828" s="13" t="s">
        <v>78</v>
      </c>
      <c r="I828" s="13" t="s">
        <v>156</v>
      </c>
      <c r="J828" s="17">
        <v>250</v>
      </c>
      <c r="K828" s="17"/>
      <c r="L828" s="14" t="s">
        <v>1810</v>
      </c>
      <c r="M828" s="14"/>
      <c r="N828" s="14" t="s">
        <v>85</v>
      </c>
      <c r="O828" s="17" t="s">
        <v>70</v>
      </c>
      <c r="P828" s="14"/>
      <c r="Q828" s="14"/>
      <c r="R828" s="14"/>
      <c r="S828" s="14">
        <v>0.26</v>
      </c>
      <c r="T828" s="14">
        <v>1.42</v>
      </c>
      <c r="U828" s="19">
        <f t="shared" si="58"/>
        <v>5.4615384615384608</v>
      </c>
      <c r="V828" s="41">
        <f t="shared" si="57"/>
        <v>446.15384615384608</v>
      </c>
      <c r="W828" s="14"/>
      <c r="X828" s="14" t="s">
        <v>58</v>
      </c>
      <c r="Y828" s="14">
        <v>220</v>
      </c>
      <c r="Z828" s="14" t="s">
        <v>56</v>
      </c>
      <c r="AA828" s="14"/>
      <c r="AB828" s="14" t="s">
        <v>57</v>
      </c>
      <c r="AC828" s="14">
        <v>2013</v>
      </c>
      <c r="AD828" s="14">
        <v>2</v>
      </c>
      <c r="AE828" s="14"/>
      <c r="AF828" s="14"/>
      <c r="AG828" s="14">
        <v>2006</v>
      </c>
      <c r="AH828" s="14">
        <f t="shared" si="55"/>
        <v>7</v>
      </c>
      <c r="AI828" s="17">
        <f t="shared" si="56"/>
        <v>9</v>
      </c>
      <c r="AJ828" s="14"/>
      <c r="AK828" s="14" t="s">
        <v>56</v>
      </c>
      <c r="AL828" s="13" t="s">
        <v>1776</v>
      </c>
      <c r="AM828" s="12">
        <v>2019</v>
      </c>
      <c r="AN828" s="12" t="s">
        <v>343</v>
      </c>
      <c r="AO828" s="12" t="s">
        <v>56</v>
      </c>
      <c r="AP828" s="12"/>
      <c r="AQ828" s="12" t="s">
        <v>56</v>
      </c>
      <c r="AR828" s="12" t="s">
        <v>58</v>
      </c>
      <c r="AS828" s="12" t="s">
        <v>163</v>
      </c>
      <c r="AT828" s="12"/>
      <c r="AU828" s="45" t="s">
        <v>1777</v>
      </c>
      <c r="AV828" s="15"/>
      <c r="AW828" s="12" t="str">
        <f>B828&amp;C828&amp;L828&amp;M828&amp;O828&amp;U828&amp;AL828&amp;AM828</f>
        <v>Costa RicaSanta Rosa National Park, Camaronal National Wildlife Refuge, Caletas Ario National Wildlife Refuge, Curu National Wildlife RefugeLutjanus guttatusbiomassden5.46153846153846Beita-Jimenez2019</v>
      </c>
    </row>
    <row r="829" spans="1:49" ht="14.25" customHeight="1" x14ac:dyDescent="0.35">
      <c r="A829" s="12">
        <v>828</v>
      </c>
      <c r="B829" s="15" t="s">
        <v>633</v>
      </c>
      <c r="C829" s="15" t="s">
        <v>1773</v>
      </c>
      <c r="D829" s="15" t="s">
        <v>1773</v>
      </c>
      <c r="E829" s="15" t="s">
        <v>171</v>
      </c>
      <c r="F829" s="16" t="s">
        <v>50</v>
      </c>
      <c r="G829" s="16" t="s">
        <v>51</v>
      </c>
      <c r="H829" s="16" t="s">
        <v>78</v>
      </c>
      <c r="I829" s="16" t="s">
        <v>156</v>
      </c>
      <c r="J829" s="17">
        <v>250</v>
      </c>
      <c r="K829" s="17"/>
      <c r="L829" s="17" t="s">
        <v>1811</v>
      </c>
      <c r="M829" s="17"/>
      <c r="N829" s="14" t="s">
        <v>85</v>
      </c>
      <c r="O829" s="17" t="s">
        <v>70</v>
      </c>
      <c r="P829" s="17"/>
      <c r="Q829" s="17"/>
      <c r="R829" s="17"/>
      <c r="S829" s="17">
        <v>7.0000000000000007E-2</v>
      </c>
      <c r="T829" s="17">
        <v>0.02</v>
      </c>
      <c r="U829" s="20">
        <f t="shared" si="58"/>
        <v>0.2857142857142857</v>
      </c>
      <c r="V829" s="41">
        <f t="shared" si="57"/>
        <v>-71.428571428571431</v>
      </c>
      <c r="W829" s="17"/>
      <c r="X829" s="17" t="s">
        <v>58</v>
      </c>
      <c r="Y829" s="14">
        <v>220</v>
      </c>
      <c r="Z829" s="17" t="s">
        <v>56</v>
      </c>
      <c r="AA829" s="17"/>
      <c r="AB829" s="17" t="s">
        <v>57</v>
      </c>
      <c r="AC829" s="17">
        <v>2013</v>
      </c>
      <c r="AD829" s="17">
        <v>2</v>
      </c>
      <c r="AE829" s="17"/>
      <c r="AF829" s="17"/>
      <c r="AG829" s="17">
        <v>2006</v>
      </c>
      <c r="AH829" s="14">
        <f t="shared" si="55"/>
        <v>7</v>
      </c>
      <c r="AI829" s="17">
        <f t="shared" si="56"/>
        <v>9</v>
      </c>
      <c r="AJ829" s="17"/>
      <c r="AK829" s="17" t="s">
        <v>56</v>
      </c>
      <c r="AL829" s="16" t="s">
        <v>1776</v>
      </c>
      <c r="AM829" s="15">
        <v>2019</v>
      </c>
      <c r="AN829" s="15" t="s">
        <v>343</v>
      </c>
      <c r="AO829" s="15" t="s">
        <v>56</v>
      </c>
      <c r="AP829" s="15"/>
      <c r="AQ829" s="15" t="s">
        <v>56</v>
      </c>
      <c r="AR829" s="15" t="s">
        <v>58</v>
      </c>
      <c r="AS829" s="15" t="s">
        <v>163</v>
      </c>
      <c r="AT829" s="15"/>
      <c r="AU829" s="45" t="s">
        <v>1777</v>
      </c>
      <c r="AV829" s="15"/>
      <c r="AW829" s="12" t="str">
        <f>B829&amp;C829&amp;L829&amp;M829&amp;O829&amp;U829&amp;AL829&amp;AM829</f>
        <v>Costa RicaSanta Rosa National Park, Camaronal National Wildlife Refuge, Caletas Ario National Wildlife Refuge, Curu National Wildlife RefugeLutjanus inermisbiomassden0.285714285714286Beita-Jimenez2019</v>
      </c>
    </row>
    <row r="830" spans="1:49" ht="14.25" customHeight="1" x14ac:dyDescent="0.35">
      <c r="A830" s="12">
        <v>829</v>
      </c>
      <c r="B830" s="15" t="s">
        <v>633</v>
      </c>
      <c r="C830" s="15" t="s">
        <v>1773</v>
      </c>
      <c r="D830" s="15" t="s">
        <v>1773</v>
      </c>
      <c r="E830" s="15" t="s">
        <v>171</v>
      </c>
      <c r="F830" s="13" t="s">
        <v>50</v>
      </c>
      <c r="G830" s="13" t="s">
        <v>51</v>
      </c>
      <c r="H830" s="16" t="s">
        <v>78</v>
      </c>
      <c r="I830" s="16" t="s">
        <v>156</v>
      </c>
      <c r="J830" s="17">
        <v>250</v>
      </c>
      <c r="K830" s="17"/>
      <c r="L830" s="17" t="s">
        <v>1812</v>
      </c>
      <c r="M830" s="17"/>
      <c r="N830" s="14" t="s">
        <v>85</v>
      </c>
      <c r="O830" s="17" t="s">
        <v>70</v>
      </c>
      <c r="P830" s="17"/>
      <c r="Q830" s="17"/>
      <c r="R830" s="17"/>
      <c r="S830" s="17">
        <v>7.0000000000000007E-2</v>
      </c>
      <c r="T830" s="17">
        <v>0.54</v>
      </c>
      <c r="U830" s="20">
        <f t="shared" si="58"/>
        <v>7.7142857142857144</v>
      </c>
      <c r="V830" s="41">
        <f t="shared" si="57"/>
        <v>671.42857142857144</v>
      </c>
      <c r="W830" s="17"/>
      <c r="X830" s="17" t="s">
        <v>58</v>
      </c>
      <c r="Y830" s="14">
        <v>220</v>
      </c>
      <c r="Z830" s="17" t="s">
        <v>56</v>
      </c>
      <c r="AA830" s="17"/>
      <c r="AB830" s="17" t="s">
        <v>57</v>
      </c>
      <c r="AC830" s="17">
        <v>2013</v>
      </c>
      <c r="AD830" s="17">
        <v>2</v>
      </c>
      <c r="AE830" s="17"/>
      <c r="AF830" s="17"/>
      <c r="AG830" s="17">
        <v>2006</v>
      </c>
      <c r="AH830" s="14">
        <f t="shared" si="55"/>
        <v>7</v>
      </c>
      <c r="AI830" s="17">
        <f t="shared" si="56"/>
        <v>9</v>
      </c>
      <c r="AJ830" s="17"/>
      <c r="AK830" s="17" t="s">
        <v>56</v>
      </c>
      <c r="AL830" s="16" t="s">
        <v>1776</v>
      </c>
      <c r="AM830" s="15">
        <v>2019</v>
      </c>
      <c r="AN830" s="15" t="s">
        <v>343</v>
      </c>
      <c r="AO830" s="15" t="s">
        <v>56</v>
      </c>
      <c r="AP830" s="15"/>
      <c r="AQ830" s="15" t="s">
        <v>56</v>
      </c>
      <c r="AR830" s="15" t="s">
        <v>58</v>
      </c>
      <c r="AS830" s="15" t="s">
        <v>163</v>
      </c>
      <c r="AT830" s="15"/>
      <c r="AU830" s="45" t="s">
        <v>1777</v>
      </c>
      <c r="AV830" s="15"/>
      <c r="AW830" s="12" t="str">
        <f>B830&amp;C830&amp;L830&amp;M830&amp;O830&amp;U830&amp;AL830&amp;AM830</f>
        <v>Costa RicaSanta Rosa National Park, Camaronal National Wildlife Refuge, Caletas Ario National Wildlife Refuge, Curu National Wildlife RefugeHolacanthus passerbiomassden7.71428571428571Beita-Jimenez2019</v>
      </c>
    </row>
    <row r="831" spans="1:49" ht="14.25" customHeight="1" x14ac:dyDescent="0.35">
      <c r="A831" s="12">
        <v>830</v>
      </c>
      <c r="B831" s="15" t="s">
        <v>633</v>
      </c>
      <c r="C831" s="15" t="s">
        <v>1773</v>
      </c>
      <c r="D831" s="15" t="s">
        <v>1773</v>
      </c>
      <c r="E831" s="15" t="s">
        <v>171</v>
      </c>
      <c r="F831" s="13" t="s">
        <v>50</v>
      </c>
      <c r="G831" s="13" t="s">
        <v>51</v>
      </c>
      <c r="H831" s="16" t="s">
        <v>78</v>
      </c>
      <c r="I831" s="16" t="s">
        <v>156</v>
      </c>
      <c r="J831" s="17">
        <v>250</v>
      </c>
      <c r="K831" s="17"/>
      <c r="L831" s="17" t="s">
        <v>1813</v>
      </c>
      <c r="M831" s="17"/>
      <c r="N831" s="14" t="s">
        <v>85</v>
      </c>
      <c r="O831" s="17" t="s">
        <v>70</v>
      </c>
      <c r="P831" s="17"/>
      <c r="Q831" s="17"/>
      <c r="R831" s="17"/>
      <c r="S831" s="17">
        <v>0.05</v>
      </c>
      <c r="T831" s="17">
        <v>0.04</v>
      </c>
      <c r="U831" s="20">
        <f t="shared" si="58"/>
        <v>0.79999999999999993</v>
      </c>
      <c r="V831" s="41">
        <f t="shared" si="57"/>
        <v>-20.000000000000007</v>
      </c>
      <c r="W831" s="17"/>
      <c r="X831" s="17" t="s">
        <v>58</v>
      </c>
      <c r="Y831" s="14">
        <v>220</v>
      </c>
      <c r="Z831" s="17" t="s">
        <v>56</v>
      </c>
      <c r="AA831" s="17"/>
      <c r="AB831" s="17" t="s">
        <v>57</v>
      </c>
      <c r="AC831" s="17">
        <v>2013</v>
      </c>
      <c r="AD831" s="17">
        <v>2</v>
      </c>
      <c r="AE831" s="17"/>
      <c r="AF831" s="17"/>
      <c r="AG831" s="17">
        <v>2006</v>
      </c>
      <c r="AH831" s="14">
        <f t="shared" si="55"/>
        <v>7</v>
      </c>
      <c r="AI831" s="17">
        <f t="shared" si="56"/>
        <v>9</v>
      </c>
      <c r="AJ831" s="17"/>
      <c r="AK831" s="17" t="s">
        <v>56</v>
      </c>
      <c r="AL831" s="16" t="s">
        <v>1776</v>
      </c>
      <c r="AM831" s="15">
        <v>2019</v>
      </c>
      <c r="AN831" s="15" t="s">
        <v>343</v>
      </c>
      <c r="AO831" s="15" t="s">
        <v>56</v>
      </c>
      <c r="AP831" s="15"/>
      <c r="AQ831" s="15" t="s">
        <v>56</v>
      </c>
      <c r="AR831" s="15" t="s">
        <v>58</v>
      </c>
      <c r="AS831" s="15" t="s">
        <v>163</v>
      </c>
      <c r="AT831" s="15"/>
      <c r="AU831" s="45" t="s">
        <v>1777</v>
      </c>
      <c r="AV831" s="15"/>
      <c r="AW831" s="12" t="str">
        <f>B831&amp;C831&amp;L831&amp;M831&amp;O831&amp;U831&amp;AL831&amp;AM831</f>
        <v>Costa RicaSanta Rosa National Park, Camaronal National Wildlife Refuge, Caletas Ario National Wildlife Refuge, Curu National Wildlife RefugePomacanthus zonipectusbiomassden0.8Beita-Jimenez2019</v>
      </c>
    </row>
    <row r="832" spans="1:49" ht="14.25" customHeight="1" x14ac:dyDescent="0.35">
      <c r="A832" s="12">
        <v>831</v>
      </c>
      <c r="B832" s="15" t="s">
        <v>633</v>
      </c>
      <c r="C832" s="15" t="s">
        <v>1773</v>
      </c>
      <c r="D832" s="15" t="s">
        <v>1773</v>
      </c>
      <c r="E832" s="15" t="s">
        <v>171</v>
      </c>
      <c r="F832" s="13" t="s">
        <v>50</v>
      </c>
      <c r="G832" s="13" t="s">
        <v>51</v>
      </c>
      <c r="H832" s="16" t="s">
        <v>78</v>
      </c>
      <c r="I832" s="16" t="s">
        <v>156</v>
      </c>
      <c r="J832" s="17">
        <v>250</v>
      </c>
      <c r="K832" s="17"/>
      <c r="L832" s="17" t="s">
        <v>1814</v>
      </c>
      <c r="M832" s="17"/>
      <c r="N832" s="14" t="s">
        <v>85</v>
      </c>
      <c r="O832" s="17" t="s">
        <v>70</v>
      </c>
      <c r="P832" s="17"/>
      <c r="Q832" s="17"/>
      <c r="R832" s="17"/>
      <c r="S832" s="17">
        <v>0.03</v>
      </c>
      <c r="T832" s="17">
        <v>0.01</v>
      </c>
      <c r="U832" s="20">
        <f t="shared" si="58"/>
        <v>0.33333333333333337</v>
      </c>
      <c r="V832" s="41">
        <f t="shared" si="57"/>
        <v>-66.666666666666657</v>
      </c>
      <c r="W832" s="17"/>
      <c r="X832" s="17" t="s">
        <v>58</v>
      </c>
      <c r="Y832" s="14">
        <v>220</v>
      </c>
      <c r="Z832" s="17" t="s">
        <v>56</v>
      </c>
      <c r="AA832" s="17"/>
      <c r="AB832" s="17" t="s">
        <v>57</v>
      </c>
      <c r="AC832" s="17">
        <v>2013</v>
      </c>
      <c r="AD832" s="17">
        <v>2</v>
      </c>
      <c r="AE832" s="17"/>
      <c r="AF832" s="17"/>
      <c r="AG832" s="17">
        <v>2006</v>
      </c>
      <c r="AH832" s="14">
        <f t="shared" ref="AH832:AH895" si="59">IF(OR(AG832="NA",AC832="NA"),"NA",IF(OR(AC832="",AG832=""), "", AC832-AG832))</f>
        <v>7</v>
      </c>
      <c r="AI832" s="17">
        <f t="shared" ref="AI832:AI895" si="60">IF(AH832="NA", "NA",IF(OR(AH832="",AND(AD832="",AE832="")), "",AH832+AD832+AE832/12))</f>
        <v>9</v>
      </c>
      <c r="AJ832" s="17"/>
      <c r="AK832" s="17" t="s">
        <v>56</v>
      </c>
      <c r="AL832" s="16" t="s">
        <v>1776</v>
      </c>
      <c r="AM832" s="15">
        <v>2019</v>
      </c>
      <c r="AN832" s="15" t="s">
        <v>343</v>
      </c>
      <c r="AO832" s="15" t="s">
        <v>56</v>
      </c>
      <c r="AP832" s="15"/>
      <c r="AQ832" s="15" t="s">
        <v>56</v>
      </c>
      <c r="AR832" s="15" t="s">
        <v>58</v>
      </c>
      <c r="AS832" s="15" t="s">
        <v>163</v>
      </c>
      <c r="AT832" s="15"/>
      <c r="AU832" s="45" t="s">
        <v>1777</v>
      </c>
      <c r="AV832" s="15"/>
      <c r="AW832" s="12" t="str">
        <f>B832&amp;C832&amp;L832&amp;M832&amp;O832&amp;U832&amp;AL832&amp;AM832</f>
        <v>Costa RicaSanta Rosa National Park, Camaronal National Wildlife Refuge, Caletas Ario National Wildlife Refuge, Curu National Wildlife RefugeAbudefduf concolorbiomassden0.333333333333333Beita-Jimenez2019</v>
      </c>
    </row>
    <row r="833" spans="1:49" ht="14.25" customHeight="1" x14ac:dyDescent="0.35">
      <c r="A833" s="12">
        <v>832</v>
      </c>
      <c r="B833" s="15" t="s">
        <v>633</v>
      </c>
      <c r="C833" s="15" t="s">
        <v>1773</v>
      </c>
      <c r="D833" s="15" t="s">
        <v>1773</v>
      </c>
      <c r="E833" s="15" t="s">
        <v>171</v>
      </c>
      <c r="F833" s="13" t="s">
        <v>50</v>
      </c>
      <c r="G833" s="13" t="s">
        <v>51</v>
      </c>
      <c r="H833" s="16" t="s">
        <v>78</v>
      </c>
      <c r="I833" s="16" t="s">
        <v>156</v>
      </c>
      <c r="J833" s="17">
        <v>250</v>
      </c>
      <c r="K833" s="17"/>
      <c r="L833" s="17" t="s">
        <v>1815</v>
      </c>
      <c r="M833" s="17"/>
      <c r="N833" s="14" t="s">
        <v>85</v>
      </c>
      <c r="O833" s="17" t="s">
        <v>70</v>
      </c>
      <c r="P833" s="17"/>
      <c r="Q833" s="17"/>
      <c r="R833" s="17"/>
      <c r="S833" s="17">
        <v>0.2</v>
      </c>
      <c r="T833" s="17">
        <v>0.13</v>
      </c>
      <c r="U833" s="20">
        <f t="shared" si="58"/>
        <v>0.65</v>
      </c>
      <c r="V833" s="41">
        <f t="shared" si="57"/>
        <v>-35</v>
      </c>
      <c r="W833" s="17"/>
      <c r="X833" s="17" t="s">
        <v>58</v>
      </c>
      <c r="Y833" s="14">
        <v>220</v>
      </c>
      <c r="Z833" s="17" t="s">
        <v>56</v>
      </c>
      <c r="AA833" s="17"/>
      <c r="AB833" s="17" t="s">
        <v>57</v>
      </c>
      <c r="AC833" s="17">
        <v>2013</v>
      </c>
      <c r="AD833" s="17">
        <v>2</v>
      </c>
      <c r="AE833" s="17"/>
      <c r="AF833" s="17"/>
      <c r="AG833" s="17">
        <v>2006</v>
      </c>
      <c r="AH833" s="14">
        <f t="shared" si="59"/>
        <v>7</v>
      </c>
      <c r="AI833" s="17">
        <f t="shared" si="60"/>
        <v>9</v>
      </c>
      <c r="AJ833" s="17"/>
      <c r="AK833" s="17" t="s">
        <v>56</v>
      </c>
      <c r="AL833" s="16" t="s">
        <v>1776</v>
      </c>
      <c r="AM833" s="15">
        <v>2019</v>
      </c>
      <c r="AN833" s="15" t="s">
        <v>343</v>
      </c>
      <c r="AO833" s="15" t="s">
        <v>56</v>
      </c>
      <c r="AP833" s="15"/>
      <c r="AQ833" s="15" t="s">
        <v>56</v>
      </c>
      <c r="AR833" s="15" t="s">
        <v>58</v>
      </c>
      <c r="AS833" s="15" t="s">
        <v>163</v>
      </c>
      <c r="AT833" s="15"/>
      <c r="AU833" s="45" t="s">
        <v>1777</v>
      </c>
      <c r="AV833" s="15"/>
      <c r="AW833" s="12" t="str">
        <f>B833&amp;C833&amp;L833&amp;M833&amp;O833&amp;U833&amp;AL833&amp;AM833</f>
        <v>Costa RicaSanta Rosa National Park, Camaronal National Wildlife Refuge, Caletas Ario National Wildlife Refuge, Curu National Wildlife RefugeAbudefduf troscheliibiomassden0.65Beita-Jimenez2019</v>
      </c>
    </row>
    <row r="834" spans="1:49" ht="14.25" customHeight="1" x14ac:dyDescent="0.35">
      <c r="A834" s="12">
        <v>833</v>
      </c>
      <c r="B834" s="12" t="s">
        <v>633</v>
      </c>
      <c r="C834" s="15" t="s">
        <v>1773</v>
      </c>
      <c r="D834" s="15" t="s">
        <v>1773</v>
      </c>
      <c r="E834" s="12" t="s">
        <v>171</v>
      </c>
      <c r="F834" s="13" t="s">
        <v>50</v>
      </c>
      <c r="G834" s="13" t="s">
        <v>51</v>
      </c>
      <c r="H834" s="13" t="s">
        <v>78</v>
      </c>
      <c r="I834" s="13" t="s">
        <v>156</v>
      </c>
      <c r="J834" s="17">
        <v>250</v>
      </c>
      <c r="K834" s="17"/>
      <c r="L834" s="14" t="s">
        <v>1816</v>
      </c>
      <c r="M834" s="14"/>
      <c r="N834" s="14" t="s">
        <v>85</v>
      </c>
      <c r="O834" s="17" t="s">
        <v>70</v>
      </c>
      <c r="P834" s="14"/>
      <c r="Q834" s="14"/>
      <c r="R834" s="14"/>
      <c r="S834" s="14">
        <v>0.1</v>
      </c>
      <c r="T834" s="14">
        <v>0.02</v>
      </c>
      <c r="U834" s="19">
        <f t="shared" si="58"/>
        <v>0.19999999999999998</v>
      </c>
      <c r="V834" s="41">
        <f t="shared" ref="V834:V897" si="61">IFERROR(IF(U834 = "", "",(U834-1)*100),"N/A")</f>
        <v>-80</v>
      </c>
      <c r="W834" s="14"/>
      <c r="X834" s="14" t="s">
        <v>58</v>
      </c>
      <c r="Y834" s="14">
        <v>220</v>
      </c>
      <c r="Z834" s="14" t="s">
        <v>56</v>
      </c>
      <c r="AA834" s="14"/>
      <c r="AB834" s="14" t="s">
        <v>57</v>
      </c>
      <c r="AC834" s="14">
        <v>2013</v>
      </c>
      <c r="AD834" s="14">
        <v>2</v>
      </c>
      <c r="AE834" s="14"/>
      <c r="AF834" s="14"/>
      <c r="AG834" s="14">
        <v>2006</v>
      </c>
      <c r="AH834" s="14">
        <f t="shared" si="59"/>
        <v>7</v>
      </c>
      <c r="AI834" s="17">
        <f t="shared" si="60"/>
        <v>9</v>
      </c>
      <c r="AJ834" s="14"/>
      <c r="AK834" s="14" t="s">
        <v>56</v>
      </c>
      <c r="AL834" s="13" t="s">
        <v>1776</v>
      </c>
      <c r="AM834" s="12">
        <v>2019</v>
      </c>
      <c r="AN834" s="12" t="s">
        <v>343</v>
      </c>
      <c r="AO834" s="12" t="s">
        <v>56</v>
      </c>
      <c r="AP834" s="12"/>
      <c r="AQ834" s="12" t="s">
        <v>56</v>
      </c>
      <c r="AR834" s="12" t="s">
        <v>58</v>
      </c>
      <c r="AS834" s="12" t="s">
        <v>163</v>
      </c>
      <c r="AT834" s="12"/>
      <c r="AU834" s="45" t="s">
        <v>1777</v>
      </c>
      <c r="AV834" s="15"/>
      <c r="AW834" s="12" t="str">
        <f>B834&amp;C834&amp;L834&amp;M834&amp;O834&amp;U834&amp;AL834&amp;AM834</f>
        <v>Costa RicaSanta Rosa National Park, Camaronal National Wildlife Refuge, Caletas Ario National Wildlife Refuge, Curu National Wildlife RefugeChromis atrilobatabiomassden0.2Beita-Jimenez2019</v>
      </c>
    </row>
    <row r="835" spans="1:49" ht="14.25" customHeight="1" x14ac:dyDescent="0.35">
      <c r="A835" s="12">
        <v>834</v>
      </c>
      <c r="B835" s="12" t="s">
        <v>633</v>
      </c>
      <c r="C835" s="15" t="s">
        <v>1773</v>
      </c>
      <c r="D835" s="15" t="s">
        <v>1773</v>
      </c>
      <c r="E835" s="12" t="s">
        <v>171</v>
      </c>
      <c r="F835" s="13" t="s">
        <v>50</v>
      </c>
      <c r="G835" s="13" t="s">
        <v>51</v>
      </c>
      <c r="H835" s="13" t="s">
        <v>78</v>
      </c>
      <c r="I835" s="13" t="s">
        <v>156</v>
      </c>
      <c r="J835" s="17">
        <v>250</v>
      </c>
      <c r="K835" s="17"/>
      <c r="L835" s="14" t="s">
        <v>1817</v>
      </c>
      <c r="M835" s="14"/>
      <c r="N835" s="14" t="s">
        <v>85</v>
      </c>
      <c r="O835" s="14" t="s">
        <v>70</v>
      </c>
      <c r="P835" s="14"/>
      <c r="Q835" s="14"/>
      <c r="R835" s="14"/>
      <c r="S835" s="14">
        <v>0.04</v>
      </c>
      <c r="T835" s="14">
        <v>0.3</v>
      </c>
      <c r="U835" s="19">
        <f t="shared" si="58"/>
        <v>7.5</v>
      </c>
      <c r="V835" s="41">
        <f t="shared" si="61"/>
        <v>650</v>
      </c>
      <c r="W835" s="14"/>
      <c r="X835" s="14" t="s">
        <v>58</v>
      </c>
      <c r="Y835" s="14">
        <v>220</v>
      </c>
      <c r="Z835" s="14" t="s">
        <v>56</v>
      </c>
      <c r="AA835" s="14"/>
      <c r="AB835" s="14" t="s">
        <v>57</v>
      </c>
      <c r="AC835" s="14">
        <v>2013</v>
      </c>
      <c r="AD835" s="14">
        <v>2</v>
      </c>
      <c r="AE835" s="14"/>
      <c r="AF835" s="14"/>
      <c r="AG835" s="14">
        <v>2006</v>
      </c>
      <c r="AH835" s="14">
        <f t="shared" si="59"/>
        <v>7</v>
      </c>
      <c r="AI835" s="17">
        <f t="shared" si="60"/>
        <v>9</v>
      </c>
      <c r="AJ835" s="14"/>
      <c r="AK835" s="14" t="s">
        <v>56</v>
      </c>
      <c r="AL835" s="13" t="s">
        <v>1776</v>
      </c>
      <c r="AM835" s="12">
        <v>2019</v>
      </c>
      <c r="AN835" s="12" t="s">
        <v>343</v>
      </c>
      <c r="AO835" s="12" t="s">
        <v>56</v>
      </c>
      <c r="AP835" s="12"/>
      <c r="AQ835" s="12" t="s">
        <v>56</v>
      </c>
      <c r="AR835" s="12" t="s">
        <v>58</v>
      </c>
      <c r="AS835" s="12" t="s">
        <v>163</v>
      </c>
      <c r="AT835" s="12"/>
      <c r="AU835" s="45" t="s">
        <v>1777</v>
      </c>
      <c r="AV835" s="15"/>
      <c r="AW835" s="12" t="str">
        <f>B835&amp;C835&amp;L835&amp;M835&amp;O835&amp;U835&amp;AL835&amp;AM835</f>
        <v>Costa RicaSanta Rosa National Park, Camaronal National Wildlife Refuge, Caletas Ario National Wildlife Refuge, Curu National Wildlife RefugeMicrospathodon bairdiibiomassden7.5Beita-Jimenez2019</v>
      </c>
    </row>
    <row r="836" spans="1:49" ht="14.25" customHeight="1" x14ac:dyDescent="0.35">
      <c r="A836" s="12">
        <v>835</v>
      </c>
      <c r="B836" s="15" t="s">
        <v>633</v>
      </c>
      <c r="C836" s="15" t="s">
        <v>1773</v>
      </c>
      <c r="D836" s="15" t="s">
        <v>1773</v>
      </c>
      <c r="E836" s="15" t="s">
        <v>171</v>
      </c>
      <c r="F836" s="13" t="s">
        <v>50</v>
      </c>
      <c r="G836" s="13" t="s">
        <v>51</v>
      </c>
      <c r="H836" s="16" t="s">
        <v>78</v>
      </c>
      <c r="I836" s="16" t="s">
        <v>156</v>
      </c>
      <c r="J836" s="17">
        <v>250</v>
      </c>
      <c r="K836" s="17"/>
      <c r="L836" s="17" t="s">
        <v>1818</v>
      </c>
      <c r="M836" s="17"/>
      <c r="N836" s="14" t="s">
        <v>85</v>
      </c>
      <c r="O836" s="17" t="s">
        <v>70</v>
      </c>
      <c r="P836" s="17"/>
      <c r="Q836" s="17"/>
      <c r="R836" s="17"/>
      <c r="S836" s="17">
        <v>0.12</v>
      </c>
      <c r="T836" s="17">
        <v>0.19</v>
      </c>
      <c r="U836" s="20">
        <f t="shared" si="58"/>
        <v>1.5833333333333335</v>
      </c>
      <c r="V836" s="41">
        <f t="shared" si="61"/>
        <v>58.33333333333335</v>
      </c>
      <c r="W836" s="17"/>
      <c r="X836" s="17" t="s">
        <v>58</v>
      </c>
      <c r="Y836" s="14">
        <v>220</v>
      </c>
      <c r="Z836" s="17" t="s">
        <v>56</v>
      </c>
      <c r="AA836" s="17"/>
      <c r="AB836" s="17" t="s">
        <v>57</v>
      </c>
      <c r="AC836" s="17">
        <v>2013</v>
      </c>
      <c r="AD836" s="17">
        <v>2</v>
      </c>
      <c r="AE836" s="17"/>
      <c r="AF836" s="17"/>
      <c r="AG836" s="17">
        <v>2006</v>
      </c>
      <c r="AH836" s="14">
        <f t="shared" si="59"/>
        <v>7</v>
      </c>
      <c r="AI836" s="17">
        <f t="shared" si="60"/>
        <v>9</v>
      </c>
      <c r="AJ836" s="17"/>
      <c r="AK836" s="17" t="s">
        <v>56</v>
      </c>
      <c r="AL836" s="16" t="s">
        <v>1776</v>
      </c>
      <c r="AM836" s="15">
        <v>2019</v>
      </c>
      <c r="AN836" s="15" t="s">
        <v>343</v>
      </c>
      <c r="AO836" s="15" t="s">
        <v>56</v>
      </c>
      <c r="AP836" s="15"/>
      <c r="AQ836" s="15" t="s">
        <v>56</v>
      </c>
      <c r="AR836" s="15" t="s">
        <v>58</v>
      </c>
      <c r="AS836" s="15" t="s">
        <v>163</v>
      </c>
      <c r="AT836" s="15"/>
      <c r="AU836" s="45" t="s">
        <v>1777</v>
      </c>
      <c r="AV836" s="15"/>
      <c r="AW836" s="12" t="str">
        <f>B836&amp;C836&amp;L836&amp;M836&amp;O836&amp;U836&amp;AL836&amp;AM836</f>
        <v>Costa RicaSanta Rosa National Park, Camaronal National Wildlife Refuge, Caletas Ario National Wildlife Refuge, Curu National Wildlife RefugeMicrospathodon dorsalisbiomassden1.58333333333333Beita-Jimenez2019</v>
      </c>
    </row>
    <row r="837" spans="1:49" ht="14.25" customHeight="1" x14ac:dyDescent="0.35">
      <c r="A837" s="12">
        <v>836</v>
      </c>
      <c r="B837" s="15" t="s">
        <v>633</v>
      </c>
      <c r="C837" s="15" t="s">
        <v>1773</v>
      </c>
      <c r="D837" s="15" t="s">
        <v>1773</v>
      </c>
      <c r="E837" s="15" t="s">
        <v>171</v>
      </c>
      <c r="F837" s="16" t="s">
        <v>50</v>
      </c>
      <c r="G837" s="16" t="s">
        <v>51</v>
      </c>
      <c r="H837" s="16" t="s">
        <v>78</v>
      </c>
      <c r="I837" s="16" t="s">
        <v>156</v>
      </c>
      <c r="J837" s="17">
        <v>250</v>
      </c>
      <c r="K837" s="17"/>
      <c r="L837" s="17" t="s">
        <v>1819</v>
      </c>
      <c r="M837" s="17"/>
      <c r="N837" s="14" t="s">
        <v>85</v>
      </c>
      <c r="O837" s="17" t="s">
        <v>70</v>
      </c>
      <c r="P837" s="17"/>
      <c r="Q837" s="17"/>
      <c r="R837" s="17"/>
      <c r="S837" s="17">
        <v>0.06</v>
      </c>
      <c r="T837" s="17">
        <v>0.1</v>
      </c>
      <c r="U837" s="20">
        <f t="shared" si="58"/>
        <v>1.6666666666666667</v>
      </c>
      <c r="V837" s="41">
        <f t="shared" si="61"/>
        <v>66.666666666666671</v>
      </c>
      <c r="W837" s="17"/>
      <c r="X837" s="17" t="s">
        <v>58</v>
      </c>
      <c r="Y837" s="14">
        <v>220</v>
      </c>
      <c r="Z837" s="17" t="s">
        <v>56</v>
      </c>
      <c r="AA837" s="17"/>
      <c r="AB837" s="17" t="s">
        <v>57</v>
      </c>
      <c r="AC837" s="17">
        <v>2013</v>
      </c>
      <c r="AD837" s="17">
        <v>2</v>
      </c>
      <c r="AE837" s="17"/>
      <c r="AF837" s="17"/>
      <c r="AG837" s="17">
        <v>2006</v>
      </c>
      <c r="AH837" s="14">
        <f t="shared" si="59"/>
        <v>7</v>
      </c>
      <c r="AI837" s="17">
        <f t="shared" si="60"/>
        <v>9</v>
      </c>
      <c r="AJ837" s="17"/>
      <c r="AK837" s="17" t="s">
        <v>56</v>
      </c>
      <c r="AL837" s="16" t="s">
        <v>1776</v>
      </c>
      <c r="AM837" s="15">
        <v>2019</v>
      </c>
      <c r="AN837" s="15" t="s">
        <v>343</v>
      </c>
      <c r="AO837" s="15" t="s">
        <v>56</v>
      </c>
      <c r="AP837" s="15"/>
      <c r="AQ837" s="15" t="s">
        <v>56</v>
      </c>
      <c r="AR837" s="15" t="s">
        <v>58</v>
      </c>
      <c r="AS837" s="15" t="s">
        <v>163</v>
      </c>
      <c r="AT837" s="15"/>
      <c r="AU837" s="45" t="s">
        <v>1777</v>
      </c>
      <c r="AV837" s="15"/>
      <c r="AW837" s="12" t="str">
        <f>B837&amp;C837&amp;L837&amp;M837&amp;O837&amp;U837&amp;AL837&amp;AM837</f>
        <v>Costa RicaSanta Rosa National Park, Camaronal National Wildlife Refuge, Caletas Ario National Wildlife Refuge, Curu National Wildlife RefugeStegastes flavilatusbiomassden1.66666666666667Beita-Jimenez2019</v>
      </c>
    </row>
    <row r="838" spans="1:49" ht="14.25" customHeight="1" x14ac:dyDescent="0.35">
      <c r="A838" s="12">
        <v>837</v>
      </c>
      <c r="B838" s="15" t="s">
        <v>633</v>
      </c>
      <c r="C838" s="15" t="s">
        <v>1773</v>
      </c>
      <c r="D838" s="15" t="s">
        <v>1773</v>
      </c>
      <c r="E838" s="15" t="s">
        <v>171</v>
      </c>
      <c r="F838" s="13" t="s">
        <v>50</v>
      </c>
      <c r="G838" s="13" t="s">
        <v>51</v>
      </c>
      <c r="H838" s="16" t="s">
        <v>78</v>
      </c>
      <c r="I838" s="16" t="s">
        <v>156</v>
      </c>
      <c r="J838" s="17">
        <v>250</v>
      </c>
      <c r="K838" s="17"/>
      <c r="L838" s="17" t="s">
        <v>1820</v>
      </c>
      <c r="M838" s="17"/>
      <c r="N838" s="14" t="s">
        <v>85</v>
      </c>
      <c r="O838" s="17" t="s">
        <v>70</v>
      </c>
      <c r="P838" s="17"/>
      <c r="Q838" s="17"/>
      <c r="R838" s="17"/>
      <c r="S838" s="17">
        <v>0.11</v>
      </c>
      <c r="T838" s="17">
        <v>0.64</v>
      </c>
      <c r="U838" s="20">
        <f t="shared" si="58"/>
        <v>5.8181818181818183</v>
      </c>
      <c r="V838" s="41">
        <f t="shared" si="61"/>
        <v>481.81818181818181</v>
      </c>
      <c r="W838" s="17"/>
      <c r="X838" s="17" t="s">
        <v>58</v>
      </c>
      <c r="Y838" s="14">
        <v>220</v>
      </c>
      <c r="Z838" s="17" t="s">
        <v>56</v>
      </c>
      <c r="AA838" s="17"/>
      <c r="AB838" s="17" t="s">
        <v>57</v>
      </c>
      <c r="AC838" s="17">
        <v>2013</v>
      </c>
      <c r="AD838" s="17">
        <v>2</v>
      </c>
      <c r="AE838" s="17"/>
      <c r="AF838" s="17"/>
      <c r="AG838" s="17">
        <v>2006</v>
      </c>
      <c r="AH838" s="14">
        <f t="shared" si="59"/>
        <v>7</v>
      </c>
      <c r="AI838" s="17">
        <f t="shared" si="60"/>
        <v>9</v>
      </c>
      <c r="AJ838" s="17"/>
      <c r="AK838" s="17" t="s">
        <v>56</v>
      </c>
      <c r="AL838" s="16" t="s">
        <v>1776</v>
      </c>
      <c r="AM838" s="15">
        <v>2019</v>
      </c>
      <c r="AN838" s="15" t="s">
        <v>343</v>
      </c>
      <c r="AO838" s="15" t="s">
        <v>56</v>
      </c>
      <c r="AP838" s="15"/>
      <c r="AQ838" s="15" t="s">
        <v>56</v>
      </c>
      <c r="AR838" s="15" t="s">
        <v>58</v>
      </c>
      <c r="AS838" s="15" t="s">
        <v>163</v>
      </c>
      <c r="AT838" s="15"/>
      <c r="AU838" s="45" t="s">
        <v>1777</v>
      </c>
      <c r="AV838" s="15"/>
      <c r="AW838" s="12" t="str">
        <f>B838&amp;C838&amp;L838&amp;M838&amp;O838&amp;U838&amp;AL838&amp;AM838</f>
        <v>Costa RicaSanta Rosa National Park, Camaronal National Wildlife Refuge, Caletas Ario National Wildlife Refuge, Curu National Wildlife RefugeScarus ghobbanbiomassden5.81818181818182Beita-Jimenez2019</v>
      </c>
    </row>
    <row r="839" spans="1:49" ht="14.25" customHeight="1" x14ac:dyDescent="0.35">
      <c r="A839" s="12">
        <v>838</v>
      </c>
      <c r="B839" s="12" t="s">
        <v>633</v>
      </c>
      <c r="C839" s="12" t="s">
        <v>1773</v>
      </c>
      <c r="D839" s="12" t="s">
        <v>1773</v>
      </c>
      <c r="E839" s="12" t="s">
        <v>171</v>
      </c>
      <c r="F839" s="13" t="s">
        <v>50</v>
      </c>
      <c r="G839" s="13" t="s">
        <v>51</v>
      </c>
      <c r="H839" s="13" t="s">
        <v>78</v>
      </c>
      <c r="I839" s="13" t="s">
        <v>156</v>
      </c>
      <c r="J839" s="14">
        <v>250</v>
      </c>
      <c r="K839" s="17"/>
      <c r="L839" s="14" t="s">
        <v>1821</v>
      </c>
      <c r="M839" s="14"/>
      <c r="N839" s="14" t="s">
        <v>85</v>
      </c>
      <c r="O839" s="14" t="s">
        <v>70</v>
      </c>
      <c r="P839" s="14"/>
      <c r="Q839" s="14"/>
      <c r="R839" s="14"/>
      <c r="S839" s="14">
        <v>0.06</v>
      </c>
      <c r="T839" s="14">
        <v>0.7</v>
      </c>
      <c r="U839" s="19">
        <f t="shared" si="58"/>
        <v>11.666666666666666</v>
      </c>
      <c r="V839" s="41">
        <f t="shared" si="61"/>
        <v>1066.6666666666665</v>
      </c>
      <c r="W839" s="14"/>
      <c r="X839" s="14" t="s">
        <v>58</v>
      </c>
      <c r="Y839" s="14">
        <v>220</v>
      </c>
      <c r="Z839" s="14" t="s">
        <v>56</v>
      </c>
      <c r="AA839" s="14"/>
      <c r="AB839" s="14" t="s">
        <v>57</v>
      </c>
      <c r="AC839" s="14">
        <v>2013</v>
      </c>
      <c r="AD839" s="14">
        <v>2</v>
      </c>
      <c r="AE839" s="14"/>
      <c r="AF839" s="14"/>
      <c r="AG839" s="14">
        <v>2006</v>
      </c>
      <c r="AH839" s="14">
        <f t="shared" si="59"/>
        <v>7</v>
      </c>
      <c r="AI839" s="17">
        <f t="shared" si="60"/>
        <v>9</v>
      </c>
      <c r="AJ839" s="14"/>
      <c r="AK839" s="14" t="s">
        <v>56</v>
      </c>
      <c r="AL839" s="13" t="s">
        <v>1776</v>
      </c>
      <c r="AM839" s="12">
        <v>2019</v>
      </c>
      <c r="AN839" s="12" t="s">
        <v>343</v>
      </c>
      <c r="AO839" s="12" t="s">
        <v>56</v>
      </c>
      <c r="AP839" s="12"/>
      <c r="AQ839" s="12" t="s">
        <v>56</v>
      </c>
      <c r="AR839" s="12" t="s">
        <v>58</v>
      </c>
      <c r="AS839" s="12" t="s">
        <v>163</v>
      </c>
      <c r="AT839" s="12"/>
      <c r="AU839" s="45" t="s">
        <v>1777</v>
      </c>
      <c r="AV839" s="15"/>
      <c r="AW839" s="12" t="str">
        <f>B839&amp;C839&amp;L839&amp;M839&amp;O839&amp;U839&amp;AL839&amp;AM839</f>
        <v>Costa RicaSanta Rosa National Park, Camaronal National Wildlife Refuge, Caletas Ario National Wildlife Refuge, Curu National Wildlife RefugeScarus rubroviolaceusbiomassden11.6666666666667Beita-Jimenez2019</v>
      </c>
    </row>
    <row r="840" spans="1:49" ht="14.25" customHeight="1" x14ac:dyDescent="0.35">
      <c r="A840" s="12">
        <v>839</v>
      </c>
      <c r="B840" s="12" t="s">
        <v>633</v>
      </c>
      <c r="C840" s="12" t="s">
        <v>1773</v>
      </c>
      <c r="D840" s="12" t="s">
        <v>1773</v>
      </c>
      <c r="E840" s="12" t="s">
        <v>171</v>
      </c>
      <c r="F840" s="13" t="s">
        <v>50</v>
      </c>
      <c r="G840" s="13" t="s">
        <v>51</v>
      </c>
      <c r="H840" s="13" t="s">
        <v>78</v>
      </c>
      <c r="I840" s="13" t="s">
        <v>156</v>
      </c>
      <c r="J840" s="14">
        <v>250</v>
      </c>
      <c r="K840" s="17"/>
      <c r="L840" s="14" t="s">
        <v>1822</v>
      </c>
      <c r="M840" s="14"/>
      <c r="N840" s="14" t="s">
        <v>85</v>
      </c>
      <c r="O840" s="17" t="s">
        <v>70</v>
      </c>
      <c r="P840" s="14"/>
      <c r="Q840" s="14"/>
      <c r="R840" s="14"/>
      <c r="S840" s="14">
        <v>0.02</v>
      </c>
      <c r="T840" s="14">
        <v>0.13</v>
      </c>
      <c r="U840" s="19">
        <f t="shared" si="58"/>
        <v>6.5</v>
      </c>
      <c r="V840" s="41">
        <f t="shared" si="61"/>
        <v>550</v>
      </c>
      <c r="W840" s="14"/>
      <c r="X840" s="14" t="s">
        <v>58</v>
      </c>
      <c r="Y840" s="14">
        <v>220</v>
      </c>
      <c r="Z840" s="14" t="s">
        <v>56</v>
      </c>
      <c r="AA840" s="14"/>
      <c r="AB840" s="14" t="s">
        <v>57</v>
      </c>
      <c r="AC840" s="14">
        <v>2013</v>
      </c>
      <c r="AD840" s="14">
        <v>2</v>
      </c>
      <c r="AE840" s="14"/>
      <c r="AF840" s="14"/>
      <c r="AG840" s="14">
        <v>2006</v>
      </c>
      <c r="AH840" s="14">
        <f t="shared" si="59"/>
        <v>7</v>
      </c>
      <c r="AI840" s="17">
        <f t="shared" si="60"/>
        <v>9</v>
      </c>
      <c r="AJ840" s="14"/>
      <c r="AK840" s="14" t="s">
        <v>56</v>
      </c>
      <c r="AL840" s="13" t="s">
        <v>1776</v>
      </c>
      <c r="AM840" s="12">
        <v>2019</v>
      </c>
      <c r="AN840" s="12" t="s">
        <v>343</v>
      </c>
      <c r="AO840" s="12" t="s">
        <v>56</v>
      </c>
      <c r="AP840" s="12"/>
      <c r="AQ840" s="12" t="s">
        <v>56</v>
      </c>
      <c r="AR840" s="12" t="s">
        <v>58</v>
      </c>
      <c r="AS840" s="12" t="s">
        <v>163</v>
      </c>
      <c r="AT840" s="12"/>
      <c r="AU840" s="45" t="s">
        <v>1777</v>
      </c>
      <c r="AV840" s="15"/>
      <c r="AW840" s="12" t="str">
        <f>B840&amp;C840&amp;L840&amp;M840&amp;O840&amp;U840&amp;AL840&amp;AM840</f>
        <v>Costa RicaSanta Rosa National Park, Camaronal National Wildlife Refuge, Caletas Ario National Wildlife Refuge, Curu National Wildlife RefugeOdontoscion xanthopsbiomassden6.5Beita-Jimenez2019</v>
      </c>
    </row>
    <row r="841" spans="1:49" ht="14.25" customHeight="1" x14ac:dyDescent="0.35">
      <c r="A841" s="12">
        <v>840</v>
      </c>
      <c r="B841" s="12" t="s">
        <v>633</v>
      </c>
      <c r="C841" s="12" t="s">
        <v>1773</v>
      </c>
      <c r="D841" s="12" t="s">
        <v>1773</v>
      </c>
      <c r="E841" s="12" t="s">
        <v>171</v>
      </c>
      <c r="F841" s="13" t="s">
        <v>50</v>
      </c>
      <c r="G841" s="13" t="s">
        <v>51</v>
      </c>
      <c r="H841" s="13" t="s">
        <v>78</v>
      </c>
      <c r="I841" s="13" t="s">
        <v>156</v>
      </c>
      <c r="J841" s="14">
        <v>250</v>
      </c>
      <c r="K841" s="17"/>
      <c r="L841" s="14" t="s">
        <v>1823</v>
      </c>
      <c r="M841" s="14"/>
      <c r="N841" s="14" t="s">
        <v>85</v>
      </c>
      <c r="O841" s="17" t="s">
        <v>70</v>
      </c>
      <c r="P841" s="14"/>
      <c r="Q841" s="14"/>
      <c r="R841" s="14"/>
      <c r="S841" s="14">
        <v>0.03</v>
      </c>
      <c r="T841" s="14">
        <v>0.01</v>
      </c>
      <c r="U841" s="19">
        <f t="shared" si="58"/>
        <v>0.33333333333333337</v>
      </c>
      <c r="V841" s="41">
        <f t="shared" si="61"/>
        <v>-66.666666666666657</v>
      </c>
      <c r="W841" s="14"/>
      <c r="X841" s="14" t="s">
        <v>58</v>
      </c>
      <c r="Y841" s="14">
        <v>220</v>
      </c>
      <c r="Z841" s="14" t="s">
        <v>56</v>
      </c>
      <c r="AA841" s="14"/>
      <c r="AB841" s="14" t="s">
        <v>57</v>
      </c>
      <c r="AC841" s="14">
        <v>2013</v>
      </c>
      <c r="AD841" s="14">
        <v>2</v>
      </c>
      <c r="AE841" s="14"/>
      <c r="AF841" s="14"/>
      <c r="AG841" s="14">
        <v>2006</v>
      </c>
      <c r="AH841" s="14">
        <f t="shared" si="59"/>
        <v>7</v>
      </c>
      <c r="AI841" s="17">
        <f t="shared" si="60"/>
        <v>9</v>
      </c>
      <c r="AJ841" s="14"/>
      <c r="AK841" s="14" t="s">
        <v>56</v>
      </c>
      <c r="AL841" s="13" t="s">
        <v>1776</v>
      </c>
      <c r="AM841" s="12">
        <v>2019</v>
      </c>
      <c r="AN841" s="12" t="s">
        <v>343</v>
      </c>
      <c r="AO841" s="12" t="s">
        <v>56</v>
      </c>
      <c r="AP841" s="12"/>
      <c r="AQ841" s="12" t="s">
        <v>56</v>
      </c>
      <c r="AR841" s="12" t="s">
        <v>58</v>
      </c>
      <c r="AS841" s="12" t="s">
        <v>163</v>
      </c>
      <c r="AT841" s="12"/>
      <c r="AU841" s="45" t="s">
        <v>1777</v>
      </c>
      <c r="AV841" s="15"/>
      <c r="AW841" s="12" t="str">
        <f>B841&amp;C841&amp;L841&amp;M841&amp;O841&amp;U841&amp;AL841&amp;AM841</f>
        <v>Costa RicaSanta Rosa National Park, Camaronal National Wildlife Refuge, Caletas Ario National Wildlife Refuge, Curu National Wildlife RefugeAlphestes immaculatusbiomassden0.333333333333333Beita-Jimenez2019</v>
      </c>
    </row>
    <row r="842" spans="1:49" ht="14.25" customHeight="1" x14ac:dyDescent="0.35">
      <c r="A842" s="12">
        <v>841</v>
      </c>
      <c r="B842" s="12" t="s">
        <v>633</v>
      </c>
      <c r="C842" s="12" t="s">
        <v>1773</v>
      </c>
      <c r="D842" s="12" t="s">
        <v>1773</v>
      </c>
      <c r="E842" s="12" t="s">
        <v>171</v>
      </c>
      <c r="F842" s="13" t="s">
        <v>50</v>
      </c>
      <c r="G842" s="13" t="s">
        <v>51</v>
      </c>
      <c r="H842" s="13" t="s">
        <v>78</v>
      </c>
      <c r="I842" s="13" t="s">
        <v>156</v>
      </c>
      <c r="J842" s="14">
        <v>250</v>
      </c>
      <c r="K842" s="17"/>
      <c r="L842" s="14" t="s">
        <v>1824</v>
      </c>
      <c r="M842" s="14"/>
      <c r="N842" s="14" t="s">
        <v>85</v>
      </c>
      <c r="O842" s="17" t="s">
        <v>70</v>
      </c>
      <c r="P842" s="14"/>
      <c r="Q842" s="14"/>
      <c r="R842" s="14"/>
      <c r="S842" s="14">
        <v>0.02</v>
      </c>
      <c r="T842" s="14">
        <v>0.03</v>
      </c>
      <c r="U842" s="19">
        <f t="shared" si="58"/>
        <v>1.5</v>
      </c>
      <c r="V842" s="41">
        <f t="shared" si="61"/>
        <v>50</v>
      </c>
      <c r="W842" s="14"/>
      <c r="X842" s="14" t="s">
        <v>58</v>
      </c>
      <c r="Y842" s="14">
        <v>220</v>
      </c>
      <c r="Z842" s="14" t="s">
        <v>56</v>
      </c>
      <c r="AA842" s="14"/>
      <c r="AB842" s="14" t="s">
        <v>57</v>
      </c>
      <c r="AC842" s="14">
        <v>2013</v>
      </c>
      <c r="AD842" s="14">
        <v>2</v>
      </c>
      <c r="AE842" s="14"/>
      <c r="AF842" s="14"/>
      <c r="AG842" s="14">
        <v>2006</v>
      </c>
      <c r="AH842" s="14">
        <f t="shared" si="59"/>
        <v>7</v>
      </c>
      <c r="AI842" s="17">
        <f t="shared" si="60"/>
        <v>9</v>
      </c>
      <c r="AJ842" s="14"/>
      <c r="AK842" s="14" t="s">
        <v>56</v>
      </c>
      <c r="AL842" s="13" t="s">
        <v>1776</v>
      </c>
      <c r="AM842" s="12">
        <v>2019</v>
      </c>
      <c r="AN842" s="12" t="s">
        <v>343</v>
      </c>
      <c r="AO842" s="12" t="s">
        <v>56</v>
      </c>
      <c r="AP842" s="12"/>
      <c r="AQ842" s="12" t="s">
        <v>56</v>
      </c>
      <c r="AR842" s="12" t="s">
        <v>58</v>
      </c>
      <c r="AS842" s="12" t="s">
        <v>163</v>
      </c>
      <c r="AT842" s="12"/>
      <c r="AU842" s="45" t="s">
        <v>1777</v>
      </c>
      <c r="AV842" s="15"/>
      <c r="AW842" s="12" t="str">
        <f>B842&amp;C842&amp;L842&amp;M842&amp;O842&amp;U842&amp;AL842&amp;AM842</f>
        <v>Costa RicaSanta Rosa National Park, Camaronal National Wildlife Refuge, Caletas Ario National Wildlife Refuge, Curu National Wildlife RefugeAlphestes multiguttatusbiomassden1.5Beita-Jimenez2019</v>
      </c>
    </row>
    <row r="843" spans="1:49" ht="14.25" customHeight="1" x14ac:dyDescent="0.35">
      <c r="A843" s="12">
        <v>842</v>
      </c>
      <c r="B843" s="12" t="s">
        <v>633</v>
      </c>
      <c r="C843" s="12" t="s">
        <v>1773</v>
      </c>
      <c r="D843" s="12" t="s">
        <v>1773</v>
      </c>
      <c r="E843" s="12" t="s">
        <v>171</v>
      </c>
      <c r="F843" s="13" t="s">
        <v>50</v>
      </c>
      <c r="G843" s="13" t="s">
        <v>51</v>
      </c>
      <c r="H843" s="13" t="s">
        <v>78</v>
      </c>
      <c r="I843" s="13" t="s">
        <v>156</v>
      </c>
      <c r="J843" s="14">
        <v>250</v>
      </c>
      <c r="K843" s="17"/>
      <c r="L843" s="14" t="s">
        <v>1825</v>
      </c>
      <c r="M843" s="14"/>
      <c r="N843" s="14" t="s">
        <v>85</v>
      </c>
      <c r="O843" s="17" t="s">
        <v>70</v>
      </c>
      <c r="P843" s="14"/>
      <c r="Q843" s="14"/>
      <c r="R843" s="14"/>
      <c r="S843" s="14">
        <v>0.04</v>
      </c>
      <c r="T843" s="14">
        <v>0.28999999999999998</v>
      </c>
      <c r="U843" s="19">
        <f t="shared" si="58"/>
        <v>7.2499999999999991</v>
      </c>
      <c r="V843" s="41">
        <f t="shared" si="61"/>
        <v>624.99999999999989</v>
      </c>
      <c r="W843" s="14"/>
      <c r="X843" s="14" t="s">
        <v>58</v>
      </c>
      <c r="Y843" s="14">
        <v>220</v>
      </c>
      <c r="Z843" s="14" t="s">
        <v>56</v>
      </c>
      <c r="AA843" s="14"/>
      <c r="AB843" s="14" t="s">
        <v>57</v>
      </c>
      <c r="AC843" s="14">
        <v>2013</v>
      </c>
      <c r="AD843" s="14">
        <v>2</v>
      </c>
      <c r="AE843" s="14"/>
      <c r="AF843" s="14"/>
      <c r="AG843" s="14">
        <v>2006</v>
      </c>
      <c r="AH843" s="14">
        <f t="shared" si="59"/>
        <v>7</v>
      </c>
      <c r="AI843" s="17">
        <f t="shared" si="60"/>
        <v>9</v>
      </c>
      <c r="AJ843" s="14"/>
      <c r="AK843" s="14" t="s">
        <v>56</v>
      </c>
      <c r="AL843" s="13" t="s">
        <v>1776</v>
      </c>
      <c r="AM843" s="12">
        <v>2019</v>
      </c>
      <c r="AN843" s="12" t="s">
        <v>343</v>
      </c>
      <c r="AO843" s="12" t="s">
        <v>56</v>
      </c>
      <c r="AP843" s="12"/>
      <c r="AQ843" s="12" t="s">
        <v>56</v>
      </c>
      <c r="AR843" s="12" t="s">
        <v>58</v>
      </c>
      <c r="AS843" s="12" t="s">
        <v>163</v>
      </c>
      <c r="AT843" s="12"/>
      <c r="AU843" s="45" t="s">
        <v>1777</v>
      </c>
      <c r="AV843" s="15"/>
      <c r="AW843" s="12" t="str">
        <f>B843&amp;C843&amp;L843&amp;M843&amp;O843&amp;U843&amp;AL843&amp;AM843</f>
        <v>Costa RicaSanta Rosa National Park, Camaronal National Wildlife Refuge, Caletas Ario National Wildlife Refuge, Curu National Wildlife RefugeCephalopholis panamensisbiomassden7.25Beita-Jimenez2019</v>
      </c>
    </row>
    <row r="844" spans="1:49" ht="14.25" customHeight="1" x14ac:dyDescent="0.35">
      <c r="A844" s="12">
        <v>843</v>
      </c>
      <c r="B844" s="12" t="s">
        <v>633</v>
      </c>
      <c r="C844" s="12" t="s">
        <v>1773</v>
      </c>
      <c r="D844" s="12" t="s">
        <v>1773</v>
      </c>
      <c r="E844" s="12" t="s">
        <v>171</v>
      </c>
      <c r="F844" s="13" t="s">
        <v>50</v>
      </c>
      <c r="G844" s="13" t="s">
        <v>51</v>
      </c>
      <c r="H844" s="13" t="s">
        <v>78</v>
      </c>
      <c r="I844" s="13" t="s">
        <v>156</v>
      </c>
      <c r="J844" s="14">
        <v>250</v>
      </c>
      <c r="K844" s="17"/>
      <c r="L844" s="14" t="s">
        <v>1826</v>
      </c>
      <c r="M844" s="14"/>
      <c r="N844" s="14" t="s">
        <v>85</v>
      </c>
      <c r="O844" s="17" t="s">
        <v>70</v>
      </c>
      <c r="P844" s="14"/>
      <c r="Q844" s="14"/>
      <c r="R844" s="14"/>
      <c r="S844" s="14">
        <v>0.08</v>
      </c>
      <c r="T844" s="14">
        <v>0.32</v>
      </c>
      <c r="U844" s="19">
        <f t="shared" si="58"/>
        <v>4</v>
      </c>
      <c r="V844" s="41">
        <f t="shared" si="61"/>
        <v>300</v>
      </c>
      <c r="W844" s="14"/>
      <c r="X844" s="14" t="s">
        <v>58</v>
      </c>
      <c r="Y844" s="14">
        <v>220</v>
      </c>
      <c r="Z844" s="14" t="s">
        <v>56</v>
      </c>
      <c r="AA844" s="14"/>
      <c r="AB844" s="14" t="s">
        <v>57</v>
      </c>
      <c r="AC844" s="14">
        <v>2013</v>
      </c>
      <c r="AD844" s="14">
        <v>2</v>
      </c>
      <c r="AE844" s="14"/>
      <c r="AF844" s="14"/>
      <c r="AG844" s="14">
        <v>2006</v>
      </c>
      <c r="AH844" s="14">
        <f t="shared" si="59"/>
        <v>7</v>
      </c>
      <c r="AI844" s="17">
        <f t="shared" si="60"/>
        <v>9</v>
      </c>
      <c r="AJ844" s="14"/>
      <c r="AK844" s="14" t="s">
        <v>56</v>
      </c>
      <c r="AL844" s="13" t="s">
        <v>1776</v>
      </c>
      <c r="AM844" s="12">
        <v>2019</v>
      </c>
      <c r="AN844" s="12" t="s">
        <v>343</v>
      </c>
      <c r="AO844" s="12" t="s">
        <v>56</v>
      </c>
      <c r="AP844" s="12"/>
      <c r="AQ844" s="12" t="s">
        <v>56</v>
      </c>
      <c r="AR844" s="12" t="s">
        <v>58</v>
      </c>
      <c r="AS844" s="12" t="s">
        <v>163</v>
      </c>
      <c r="AT844" s="12"/>
      <c r="AU844" s="45" t="s">
        <v>1777</v>
      </c>
      <c r="AV844" s="15"/>
      <c r="AW844" s="12" t="str">
        <f>B844&amp;C844&amp;L844&amp;M844&amp;O844&amp;U844&amp;AL844&amp;AM844</f>
        <v>Costa RicaSanta Rosa National Park, Camaronal National Wildlife Refuge, Caletas Ario National Wildlife Refuge, Curu National Wildlife RefugeEpinephelus labriformisbiomassden4Beita-Jimenez2019</v>
      </c>
    </row>
    <row r="845" spans="1:49" ht="14.25" customHeight="1" x14ac:dyDescent="0.35">
      <c r="A845" s="12">
        <v>844</v>
      </c>
      <c r="B845" s="12" t="s">
        <v>633</v>
      </c>
      <c r="C845" s="12" t="s">
        <v>1773</v>
      </c>
      <c r="D845" s="12" t="s">
        <v>1773</v>
      </c>
      <c r="E845" s="12" t="s">
        <v>171</v>
      </c>
      <c r="F845" s="13" t="s">
        <v>50</v>
      </c>
      <c r="G845" s="13" t="s">
        <v>51</v>
      </c>
      <c r="H845" s="13" t="s">
        <v>78</v>
      </c>
      <c r="I845" s="13" t="s">
        <v>156</v>
      </c>
      <c r="J845" s="14">
        <v>250</v>
      </c>
      <c r="K845" s="17"/>
      <c r="L845" s="14" t="s">
        <v>1827</v>
      </c>
      <c r="M845" s="14"/>
      <c r="N845" s="14" t="s">
        <v>85</v>
      </c>
      <c r="O845" s="14" t="s">
        <v>70</v>
      </c>
      <c r="P845" s="14"/>
      <c r="Q845" s="14"/>
      <c r="R845" s="14"/>
      <c r="S845" s="14">
        <v>0.01</v>
      </c>
      <c r="T845" s="14">
        <v>0.03</v>
      </c>
      <c r="U845" s="19">
        <f t="shared" si="58"/>
        <v>3</v>
      </c>
      <c r="V845" s="41">
        <f t="shared" si="61"/>
        <v>200</v>
      </c>
      <c r="W845" s="14"/>
      <c r="X845" s="14" t="s">
        <v>58</v>
      </c>
      <c r="Y845" s="14">
        <v>220</v>
      </c>
      <c r="Z845" s="14" t="s">
        <v>56</v>
      </c>
      <c r="AA845" s="14"/>
      <c r="AB845" s="14" t="s">
        <v>57</v>
      </c>
      <c r="AC845" s="14">
        <v>2013</v>
      </c>
      <c r="AD845" s="14">
        <v>2</v>
      </c>
      <c r="AE845" s="14"/>
      <c r="AF845" s="14"/>
      <c r="AG845" s="14">
        <v>2006</v>
      </c>
      <c r="AH845" s="14">
        <f t="shared" si="59"/>
        <v>7</v>
      </c>
      <c r="AI845" s="17">
        <f t="shared" si="60"/>
        <v>9</v>
      </c>
      <c r="AJ845" s="14"/>
      <c r="AK845" s="14" t="s">
        <v>56</v>
      </c>
      <c r="AL845" s="13" t="s">
        <v>1776</v>
      </c>
      <c r="AM845" s="12">
        <v>2019</v>
      </c>
      <c r="AN845" s="12" t="s">
        <v>343</v>
      </c>
      <c r="AO845" s="12" t="s">
        <v>56</v>
      </c>
      <c r="AP845" s="12"/>
      <c r="AQ845" s="12" t="s">
        <v>56</v>
      </c>
      <c r="AR845" s="12" t="s">
        <v>58</v>
      </c>
      <c r="AS845" s="12" t="s">
        <v>163</v>
      </c>
      <c r="AT845" s="12"/>
      <c r="AU845" s="45" t="s">
        <v>1777</v>
      </c>
      <c r="AV845" s="15"/>
      <c r="AW845" s="12" t="str">
        <f>B845&amp;C845&amp;L845&amp;M845&amp;O845&amp;U845&amp;AL845&amp;AM845</f>
        <v>Costa RicaSanta Rosa National Park, Camaronal National Wildlife Refuge, Caletas Ario National Wildlife Refuge, Curu National Wildlife RefugeParanthias colonusbiomassden3Beita-Jimenez2019</v>
      </c>
    </row>
    <row r="846" spans="1:49" ht="14.25" customHeight="1" x14ac:dyDescent="0.35">
      <c r="A846" s="12">
        <v>845</v>
      </c>
      <c r="B846" s="15" t="s">
        <v>633</v>
      </c>
      <c r="C846" s="15" t="s">
        <v>1773</v>
      </c>
      <c r="D846" s="15" t="s">
        <v>1773</v>
      </c>
      <c r="E846" s="15" t="s">
        <v>171</v>
      </c>
      <c r="F846" s="16" t="s">
        <v>50</v>
      </c>
      <c r="G846" s="16" t="s">
        <v>51</v>
      </c>
      <c r="H846" s="16" t="s">
        <v>78</v>
      </c>
      <c r="I846" s="16" t="s">
        <v>156</v>
      </c>
      <c r="J846" s="14">
        <v>250</v>
      </c>
      <c r="K846" s="17"/>
      <c r="L846" s="17" t="s">
        <v>1828</v>
      </c>
      <c r="M846" s="17"/>
      <c r="N846" s="14" t="s">
        <v>85</v>
      </c>
      <c r="O846" s="17" t="s">
        <v>70</v>
      </c>
      <c r="P846" s="17"/>
      <c r="Q846" s="17"/>
      <c r="R846" s="17"/>
      <c r="S846" s="17">
        <v>0.01</v>
      </c>
      <c r="T846" s="17">
        <v>0.01</v>
      </c>
      <c r="U846" s="20">
        <f t="shared" si="58"/>
        <v>1</v>
      </c>
      <c r="V846" s="41">
        <f t="shared" si="61"/>
        <v>0</v>
      </c>
      <c r="W846" s="17"/>
      <c r="X846" s="17" t="s">
        <v>58</v>
      </c>
      <c r="Y846" s="14">
        <v>220</v>
      </c>
      <c r="Z846" s="17" t="s">
        <v>56</v>
      </c>
      <c r="AA846" s="17"/>
      <c r="AB846" s="17" t="s">
        <v>57</v>
      </c>
      <c r="AC846" s="17">
        <v>2013</v>
      </c>
      <c r="AD846" s="17">
        <v>2</v>
      </c>
      <c r="AE846" s="17"/>
      <c r="AF846" s="17"/>
      <c r="AG846" s="17">
        <v>2006</v>
      </c>
      <c r="AH846" s="14">
        <f t="shared" si="59"/>
        <v>7</v>
      </c>
      <c r="AI846" s="17">
        <f t="shared" si="60"/>
        <v>9</v>
      </c>
      <c r="AJ846" s="17"/>
      <c r="AK846" s="17" t="s">
        <v>56</v>
      </c>
      <c r="AL846" s="16" t="s">
        <v>1776</v>
      </c>
      <c r="AM846" s="15">
        <v>2019</v>
      </c>
      <c r="AN846" s="15" t="s">
        <v>343</v>
      </c>
      <c r="AO846" s="15" t="s">
        <v>56</v>
      </c>
      <c r="AP846" s="15"/>
      <c r="AQ846" s="15" t="s">
        <v>56</v>
      </c>
      <c r="AR846" s="15" t="s">
        <v>58</v>
      </c>
      <c r="AS846" s="15" t="s">
        <v>163</v>
      </c>
      <c r="AT846" s="15"/>
      <c r="AU846" s="45" t="s">
        <v>1777</v>
      </c>
      <c r="AV846" s="15"/>
      <c r="AW846" s="12" t="str">
        <f>B846&amp;C846&amp;L846&amp;M846&amp;O846&amp;U846&amp;AL846&amp;AM846</f>
        <v>Costa RicaSanta Rosa National Park, Camaronal National Wildlife Refuge, Caletas Ario National Wildlife Refuge, Curu National Wildlife RefugeSerranus psittacinusbiomassden1Beita-Jimenez2019</v>
      </c>
    </row>
    <row r="847" spans="1:49" ht="14.25" customHeight="1" x14ac:dyDescent="0.35">
      <c r="A847" s="12">
        <v>846</v>
      </c>
      <c r="B847" s="12" t="s">
        <v>633</v>
      </c>
      <c r="C847" s="12" t="s">
        <v>1773</v>
      </c>
      <c r="D847" s="12" t="s">
        <v>1773</v>
      </c>
      <c r="E847" s="12" t="s">
        <v>171</v>
      </c>
      <c r="F847" s="13" t="s">
        <v>50</v>
      </c>
      <c r="G847" s="13" t="s">
        <v>51</v>
      </c>
      <c r="H847" s="13" t="s">
        <v>78</v>
      </c>
      <c r="I847" s="13" t="s">
        <v>156</v>
      </c>
      <c r="J847" s="14">
        <v>250</v>
      </c>
      <c r="K847" s="17"/>
      <c r="L847" s="14" t="s">
        <v>1829</v>
      </c>
      <c r="M847" s="14"/>
      <c r="N847" s="14" t="s">
        <v>85</v>
      </c>
      <c r="O847" s="17" t="s">
        <v>70</v>
      </c>
      <c r="P847" s="14"/>
      <c r="Q847" s="14"/>
      <c r="R847" s="14"/>
      <c r="S847" s="14">
        <v>0.01</v>
      </c>
      <c r="T847" s="14">
        <v>0.08</v>
      </c>
      <c r="U847" s="19">
        <f t="shared" si="58"/>
        <v>8</v>
      </c>
      <c r="V847" s="41">
        <f t="shared" si="61"/>
        <v>700</v>
      </c>
      <c r="W847" s="14"/>
      <c r="X847" s="14" t="s">
        <v>58</v>
      </c>
      <c r="Y847" s="14">
        <v>220</v>
      </c>
      <c r="Z847" s="14" t="s">
        <v>56</v>
      </c>
      <c r="AA847" s="14"/>
      <c r="AB847" s="14" t="s">
        <v>57</v>
      </c>
      <c r="AC847" s="14">
        <v>2013</v>
      </c>
      <c r="AD847" s="14">
        <v>2</v>
      </c>
      <c r="AE847" s="14"/>
      <c r="AF847" s="14"/>
      <c r="AG847" s="14">
        <v>2006</v>
      </c>
      <c r="AH847" s="14">
        <f t="shared" si="59"/>
        <v>7</v>
      </c>
      <c r="AI847" s="17">
        <f t="shared" si="60"/>
        <v>9</v>
      </c>
      <c r="AJ847" s="14"/>
      <c r="AK847" s="14" t="s">
        <v>56</v>
      </c>
      <c r="AL847" s="13" t="s">
        <v>1776</v>
      </c>
      <c r="AM847" s="12">
        <v>2019</v>
      </c>
      <c r="AN847" s="12" t="s">
        <v>343</v>
      </c>
      <c r="AO847" s="12" t="s">
        <v>56</v>
      </c>
      <c r="AP847" s="12"/>
      <c r="AQ847" s="12" t="s">
        <v>56</v>
      </c>
      <c r="AR847" s="12" t="s">
        <v>58</v>
      </c>
      <c r="AS847" s="12" t="s">
        <v>163</v>
      </c>
      <c r="AT847" s="12"/>
      <c r="AU847" s="45" t="s">
        <v>1777</v>
      </c>
      <c r="AV847" s="15"/>
      <c r="AW847" s="12" t="str">
        <f>B847&amp;C847&amp;L847&amp;M847&amp;O847&amp;U847&amp;AL847&amp;AM847</f>
        <v>Costa RicaSanta Rosa National Park, Camaronal National Wildlife Refuge, Caletas Ario National Wildlife Refuge, Curu National Wildlife RefugeScorpaena mystesbiomassden8Beita-Jimenez2019</v>
      </c>
    </row>
    <row r="848" spans="1:49" ht="14.25" customHeight="1" x14ac:dyDescent="0.35">
      <c r="A848" s="12">
        <v>847</v>
      </c>
      <c r="B848" s="12" t="s">
        <v>633</v>
      </c>
      <c r="C848" s="12" t="s">
        <v>1773</v>
      </c>
      <c r="D848" s="12" t="s">
        <v>1773</v>
      </c>
      <c r="E848" s="12" t="s">
        <v>171</v>
      </c>
      <c r="F848" s="13" t="s">
        <v>50</v>
      </c>
      <c r="G848" s="13" t="s">
        <v>51</v>
      </c>
      <c r="H848" s="13" t="s">
        <v>78</v>
      </c>
      <c r="I848" s="13" t="s">
        <v>156</v>
      </c>
      <c r="J848" s="14">
        <v>250</v>
      </c>
      <c r="K848" s="17"/>
      <c r="L848" s="14" t="s">
        <v>1830</v>
      </c>
      <c r="M848" s="14"/>
      <c r="N848" s="14" t="s">
        <v>85</v>
      </c>
      <c r="O848" s="17" t="s">
        <v>70</v>
      </c>
      <c r="P848" s="14"/>
      <c r="Q848" s="14"/>
      <c r="R848" s="14"/>
      <c r="S848" s="14">
        <v>0.05</v>
      </c>
      <c r="T848" s="14">
        <v>0.1</v>
      </c>
      <c r="U848" s="19">
        <f t="shared" si="58"/>
        <v>2</v>
      </c>
      <c r="V848" s="41">
        <f t="shared" si="61"/>
        <v>100</v>
      </c>
      <c r="W848" s="14"/>
      <c r="X848" s="14" t="s">
        <v>58</v>
      </c>
      <c r="Y848" s="14">
        <v>220</v>
      </c>
      <c r="Z848" s="14" t="s">
        <v>56</v>
      </c>
      <c r="AA848" s="14"/>
      <c r="AB848" s="14" t="s">
        <v>57</v>
      </c>
      <c r="AC848" s="14">
        <v>2013</v>
      </c>
      <c r="AD848" s="14">
        <v>2</v>
      </c>
      <c r="AE848" s="14"/>
      <c r="AF848" s="14"/>
      <c r="AG848" s="14">
        <v>2006</v>
      </c>
      <c r="AH848" s="14">
        <f t="shared" si="59"/>
        <v>7</v>
      </c>
      <c r="AI848" s="17">
        <f t="shared" si="60"/>
        <v>9</v>
      </c>
      <c r="AJ848" s="14"/>
      <c r="AK848" s="14" t="s">
        <v>56</v>
      </c>
      <c r="AL848" s="13" t="s">
        <v>1776</v>
      </c>
      <c r="AM848" s="12">
        <v>2019</v>
      </c>
      <c r="AN848" s="12" t="s">
        <v>343</v>
      </c>
      <c r="AO848" s="12" t="s">
        <v>56</v>
      </c>
      <c r="AP848" s="12"/>
      <c r="AQ848" s="12" t="s">
        <v>56</v>
      </c>
      <c r="AR848" s="12" t="s">
        <v>58</v>
      </c>
      <c r="AS848" s="12" t="s">
        <v>163</v>
      </c>
      <c r="AT848" s="12"/>
      <c r="AU848" s="45" t="s">
        <v>1777</v>
      </c>
      <c r="AV848" s="15"/>
      <c r="AW848" s="12" t="str">
        <f>B848&amp;C848&amp;L848&amp;M848&amp;O848&amp;U848&amp;AL848&amp;AM848</f>
        <v>Costa RicaSanta Rosa National Park, Camaronal National Wildlife Refuge, Caletas Ario National Wildlife Refuge, Curu National Wildlife RefugeFistularia commersoniibiomassden2Beita-Jimenez2019</v>
      </c>
    </row>
    <row r="849" spans="1:49" ht="14.25" customHeight="1" x14ac:dyDescent="0.35">
      <c r="A849" s="12">
        <v>848</v>
      </c>
      <c r="B849" s="12" t="s">
        <v>633</v>
      </c>
      <c r="C849" s="12" t="s">
        <v>1773</v>
      </c>
      <c r="D849" s="12" t="s">
        <v>1773</v>
      </c>
      <c r="E849" s="12" t="s">
        <v>171</v>
      </c>
      <c r="F849" s="13" t="s">
        <v>50</v>
      </c>
      <c r="G849" s="13" t="s">
        <v>51</v>
      </c>
      <c r="H849" s="13" t="s">
        <v>78</v>
      </c>
      <c r="I849" s="13" t="s">
        <v>156</v>
      </c>
      <c r="J849" s="14">
        <v>250</v>
      </c>
      <c r="K849" s="17"/>
      <c r="L849" s="14" t="s">
        <v>1831</v>
      </c>
      <c r="M849" s="14"/>
      <c r="N849" s="14" t="s">
        <v>85</v>
      </c>
      <c r="O849" s="17" t="s">
        <v>70</v>
      </c>
      <c r="P849" s="14"/>
      <c r="Q849" s="14"/>
      <c r="R849" s="14"/>
      <c r="S849" s="14">
        <v>0.09</v>
      </c>
      <c r="T849" s="14">
        <v>0.08</v>
      </c>
      <c r="U849" s="19">
        <f t="shared" si="58"/>
        <v>0.88888888888888895</v>
      </c>
      <c r="V849" s="41">
        <f t="shared" si="61"/>
        <v>-11.111111111111105</v>
      </c>
      <c r="W849" s="14"/>
      <c r="X849" s="14" t="s">
        <v>58</v>
      </c>
      <c r="Y849" s="14">
        <v>220</v>
      </c>
      <c r="Z849" s="14" t="s">
        <v>56</v>
      </c>
      <c r="AA849" s="14"/>
      <c r="AB849" s="14" t="s">
        <v>57</v>
      </c>
      <c r="AC849" s="14">
        <v>2013</v>
      </c>
      <c r="AD849" s="14">
        <v>2</v>
      </c>
      <c r="AE849" s="14"/>
      <c r="AF849" s="14"/>
      <c r="AG849" s="14">
        <v>2006</v>
      </c>
      <c r="AH849" s="14">
        <f t="shared" si="59"/>
        <v>7</v>
      </c>
      <c r="AI849" s="17">
        <f t="shared" si="60"/>
        <v>9</v>
      </c>
      <c r="AJ849" s="14"/>
      <c r="AK849" s="14" t="s">
        <v>56</v>
      </c>
      <c r="AL849" s="13" t="s">
        <v>1776</v>
      </c>
      <c r="AM849" s="12">
        <v>2019</v>
      </c>
      <c r="AN849" s="12" t="s">
        <v>343</v>
      </c>
      <c r="AO849" s="12" t="s">
        <v>56</v>
      </c>
      <c r="AP849" s="12"/>
      <c r="AQ849" s="12" t="s">
        <v>56</v>
      </c>
      <c r="AR849" s="12" t="s">
        <v>58</v>
      </c>
      <c r="AS849" s="12" t="s">
        <v>163</v>
      </c>
      <c r="AT849" s="12"/>
      <c r="AU849" s="45" t="s">
        <v>1777</v>
      </c>
      <c r="AV849" s="15"/>
      <c r="AW849" s="12" t="str">
        <f>B849&amp;C849&amp;L849&amp;M849&amp;O849&amp;U849&amp;AL849&amp;AM849</f>
        <v>Costa RicaSanta Rosa National Park, Camaronal National Wildlife Refuge, Caletas Ario National Wildlife Refuge, Curu National Wildlife RefugeBalistes polylepisbiomassden0.888888888888889Beita-Jimenez2019</v>
      </c>
    </row>
    <row r="850" spans="1:49" ht="14.25" customHeight="1" x14ac:dyDescent="0.35">
      <c r="A850" s="12">
        <v>849</v>
      </c>
      <c r="B850" s="15" t="s">
        <v>633</v>
      </c>
      <c r="C850" s="15" t="s">
        <v>1773</v>
      </c>
      <c r="D850" s="15" t="s">
        <v>1773</v>
      </c>
      <c r="E850" s="15" t="s">
        <v>171</v>
      </c>
      <c r="F850" s="16" t="s">
        <v>50</v>
      </c>
      <c r="G850" s="16" t="s">
        <v>51</v>
      </c>
      <c r="H850" s="16" t="s">
        <v>78</v>
      </c>
      <c r="I850" s="16" t="s">
        <v>156</v>
      </c>
      <c r="J850" s="14">
        <v>250</v>
      </c>
      <c r="K850" s="17"/>
      <c r="L850" s="17" t="s">
        <v>1832</v>
      </c>
      <c r="M850" s="17"/>
      <c r="N850" s="14" t="s">
        <v>85</v>
      </c>
      <c r="O850" s="17" t="s">
        <v>70</v>
      </c>
      <c r="P850" s="17"/>
      <c r="Q850" s="17"/>
      <c r="R850" s="17"/>
      <c r="S850" s="17">
        <v>0.51</v>
      </c>
      <c r="T850" s="17">
        <v>0.27</v>
      </c>
      <c r="U850" s="20">
        <f t="shared" si="58"/>
        <v>0.52941176470588236</v>
      </c>
      <c r="V850" s="41">
        <f t="shared" si="61"/>
        <v>-47.058823529411761</v>
      </c>
      <c r="W850" s="17"/>
      <c r="X850" s="17" t="s">
        <v>58</v>
      </c>
      <c r="Y850" s="14">
        <v>220</v>
      </c>
      <c r="Z850" s="17" t="s">
        <v>56</v>
      </c>
      <c r="AA850" s="17"/>
      <c r="AB850" s="17" t="s">
        <v>57</v>
      </c>
      <c r="AC850" s="17">
        <v>2013</v>
      </c>
      <c r="AD850" s="17">
        <v>2</v>
      </c>
      <c r="AE850" s="17"/>
      <c r="AF850" s="17"/>
      <c r="AG850" s="17">
        <v>2006</v>
      </c>
      <c r="AH850" s="14">
        <f t="shared" si="59"/>
        <v>7</v>
      </c>
      <c r="AI850" s="17">
        <f t="shared" si="60"/>
        <v>9</v>
      </c>
      <c r="AJ850" s="17"/>
      <c r="AK850" s="17" t="s">
        <v>56</v>
      </c>
      <c r="AL850" s="16" t="s">
        <v>1776</v>
      </c>
      <c r="AM850" s="15">
        <v>2019</v>
      </c>
      <c r="AN850" s="15" t="s">
        <v>343</v>
      </c>
      <c r="AO850" s="15" t="s">
        <v>56</v>
      </c>
      <c r="AP850" s="15"/>
      <c r="AQ850" s="15" t="s">
        <v>56</v>
      </c>
      <c r="AR850" s="15" t="s">
        <v>58</v>
      </c>
      <c r="AS850" s="15" t="s">
        <v>163</v>
      </c>
      <c r="AT850" s="15"/>
      <c r="AU850" s="45" t="s">
        <v>1777</v>
      </c>
      <c r="AV850" s="15"/>
      <c r="AW850" s="12" t="str">
        <f>B850&amp;C850&amp;L850&amp;M850&amp;O850&amp;U850&amp;AL850&amp;AM850</f>
        <v>Costa RicaSanta Rosa National Park, Camaronal National Wildlife Refuge, Caletas Ario National Wildlife Refuge, Curu National Wildlife RefugePseudobalistes naufragiumbiomassden0.529411764705882Beita-Jimenez2019</v>
      </c>
    </row>
    <row r="851" spans="1:49" ht="14.25" customHeight="1" x14ac:dyDescent="0.35">
      <c r="A851" s="12">
        <v>850</v>
      </c>
      <c r="B851" s="12" t="s">
        <v>633</v>
      </c>
      <c r="C851" s="15" t="s">
        <v>1773</v>
      </c>
      <c r="D851" s="15" t="s">
        <v>1773</v>
      </c>
      <c r="E851" s="15" t="s">
        <v>171</v>
      </c>
      <c r="F851" s="13" t="s">
        <v>50</v>
      </c>
      <c r="G851" s="13" t="s">
        <v>51</v>
      </c>
      <c r="H851" s="16" t="s">
        <v>78</v>
      </c>
      <c r="I851" s="16" t="s">
        <v>156</v>
      </c>
      <c r="J851" s="14">
        <v>250</v>
      </c>
      <c r="K851" s="17"/>
      <c r="L851" s="17" t="s">
        <v>1833</v>
      </c>
      <c r="M851" s="17"/>
      <c r="N851" s="14" t="s">
        <v>85</v>
      </c>
      <c r="O851" s="17" t="s">
        <v>70</v>
      </c>
      <c r="P851" s="17"/>
      <c r="Q851" s="17"/>
      <c r="R851" s="17"/>
      <c r="S851" s="17">
        <v>0.13</v>
      </c>
      <c r="T851" s="17">
        <v>0.52</v>
      </c>
      <c r="U851" s="20">
        <f t="shared" si="58"/>
        <v>4</v>
      </c>
      <c r="V851" s="41">
        <f t="shared" si="61"/>
        <v>300</v>
      </c>
      <c r="W851" s="17"/>
      <c r="X851" s="17" t="s">
        <v>58</v>
      </c>
      <c r="Y851" s="14">
        <v>220</v>
      </c>
      <c r="Z851" s="17" t="s">
        <v>56</v>
      </c>
      <c r="AA851" s="17"/>
      <c r="AB851" s="17" t="s">
        <v>57</v>
      </c>
      <c r="AC851" s="17">
        <v>2013</v>
      </c>
      <c r="AD851" s="17">
        <v>2</v>
      </c>
      <c r="AE851" s="17"/>
      <c r="AF851" s="17"/>
      <c r="AG851" s="17">
        <v>2006</v>
      </c>
      <c r="AH851" s="14">
        <f t="shared" si="59"/>
        <v>7</v>
      </c>
      <c r="AI851" s="17">
        <f t="shared" si="60"/>
        <v>9</v>
      </c>
      <c r="AJ851" s="17"/>
      <c r="AK851" s="17" t="s">
        <v>56</v>
      </c>
      <c r="AL851" s="16" t="s">
        <v>1776</v>
      </c>
      <c r="AM851" s="15">
        <v>2019</v>
      </c>
      <c r="AN851" s="15" t="s">
        <v>343</v>
      </c>
      <c r="AO851" s="15" t="s">
        <v>56</v>
      </c>
      <c r="AP851" s="15"/>
      <c r="AQ851" s="15" t="s">
        <v>56</v>
      </c>
      <c r="AR851" s="15" t="s">
        <v>58</v>
      </c>
      <c r="AS851" s="15" t="s">
        <v>163</v>
      </c>
      <c r="AT851" s="15"/>
      <c r="AU851" s="45" t="s">
        <v>1777</v>
      </c>
      <c r="AV851" s="15"/>
      <c r="AW851" s="12" t="str">
        <f>B851&amp;C851&amp;L851&amp;M851&amp;O851&amp;U851&amp;AL851&amp;AM851</f>
        <v>Costa RicaSanta Rosa National Park, Camaronal National Wildlife Refuge, Caletas Ario National Wildlife Refuge, Curu National Wildlife RefugeSufflamen verresbiomassden4Beita-Jimenez2019</v>
      </c>
    </row>
    <row r="852" spans="1:49" ht="14.25" customHeight="1" x14ac:dyDescent="0.35">
      <c r="A852" s="12">
        <v>851</v>
      </c>
      <c r="B852" s="15" t="s">
        <v>633</v>
      </c>
      <c r="C852" s="15" t="s">
        <v>1773</v>
      </c>
      <c r="D852" s="15" t="s">
        <v>1773</v>
      </c>
      <c r="E852" s="15" t="s">
        <v>171</v>
      </c>
      <c r="F852" s="13" t="s">
        <v>50</v>
      </c>
      <c r="G852" s="13" t="s">
        <v>51</v>
      </c>
      <c r="H852" s="16" t="s">
        <v>78</v>
      </c>
      <c r="I852" s="16" t="s">
        <v>156</v>
      </c>
      <c r="J852" s="14">
        <v>250</v>
      </c>
      <c r="K852" s="17"/>
      <c r="L852" s="17" t="s">
        <v>1834</v>
      </c>
      <c r="M852" s="17"/>
      <c r="N852" s="14" t="s">
        <v>85</v>
      </c>
      <c r="O852" s="17" t="s">
        <v>70</v>
      </c>
      <c r="P852" s="17"/>
      <c r="Q852" s="17"/>
      <c r="R852" s="17"/>
      <c r="S852" s="17">
        <v>0.54</v>
      </c>
      <c r="T852" s="17">
        <v>0.3</v>
      </c>
      <c r="U852" s="20">
        <f t="shared" si="58"/>
        <v>0.55555555555555547</v>
      </c>
      <c r="V852" s="41">
        <f t="shared" si="61"/>
        <v>-44.44444444444445</v>
      </c>
      <c r="W852" s="17"/>
      <c r="X852" s="17" t="s">
        <v>58</v>
      </c>
      <c r="Y852" s="14">
        <v>220</v>
      </c>
      <c r="Z852" s="17" t="s">
        <v>56</v>
      </c>
      <c r="AA852" s="17"/>
      <c r="AB852" s="17" t="s">
        <v>57</v>
      </c>
      <c r="AC852" s="17">
        <v>2013</v>
      </c>
      <c r="AD852" s="17">
        <v>2</v>
      </c>
      <c r="AE852" s="17"/>
      <c r="AF852" s="17"/>
      <c r="AG852" s="17">
        <v>2006</v>
      </c>
      <c r="AH852" s="14">
        <f t="shared" si="59"/>
        <v>7</v>
      </c>
      <c r="AI852" s="17">
        <f t="shared" si="60"/>
        <v>9</v>
      </c>
      <c r="AJ852" s="17"/>
      <c r="AK852" s="17" t="s">
        <v>56</v>
      </c>
      <c r="AL852" s="16" t="s">
        <v>1776</v>
      </c>
      <c r="AM852" s="15">
        <v>2019</v>
      </c>
      <c r="AN852" s="15" t="s">
        <v>343</v>
      </c>
      <c r="AO852" s="15" t="s">
        <v>56</v>
      </c>
      <c r="AP852" s="15"/>
      <c r="AQ852" s="15" t="s">
        <v>56</v>
      </c>
      <c r="AR852" s="15" t="s">
        <v>58</v>
      </c>
      <c r="AS852" s="15" t="s">
        <v>163</v>
      </c>
      <c r="AT852" s="15"/>
      <c r="AU852" s="45" t="s">
        <v>1777</v>
      </c>
      <c r="AV852" s="15"/>
      <c r="AW852" s="12" t="str">
        <f>B852&amp;C852&amp;L852&amp;M852&amp;O852&amp;U852&amp;AL852&amp;AM852</f>
        <v>Costa RicaSanta Rosa National Park, Camaronal National Wildlife Refuge, Caletas Ario National Wildlife Refuge, Curu National Wildlife RefugeChilomycterus reticulatusbiomassden0.555555555555555Beita-Jimenez2019</v>
      </c>
    </row>
    <row r="853" spans="1:49" ht="14.25" customHeight="1" x14ac:dyDescent="0.35">
      <c r="A853" s="12">
        <v>852</v>
      </c>
      <c r="B853" s="15" t="s">
        <v>633</v>
      </c>
      <c r="C853" s="15" t="s">
        <v>1773</v>
      </c>
      <c r="D853" s="15" t="s">
        <v>1773</v>
      </c>
      <c r="E853" s="12" t="s">
        <v>171</v>
      </c>
      <c r="F853" s="13" t="s">
        <v>50</v>
      </c>
      <c r="G853" s="13" t="s">
        <v>51</v>
      </c>
      <c r="H853" s="16" t="s">
        <v>78</v>
      </c>
      <c r="I853" s="16" t="s">
        <v>156</v>
      </c>
      <c r="J853" s="14">
        <v>250</v>
      </c>
      <c r="K853" s="17"/>
      <c r="L853" s="17" t="s">
        <v>1835</v>
      </c>
      <c r="M853" s="17"/>
      <c r="N853" s="14" t="s">
        <v>85</v>
      </c>
      <c r="O853" s="17" t="s">
        <v>70</v>
      </c>
      <c r="P853" s="17"/>
      <c r="Q853" s="17"/>
      <c r="R853" s="17"/>
      <c r="S853" s="17">
        <v>0.04</v>
      </c>
      <c r="T853" s="17">
        <v>0.14000000000000001</v>
      </c>
      <c r="U853" s="19">
        <f t="shared" si="58"/>
        <v>3.5000000000000004</v>
      </c>
      <c r="V853" s="41">
        <f t="shared" si="61"/>
        <v>250.00000000000006</v>
      </c>
      <c r="W853" s="14"/>
      <c r="X853" s="17" t="s">
        <v>58</v>
      </c>
      <c r="Y853" s="14">
        <v>220</v>
      </c>
      <c r="Z853" s="17" t="s">
        <v>56</v>
      </c>
      <c r="AA853" s="17"/>
      <c r="AB853" s="17" t="s">
        <v>57</v>
      </c>
      <c r="AC853" s="17">
        <v>2013</v>
      </c>
      <c r="AD853" s="17">
        <v>2</v>
      </c>
      <c r="AE853" s="17"/>
      <c r="AF853" s="17"/>
      <c r="AG853" s="17">
        <v>2006</v>
      </c>
      <c r="AH853" s="14">
        <f t="shared" si="59"/>
        <v>7</v>
      </c>
      <c r="AI853" s="17">
        <f t="shared" si="60"/>
        <v>9</v>
      </c>
      <c r="AJ853" s="17"/>
      <c r="AK853" s="17" t="s">
        <v>56</v>
      </c>
      <c r="AL853" s="16" t="s">
        <v>1776</v>
      </c>
      <c r="AM853" s="15">
        <v>2019</v>
      </c>
      <c r="AN853" s="15" t="s">
        <v>343</v>
      </c>
      <c r="AO853" s="15" t="s">
        <v>56</v>
      </c>
      <c r="AP853" s="15"/>
      <c r="AQ853" s="15" t="s">
        <v>56</v>
      </c>
      <c r="AR853" s="15" t="s">
        <v>58</v>
      </c>
      <c r="AS853" s="15" t="s">
        <v>163</v>
      </c>
      <c r="AT853" s="12"/>
      <c r="AU853" s="45" t="s">
        <v>1777</v>
      </c>
      <c r="AV853" s="15"/>
      <c r="AW853" s="12" t="str">
        <f>B853&amp;C853&amp;L853&amp;M853&amp;O853&amp;U853&amp;AL853&amp;AM853</f>
        <v>Costa RicaSanta Rosa National Park, Camaronal National Wildlife Refuge, Caletas Ario National Wildlife Refuge, Curu National Wildlife RefugeDiodon holocanthusbiomassden3.5Beita-Jimenez2019</v>
      </c>
    </row>
    <row r="854" spans="1:49" ht="14.25" customHeight="1" x14ac:dyDescent="0.35">
      <c r="A854" s="12">
        <v>853</v>
      </c>
      <c r="B854" s="15" t="s">
        <v>633</v>
      </c>
      <c r="C854" s="15" t="s">
        <v>1773</v>
      </c>
      <c r="D854" s="15" t="s">
        <v>1773</v>
      </c>
      <c r="E854" s="15" t="s">
        <v>171</v>
      </c>
      <c r="F854" s="16" t="s">
        <v>50</v>
      </c>
      <c r="G854" s="16" t="s">
        <v>51</v>
      </c>
      <c r="H854" s="16" t="s">
        <v>78</v>
      </c>
      <c r="I854" s="16" t="s">
        <v>156</v>
      </c>
      <c r="J854" s="14">
        <v>250</v>
      </c>
      <c r="K854" s="17"/>
      <c r="L854" s="17" t="s">
        <v>1836</v>
      </c>
      <c r="M854" s="17"/>
      <c r="N854" s="14" t="s">
        <v>85</v>
      </c>
      <c r="O854" s="17" t="s">
        <v>70</v>
      </c>
      <c r="P854" s="17"/>
      <c r="Q854" s="17"/>
      <c r="R854" s="17"/>
      <c r="S854" s="17">
        <v>0.12</v>
      </c>
      <c r="T854" s="17">
        <v>0.18</v>
      </c>
      <c r="U854" s="20">
        <f t="shared" si="58"/>
        <v>1.5</v>
      </c>
      <c r="V854" s="41">
        <f t="shared" si="61"/>
        <v>50</v>
      </c>
      <c r="W854" s="17"/>
      <c r="X854" s="17" t="s">
        <v>58</v>
      </c>
      <c r="Y854" s="14">
        <v>220</v>
      </c>
      <c r="Z854" s="17" t="s">
        <v>56</v>
      </c>
      <c r="AA854" s="17"/>
      <c r="AB854" s="17" t="s">
        <v>57</v>
      </c>
      <c r="AC854" s="17">
        <v>2013</v>
      </c>
      <c r="AD854" s="17">
        <v>2</v>
      </c>
      <c r="AE854" s="17"/>
      <c r="AF854" s="17"/>
      <c r="AG854" s="17">
        <v>2006</v>
      </c>
      <c r="AH854" s="14">
        <f t="shared" si="59"/>
        <v>7</v>
      </c>
      <c r="AI854" s="17">
        <f t="shared" si="60"/>
        <v>9</v>
      </c>
      <c r="AJ854" s="17"/>
      <c r="AK854" s="17" t="s">
        <v>56</v>
      </c>
      <c r="AL854" s="16" t="s">
        <v>1776</v>
      </c>
      <c r="AM854" s="15">
        <v>2019</v>
      </c>
      <c r="AN854" s="15" t="s">
        <v>343</v>
      </c>
      <c r="AO854" s="15" t="s">
        <v>56</v>
      </c>
      <c r="AP854" s="15"/>
      <c r="AQ854" s="15" t="s">
        <v>56</v>
      </c>
      <c r="AR854" s="15" t="s">
        <v>58</v>
      </c>
      <c r="AS854" s="15" t="s">
        <v>163</v>
      </c>
      <c r="AT854" s="15"/>
      <c r="AU854" s="45" t="s">
        <v>1777</v>
      </c>
      <c r="AV854" s="15"/>
      <c r="AW854" s="12" t="str">
        <f>B854&amp;C854&amp;L854&amp;M854&amp;O854&amp;U854&amp;AL854&amp;AM854</f>
        <v>Costa RicaSanta Rosa National Park, Camaronal National Wildlife Refuge, Caletas Ario National Wildlife Refuge, Curu National Wildlife RefugeArothron hispidusbiomassden1.5Beita-Jimenez2019</v>
      </c>
    </row>
    <row r="855" spans="1:49" ht="14.25" customHeight="1" x14ac:dyDescent="0.35">
      <c r="A855" s="12">
        <v>854</v>
      </c>
      <c r="B855" s="12" t="s">
        <v>633</v>
      </c>
      <c r="C855" s="15" t="s">
        <v>1773</v>
      </c>
      <c r="D855" s="15" t="s">
        <v>1773</v>
      </c>
      <c r="E855" s="15" t="s">
        <v>171</v>
      </c>
      <c r="F855" s="16" t="s">
        <v>50</v>
      </c>
      <c r="G855" s="16" t="s">
        <v>51</v>
      </c>
      <c r="H855" s="16" t="s">
        <v>78</v>
      </c>
      <c r="I855" s="16" t="s">
        <v>156</v>
      </c>
      <c r="J855" s="14">
        <v>250</v>
      </c>
      <c r="K855" s="17"/>
      <c r="L855" s="17" t="s">
        <v>1837</v>
      </c>
      <c r="M855" s="17"/>
      <c r="N855" s="14" t="s">
        <v>85</v>
      </c>
      <c r="O855" s="17" t="s">
        <v>70</v>
      </c>
      <c r="P855" s="17"/>
      <c r="Q855" s="17"/>
      <c r="R855" s="17"/>
      <c r="S855" s="17">
        <v>0.17</v>
      </c>
      <c r="T855" s="17">
        <v>0.12</v>
      </c>
      <c r="U855" s="20">
        <f t="shared" si="58"/>
        <v>0.70588235294117641</v>
      </c>
      <c r="V855" s="41">
        <f t="shared" si="61"/>
        <v>-29.411764705882359</v>
      </c>
      <c r="W855" s="17"/>
      <c r="X855" s="17" t="s">
        <v>58</v>
      </c>
      <c r="Y855" s="14">
        <v>220</v>
      </c>
      <c r="Z855" s="17" t="s">
        <v>56</v>
      </c>
      <c r="AA855" s="17"/>
      <c r="AB855" s="17" t="s">
        <v>57</v>
      </c>
      <c r="AC855" s="17">
        <v>2013</v>
      </c>
      <c r="AD855" s="17">
        <v>2</v>
      </c>
      <c r="AE855" s="17"/>
      <c r="AF855" s="17"/>
      <c r="AG855" s="17">
        <v>2006</v>
      </c>
      <c r="AH855" s="14">
        <f t="shared" si="59"/>
        <v>7</v>
      </c>
      <c r="AI855" s="17">
        <f t="shared" si="60"/>
        <v>9</v>
      </c>
      <c r="AJ855" s="17"/>
      <c r="AK855" s="17" t="s">
        <v>56</v>
      </c>
      <c r="AL855" s="16" t="s">
        <v>1776</v>
      </c>
      <c r="AM855" s="15">
        <v>2019</v>
      </c>
      <c r="AN855" s="15" t="s">
        <v>343</v>
      </c>
      <c r="AO855" s="15" t="s">
        <v>56</v>
      </c>
      <c r="AP855" s="15"/>
      <c r="AQ855" s="15" t="s">
        <v>56</v>
      </c>
      <c r="AR855" s="15" t="s">
        <v>58</v>
      </c>
      <c r="AS855" s="15" t="s">
        <v>163</v>
      </c>
      <c r="AT855" s="15"/>
      <c r="AU855" s="45" t="s">
        <v>1777</v>
      </c>
      <c r="AV855" s="15"/>
      <c r="AW855" s="12" t="str">
        <f>B855&amp;C855&amp;L855&amp;M855&amp;O855&amp;U855&amp;AL855&amp;AM855</f>
        <v>Costa RicaSanta Rosa National Park, Camaronal National Wildlife Refuge, Caletas Ario National Wildlife Refuge, Curu National Wildlife RefugeArothron meleagrisbiomassden0.705882352941176Beita-Jimenez2019</v>
      </c>
    </row>
    <row r="856" spans="1:49" ht="14.25" customHeight="1" x14ac:dyDescent="0.35">
      <c r="A856" s="12">
        <v>855</v>
      </c>
      <c r="B856" s="12" t="s">
        <v>633</v>
      </c>
      <c r="C856" s="15" t="s">
        <v>1773</v>
      </c>
      <c r="D856" s="15" t="s">
        <v>1773</v>
      </c>
      <c r="E856" s="15" t="s">
        <v>171</v>
      </c>
      <c r="F856" s="13" t="s">
        <v>50</v>
      </c>
      <c r="G856" s="13" t="s">
        <v>51</v>
      </c>
      <c r="H856" s="16" t="s">
        <v>78</v>
      </c>
      <c r="I856" s="16" t="s">
        <v>156</v>
      </c>
      <c r="J856" s="14">
        <v>250</v>
      </c>
      <c r="K856" s="17"/>
      <c r="L856" s="17" t="s">
        <v>1838</v>
      </c>
      <c r="M856" s="17"/>
      <c r="N856" s="14" t="s">
        <v>85</v>
      </c>
      <c r="O856" s="17" t="s">
        <v>70</v>
      </c>
      <c r="P856" s="17"/>
      <c r="Q856" s="17"/>
      <c r="R856" s="17"/>
      <c r="S856" s="17">
        <v>0</v>
      </c>
      <c r="T856" s="17">
        <v>0</v>
      </c>
      <c r="U856" s="20" t="str">
        <f t="shared" si="58"/>
        <v>N/A</v>
      </c>
      <c r="V856" s="41" t="str">
        <f t="shared" si="61"/>
        <v>N/A</v>
      </c>
      <c r="W856" s="17" t="s">
        <v>1839</v>
      </c>
      <c r="X856" s="17" t="s">
        <v>58</v>
      </c>
      <c r="Y856" s="14">
        <v>220</v>
      </c>
      <c r="Z856" s="17" t="s">
        <v>56</v>
      </c>
      <c r="AA856" s="17"/>
      <c r="AB856" s="17" t="s">
        <v>57</v>
      </c>
      <c r="AC856" s="17">
        <v>2013</v>
      </c>
      <c r="AD856" s="17">
        <v>2</v>
      </c>
      <c r="AE856" s="17"/>
      <c r="AF856" s="17"/>
      <c r="AG856" s="17">
        <v>2006</v>
      </c>
      <c r="AH856" s="14">
        <f t="shared" si="59"/>
        <v>7</v>
      </c>
      <c r="AI856" s="17">
        <f t="shared" si="60"/>
        <v>9</v>
      </c>
      <c r="AJ856" s="17"/>
      <c r="AK856" s="17" t="s">
        <v>56</v>
      </c>
      <c r="AL856" s="16" t="s">
        <v>1776</v>
      </c>
      <c r="AM856" s="15">
        <v>2019</v>
      </c>
      <c r="AN856" s="15" t="s">
        <v>343</v>
      </c>
      <c r="AO856" s="15" t="s">
        <v>56</v>
      </c>
      <c r="AP856" s="15"/>
      <c r="AQ856" s="15" t="s">
        <v>56</v>
      </c>
      <c r="AR856" s="15" t="s">
        <v>58</v>
      </c>
      <c r="AS856" s="15" t="s">
        <v>163</v>
      </c>
      <c r="AT856" s="15"/>
      <c r="AU856" s="45" t="s">
        <v>1777</v>
      </c>
      <c r="AV856" s="15"/>
      <c r="AW856" s="12" t="str">
        <f>B856&amp;C856&amp;L856&amp;M856&amp;O856&amp;U856&amp;AL856&amp;AM856</f>
        <v>Costa RicaSanta Rosa National Park, Camaronal National Wildlife Refuge, Caletas Ario National Wildlife Refuge, Curu National Wildlife RefugeCanthigaster punctatissimabiomassdenN/ABeita-Jimenez2019</v>
      </c>
    </row>
    <row r="857" spans="1:49" ht="14.25" customHeight="1" x14ac:dyDescent="0.35">
      <c r="A857" s="12">
        <v>856</v>
      </c>
      <c r="B857" s="12" t="s">
        <v>633</v>
      </c>
      <c r="C857" s="12" t="s">
        <v>1773</v>
      </c>
      <c r="D857" s="12" t="s">
        <v>1773</v>
      </c>
      <c r="E857" s="12" t="s">
        <v>171</v>
      </c>
      <c r="F857" s="13" t="s">
        <v>50</v>
      </c>
      <c r="G857" s="13" t="s">
        <v>51</v>
      </c>
      <c r="H857" s="13" t="s">
        <v>78</v>
      </c>
      <c r="I857" s="13" t="s">
        <v>156</v>
      </c>
      <c r="J857" s="14">
        <v>250</v>
      </c>
      <c r="K857" s="17"/>
      <c r="L857" s="14" t="s">
        <v>1840</v>
      </c>
      <c r="M857" s="14"/>
      <c r="N857" s="14" t="s">
        <v>85</v>
      </c>
      <c r="O857" s="17" t="s">
        <v>70</v>
      </c>
      <c r="P857" s="14"/>
      <c r="Q857" s="14"/>
      <c r="R857" s="14"/>
      <c r="S857" s="14">
        <v>0.04</v>
      </c>
      <c r="T857" s="14">
        <v>7.0000000000000007E-2</v>
      </c>
      <c r="U857" s="19">
        <f t="shared" si="58"/>
        <v>1.7500000000000002</v>
      </c>
      <c r="V857" s="41">
        <f t="shared" si="61"/>
        <v>75.000000000000028</v>
      </c>
      <c r="W857" s="14"/>
      <c r="X857" s="14" t="s">
        <v>58</v>
      </c>
      <c r="Y857" s="14">
        <v>220</v>
      </c>
      <c r="Z857" s="14" t="s">
        <v>56</v>
      </c>
      <c r="AA857" s="14"/>
      <c r="AB857" s="14" t="s">
        <v>57</v>
      </c>
      <c r="AC857" s="14">
        <v>2013</v>
      </c>
      <c r="AD857" s="14">
        <v>2</v>
      </c>
      <c r="AE857" s="14"/>
      <c r="AF857" s="14"/>
      <c r="AG857" s="14">
        <v>2006</v>
      </c>
      <c r="AH857" s="14">
        <f t="shared" si="59"/>
        <v>7</v>
      </c>
      <c r="AI857" s="17">
        <f t="shared" si="60"/>
        <v>9</v>
      </c>
      <c r="AJ857" s="14"/>
      <c r="AK857" s="14" t="s">
        <v>56</v>
      </c>
      <c r="AL857" s="13" t="s">
        <v>1776</v>
      </c>
      <c r="AM857" s="12">
        <v>2019</v>
      </c>
      <c r="AN857" s="12" t="s">
        <v>343</v>
      </c>
      <c r="AO857" s="12" t="s">
        <v>56</v>
      </c>
      <c r="AP857" s="12"/>
      <c r="AQ857" s="12" t="s">
        <v>56</v>
      </c>
      <c r="AR857" s="12" t="s">
        <v>58</v>
      </c>
      <c r="AS857" s="12" t="s">
        <v>163</v>
      </c>
      <c r="AT857" s="12"/>
      <c r="AU857" s="45" t="s">
        <v>1777</v>
      </c>
      <c r="AV857" s="15"/>
      <c r="AW857" s="12" t="str">
        <f>B857&amp;C857&amp;L857&amp;M857&amp;O857&amp;U857&amp;AL857&amp;AM857</f>
        <v>Costa RicaSanta Rosa National Park, Camaronal National Wildlife Refuge, Caletas Ario National Wildlife Refuge, Curu National Wildlife RefugeSphoeroides lobatusbiomassden1.75Beita-Jimenez2019</v>
      </c>
    </row>
    <row r="858" spans="1:49" ht="14.25" customHeight="1" x14ac:dyDescent="0.35">
      <c r="A858" s="12">
        <v>857</v>
      </c>
      <c r="B858" s="12" t="s">
        <v>271</v>
      </c>
      <c r="C858" s="12" t="s">
        <v>272</v>
      </c>
      <c r="D858" s="12" t="s">
        <v>272</v>
      </c>
      <c r="E858" s="12" t="s">
        <v>273</v>
      </c>
      <c r="F858" s="13" t="s">
        <v>274</v>
      </c>
      <c r="G858" s="13" t="s">
        <v>51</v>
      </c>
      <c r="H858" s="13" t="s">
        <v>275</v>
      </c>
      <c r="I858" s="13" t="s">
        <v>53</v>
      </c>
      <c r="J858" s="14">
        <v>36</v>
      </c>
      <c r="K858" s="17"/>
      <c r="L858" s="14" t="s">
        <v>276</v>
      </c>
      <c r="M858" s="14" t="s">
        <v>277</v>
      </c>
      <c r="N858" s="14" t="s">
        <v>85</v>
      </c>
      <c r="O858" s="17" t="s">
        <v>70</v>
      </c>
      <c r="P858" s="14"/>
      <c r="Q858" s="14"/>
      <c r="R858" s="14"/>
      <c r="S858" s="14">
        <f>AVERAGE(2.03,1.46,2.03,1.49)</f>
        <v>1.7524999999999999</v>
      </c>
      <c r="T858" s="14">
        <v>4.95</v>
      </c>
      <c r="U858" s="19">
        <f t="shared" si="58"/>
        <v>2.8245363766048506</v>
      </c>
      <c r="V858" s="41">
        <f t="shared" si="61"/>
        <v>182.45363766048507</v>
      </c>
      <c r="W858" s="14"/>
      <c r="X858" s="14" t="s">
        <v>56</v>
      </c>
      <c r="Z858" s="14" t="s">
        <v>56</v>
      </c>
      <c r="AA858" s="14"/>
      <c r="AB858" s="14" t="s">
        <v>57</v>
      </c>
      <c r="AC858" s="14">
        <v>2013</v>
      </c>
      <c r="AD858" s="14"/>
      <c r="AE858" s="14">
        <v>1</v>
      </c>
      <c r="AF858" s="14"/>
      <c r="AG858" s="14">
        <v>2000</v>
      </c>
      <c r="AH858" s="14">
        <f t="shared" si="59"/>
        <v>13</v>
      </c>
      <c r="AI858" s="17">
        <f t="shared" si="60"/>
        <v>13.083333333333334</v>
      </c>
      <c r="AJ858" s="14"/>
      <c r="AK858" s="14" t="s">
        <v>56</v>
      </c>
      <c r="AL858" s="13" t="s">
        <v>278</v>
      </c>
      <c r="AM858" s="12">
        <v>2019</v>
      </c>
      <c r="AN858" s="12" t="s">
        <v>279</v>
      </c>
      <c r="AO858" s="12" t="s">
        <v>56</v>
      </c>
      <c r="AP858" s="12"/>
      <c r="AQ858" s="12" t="s">
        <v>56</v>
      </c>
      <c r="AR858" s="12" t="s">
        <v>58</v>
      </c>
      <c r="AS858" s="12" t="s">
        <v>163</v>
      </c>
      <c r="AT858" s="12"/>
      <c r="AU858" s="45" t="s">
        <v>2860</v>
      </c>
      <c r="AV858" s="15"/>
      <c r="AW858" s="12" t="str">
        <f>B858&amp;C858&amp;L858&amp;M858&amp;O858&amp;U858&amp;AL858&amp;AM858</f>
        <v>SwedenÅsvikelandet-KvädöPerca fluviatilisPerchbiomassden2.82453637660485Bergstrom2019</v>
      </c>
    </row>
    <row r="859" spans="1:49" ht="14.25" customHeight="1" x14ac:dyDescent="0.35">
      <c r="A859" s="12">
        <v>858</v>
      </c>
      <c r="B859" s="15" t="s">
        <v>271</v>
      </c>
      <c r="C859" s="15" t="s">
        <v>272</v>
      </c>
      <c r="D859" s="15" t="s">
        <v>272</v>
      </c>
      <c r="E859" s="15" t="s">
        <v>273</v>
      </c>
      <c r="F859" s="13" t="s">
        <v>274</v>
      </c>
      <c r="G859" s="13" t="s">
        <v>51</v>
      </c>
      <c r="H859" s="16" t="s">
        <v>275</v>
      </c>
      <c r="I859" s="16" t="s">
        <v>53</v>
      </c>
      <c r="J859" s="14">
        <v>36</v>
      </c>
      <c r="K859" s="17"/>
      <c r="L859" s="17" t="s">
        <v>280</v>
      </c>
      <c r="M859" s="17" t="s">
        <v>281</v>
      </c>
      <c r="N859" s="14" t="s">
        <v>85</v>
      </c>
      <c r="O859" s="17" t="s">
        <v>70</v>
      </c>
      <c r="P859" s="17"/>
      <c r="Q859" s="17"/>
      <c r="R859" s="17"/>
      <c r="S859" s="17">
        <f>AVERAGE(0.19,0,0.46,0.21)</f>
        <v>0.215</v>
      </c>
      <c r="T859" s="17">
        <v>0.02</v>
      </c>
      <c r="U859" s="20">
        <f t="shared" si="58"/>
        <v>9.3023255813953487E-2</v>
      </c>
      <c r="V859" s="41">
        <f t="shared" si="61"/>
        <v>-90.697674418604663</v>
      </c>
      <c r="W859" s="17"/>
      <c r="X859" s="17" t="s">
        <v>56</v>
      </c>
      <c r="Z859" s="17" t="s">
        <v>56</v>
      </c>
      <c r="AA859" s="17"/>
      <c r="AB859" s="17" t="s">
        <v>57</v>
      </c>
      <c r="AC859" s="17">
        <v>2013</v>
      </c>
      <c r="AD859" s="17"/>
      <c r="AE859" s="17">
        <v>1</v>
      </c>
      <c r="AF859" s="17"/>
      <c r="AG859" s="17">
        <v>2000</v>
      </c>
      <c r="AH859" s="14">
        <f t="shared" si="59"/>
        <v>13</v>
      </c>
      <c r="AI859" s="17">
        <f t="shared" si="60"/>
        <v>13.083333333333334</v>
      </c>
      <c r="AJ859" s="17"/>
      <c r="AK859" s="17" t="s">
        <v>56</v>
      </c>
      <c r="AL859" s="16" t="s">
        <v>278</v>
      </c>
      <c r="AM859" s="15">
        <v>2019</v>
      </c>
      <c r="AN859" s="15" t="s">
        <v>279</v>
      </c>
      <c r="AO859" s="15" t="s">
        <v>56</v>
      </c>
      <c r="AP859" s="15"/>
      <c r="AQ859" s="15" t="s">
        <v>56</v>
      </c>
      <c r="AR859" s="15" t="s">
        <v>58</v>
      </c>
      <c r="AS859" s="15" t="s">
        <v>163</v>
      </c>
      <c r="AT859" s="15"/>
      <c r="AU859" s="45" t="s">
        <v>2860</v>
      </c>
      <c r="AV859" s="15"/>
      <c r="AW859" s="12" t="str">
        <f>B859&amp;C859&amp;L859&amp;M859&amp;O859&amp;U859&amp;AL859&amp;AM859</f>
        <v>SwedenÅsvikelandet-KvädöSander luciopercaPikeperchbiomassden0.0930232558139535Bergstrom2019</v>
      </c>
    </row>
    <row r="860" spans="1:49" ht="14.25" customHeight="1" x14ac:dyDescent="0.35">
      <c r="A860" s="12">
        <v>859</v>
      </c>
      <c r="B860" s="15" t="s">
        <v>271</v>
      </c>
      <c r="C860" s="15" t="s">
        <v>272</v>
      </c>
      <c r="D860" s="15" t="s">
        <v>272</v>
      </c>
      <c r="E860" s="15" t="s">
        <v>273</v>
      </c>
      <c r="F860" s="13" t="s">
        <v>274</v>
      </c>
      <c r="G860" s="13" t="s">
        <v>51</v>
      </c>
      <c r="H860" s="16" t="s">
        <v>275</v>
      </c>
      <c r="I860" s="16" t="s">
        <v>53</v>
      </c>
      <c r="J860" s="14">
        <v>36</v>
      </c>
      <c r="K860" s="17"/>
      <c r="L860" s="17" t="s">
        <v>282</v>
      </c>
      <c r="M860" s="17" t="s">
        <v>283</v>
      </c>
      <c r="N860" s="17" t="s">
        <v>85</v>
      </c>
      <c r="O860" s="17" t="s">
        <v>70</v>
      </c>
      <c r="P860" s="17"/>
      <c r="Q860" s="17"/>
      <c r="R860" s="17"/>
      <c r="S860" s="17">
        <f>AVERAGE(0.02,0,0.02,0.4)</f>
        <v>0.11</v>
      </c>
      <c r="T860" s="17">
        <v>0.1</v>
      </c>
      <c r="U860" s="20">
        <f t="shared" si="58"/>
        <v>0.90909090909090917</v>
      </c>
      <c r="V860" s="41">
        <f t="shared" si="61"/>
        <v>-9.0909090909090828</v>
      </c>
      <c r="W860" s="17"/>
      <c r="X860" s="17" t="s">
        <v>56</v>
      </c>
      <c r="Z860" s="17" t="s">
        <v>56</v>
      </c>
      <c r="AA860" s="17"/>
      <c r="AB860" s="17" t="s">
        <v>57</v>
      </c>
      <c r="AC860" s="17">
        <v>2013</v>
      </c>
      <c r="AD860" s="17"/>
      <c r="AE860" s="17">
        <v>1</v>
      </c>
      <c r="AF860" s="17"/>
      <c r="AG860" s="17">
        <v>2000</v>
      </c>
      <c r="AH860" s="14">
        <f t="shared" si="59"/>
        <v>13</v>
      </c>
      <c r="AI860" s="17">
        <f t="shared" si="60"/>
        <v>13.083333333333334</v>
      </c>
      <c r="AJ860" s="17"/>
      <c r="AK860" s="17" t="s">
        <v>56</v>
      </c>
      <c r="AL860" s="16" t="s">
        <v>278</v>
      </c>
      <c r="AM860" s="15">
        <v>2019</v>
      </c>
      <c r="AN860" s="15" t="s">
        <v>279</v>
      </c>
      <c r="AO860" s="15" t="s">
        <v>56</v>
      </c>
      <c r="AP860" s="15"/>
      <c r="AQ860" s="15" t="s">
        <v>56</v>
      </c>
      <c r="AR860" s="15" t="s">
        <v>58</v>
      </c>
      <c r="AS860" s="15" t="s">
        <v>163</v>
      </c>
      <c r="AT860" s="15"/>
      <c r="AU860" s="45" t="s">
        <v>2860</v>
      </c>
      <c r="AV860" s="15"/>
      <c r="AW860" s="12" t="str">
        <f>B860&amp;C860&amp;L860&amp;M860&amp;O860&amp;U860&amp;AL860&amp;AM860</f>
        <v>SwedenÅsvikelandet-KvädöEsox luciusPikebiomassden0.909090909090909Bergstrom2019</v>
      </c>
    </row>
    <row r="861" spans="1:49" ht="14.25" customHeight="1" x14ac:dyDescent="0.35">
      <c r="A861" s="12">
        <v>860</v>
      </c>
      <c r="B861" s="12" t="s">
        <v>271</v>
      </c>
      <c r="C861" s="12" t="s">
        <v>272</v>
      </c>
      <c r="D861" s="15" t="s">
        <v>272</v>
      </c>
      <c r="E861" s="12" t="s">
        <v>273</v>
      </c>
      <c r="F861" s="13" t="s">
        <v>274</v>
      </c>
      <c r="G861" s="13" t="s">
        <v>51</v>
      </c>
      <c r="H861" s="13" t="s">
        <v>275</v>
      </c>
      <c r="I861" s="13" t="s">
        <v>53</v>
      </c>
      <c r="J861" s="14">
        <v>36</v>
      </c>
      <c r="K861" s="17"/>
      <c r="L861" s="14" t="s">
        <v>284</v>
      </c>
      <c r="M861" s="14" t="s">
        <v>285</v>
      </c>
      <c r="N861" s="14" t="s">
        <v>170</v>
      </c>
      <c r="O861" s="14" t="s">
        <v>70</v>
      </c>
      <c r="P861" s="14"/>
      <c r="Q861" s="14"/>
      <c r="R861" s="14"/>
      <c r="S861" s="14">
        <f>AVERAGE(1.21,2.27,1.7,1.56)</f>
        <v>1.6850000000000001</v>
      </c>
      <c r="T861" s="14">
        <v>0.84</v>
      </c>
      <c r="U861" s="19">
        <f t="shared" si="58"/>
        <v>0.4985163204747774</v>
      </c>
      <c r="V861" s="41">
        <f t="shared" si="61"/>
        <v>-50.148367952522264</v>
      </c>
      <c r="W861" s="14"/>
      <c r="X861" s="14" t="s">
        <v>56</v>
      </c>
      <c r="Z861" s="14" t="s">
        <v>56</v>
      </c>
      <c r="AA861" s="14"/>
      <c r="AB861" s="14" t="s">
        <v>57</v>
      </c>
      <c r="AC861" s="14">
        <v>2013</v>
      </c>
      <c r="AD861" s="14"/>
      <c r="AE861" s="14">
        <v>1</v>
      </c>
      <c r="AF861" s="14"/>
      <c r="AG861" s="14">
        <v>2000</v>
      </c>
      <c r="AH861" s="14">
        <f t="shared" si="59"/>
        <v>13</v>
      </c>
      <c r="AI861" s="17">
        <f t="shared" si="60"/>
        <v>13.083333333333334</v>
      </c>
      <c r="AJ861" s="14"/>
      <c r="AK861" s="14" t="s">
        <v>56</v>
      </c>
      <c r="AL861" s="13" t="s">
        <v>278</v>
      </c>
      <c r="AM861" s="12">
        <v>2019</v>
      </c>
      <c r="AN861" s="12" t="s">
        <v>279</v>
      </c>
      <c r="AO861" s="12" t="s">
        <v>56</v>
      </c>
      <c r="AP861" s="12"/>
      <c r="AQ861" s="12" t="s">
        <v>56</v>
      </c>
      <c r="AR861" s="12" t="s">
        <v>58</v>
      </c>
      <c r="AS861" s="12" t="s">
        <v>163</v>
      </c>
      <c r="AT861" s="12"/>
      <c r="AU861" s="45" t="s">
        <v>2860</v>
      </c>
      <c r="AV861" s="15"/>
      <c r="AW861" s="12" t="str">
        <f>B861&amp;C861&amp;L861&amp;M861&amp;O861&amp;U861&amp;AL861&amp;AM861</f>
        <v>SwedenÅsvikelandet-KvädöCyprinidaeCyprinidsbiomassden0.498516320474777Bergstrom2019</v>
      </c>
    </row>
    <row r="862" spans="1:49" ht="14.25" customHeight="1" x14ac:dyDescent="0.35">
      <c r="A862" s="12">
        <v>861</v>
      </c>
      <c r="B862" s="12" t="s">
        <v>271</v>
      </c>
      <c r="C862" s="12" t="s">
        <v>272</v>
      </c>
      <c r="D862" s="15" t="s">
        <v>272</v>
      </c>
      <c r="E862" s="12" t="s">
        <v>273</v>
      </c>
      <c r="F862" s="13" t="s">
        <v>274</v>
      </c>
      <c r="G862" s="13" t="s">
        <v>51</v>
      </c>
      <c r="H862" s="13" t="s">
        <v>275</v>
      </c>
      <c r="I862" s="13" t="s">
        <v>53</v>
      </c>
      <c r="J862" s="14">
        <v>36</v>
      </c>
      <c r="K862" s="17"/>
      <c r="L862" s="14"/>
      <c r="M862" s="14" t="s">
        <v>286</v>
      </c>
      <c r="N862" s="14" t="s">
        <v>98</v>
      </c>
      <c r="O862" s="14" t="s">
        <v>70</v>
      </c>
      <c r="P862" s="14"/>
      <c r="Q862" s="14"/>
      <c r="R862" s="14"/>
      <c r="S862" s="14">
        <f>AVERAGE(0.15,0.69,0.19,0.28)</f>
        <v>0.32750000000000001</v>
      </c>
      <c r="T862" s="14">
        <v>0.43</v>
      </c>
      <c r="U862" s="19">
        <f t="shared" si="58"/>
        <v>1.3129770992366412</v>
      </c>
      <c r="V862" s="41">
        <f t="shared" si="61"/>
        <v>31.297709923664119</v>
      </c>
      <c r="W862" s="14"/>
      <c r="X862" s="14" t="s">
        <v>56</v>
      </c>
      <c r="Z862" s="14" t="s">
        <v>56</v>
      </c>
      <c r="AA862" s="14"/>
      <c r="AB862" s="14" t="s">
        <v>57</v>
      </c>
      <c r="AC862" s="14">
        <v>2013</v>
      </c>
      <c r="AD862" s="14"/>
      <c r="AE862" s="14">
        <v>1</v>
      </c>
      <c r="AF862" s="14"/>
      <c r="AG862" s="14">
        <v>2000</v>
      </c>
      <c r="AH862" s="14">
        <f t="shared" si="59"/>
        <v>13</v>
      </c>
      <c r="AI862" s="17">
        <f t="shared" si="60"/>
        <v>13.083333333333334</v>
      </c>
      <c r="AJ862" s="14"/>
      <c r="AK862" s="14" t="s">
        <v>56</v>
      </c>
      <c r="AL862" s="13" t="s">
        <v>278</v>
      </c>
      <c r="AM862" s="12">
        <v>2019</v>
      </c>
      <c r="AN862" s="12" t="s">
        <v>279</v>
      </c>
      <c r="AO862" s="12" t="s">
        <v>56</v>
      </c>
      <c r="AP862" s="12"/>
      <c r="AQ862" s="12" t="s">
        <v>56</v>
      </c>
      <c r="AR862" s="12" t="s">
        <v>58</v>
      </c>
      <c r="AS862" s="12" t="s">
        <v>163</v>
      </c>
      <c r="AT862" s="12"/>
      <c r="AU862" s="45" t="s">
        <v>2860</v>
      </c>
      <c r="AV862" s="15"/>
      <c r="AW862" s="12" t="str">
        <f>B862&amp;C862&amp;L862&amp;M862&amp;O862&amp;U862&amp;AL862&amp;AM862</f>
        <v>SwedenÅsvikelandet-Kvädönon-piscivoresbiomassden1.31297709923664Bergstrom2019</v>
      </c>
    </row>
    <row r="863" spans="1:49" ht="14.25" customHeight="1" x14ac:dyDescent="0.35">
      <c r="A863" s="12">
        <v>862</v>
      </c>
      <c r="B863" s="15" t="s">
        <v>1527</v>
      </c>
      <c r="C863" s="43" t="s">
        <v>1654</v>
      </c>
      <c r="D863" s="43" t="s">
        <v>1654</v>
      </c>
      <c r="E863" s="15" t="s">
        <v>171</v>
      </c>
      <c r="F863" s="13" t="s">
        <v>50</v>
      </c>
      <c r="G863" s="13" t="s">
        <v>51</v>
      </c>
      <c r="H863" s="16" t="s">
        <v>481</v>
      </c>
      <c r="I863" s="16" t="s">
        <v>156</v>
      </c>
      <c r="J863" s="14">
        <v>0.18</v>
      </c>
      <c r="K863" s="17"/>
      <c r="L863" s="17" t="s">
        <v>1655</v>
      </c>
      <c r="M863" s="17"/>
      <c r="N863" s="14" t="s">
        <v>85</v>
      </c>
      <c r="O863" s="17" t="s">
        <v>86</v>
      </c>
      <c r="P863" s="17"/>
      <c r="Q863" s="17"/>
      <c r="R863" s="17"/>
      <c r="S863" s="17">
        <v>8893327.0676691514</v>
      </c>
      <c r="T863" s="17">
        <v>493421.05263157847</v>
      </c>
      <c r="U863" s="20">
        <f t="shared" si="58"/>
        <v>5.548216644649942E-2</v>
      </c>
      <c r="V863" s="41">
        <f t="shared" si="61"/>
        <v>-94.451783355350059</v>
      </c>
      <c r="W863" s="17"/>
      <c r="X863" s="17" t="s">
        <v>56</v>
      </c>
      <c r="Z863" s="17" t="s">
        <v>56</v>
      </c>
      <c r="AA863" s="17"/>
      <c r="AB863" s="17" t="s">
        <v>57</v>
      </c>
      <c r="AC863" s="17">
        <v>2016</v>
      </c>
      <c r="AD863" s="17"/>
      <c r="AE863" s="17">
        <v>3</v>
      </c>
      <c r="AF863" s="17"/>
      <c r="AG863" s="17">
        <v>1998</v>
      </c>
      <c r="AH863" s="14">
        <f t="shared" si="59"/>
        <v>18</v>
      </c>
      <c r="AI863" s="17">
        <f t="shared" si="60"/>
        <v>18.25</v>
      </c>
      <c r="AJ863" s="17"/>
      <c r="AK863" s="17" t="s">
        <v>56</v>
      </c>
      <c r="AL863" s="16" t="s">
        <v>1656</v>
      </c>
      <c r="AM863" s="15">
        <v>2020</v>
      </c>
      <c r="AN863" s="15" t="s">
        <v>343</v>
      </c>
      <c r="AO863" s="15" t="s">
        <v>56</v>
      </c>
      <c r="AP863" s="15"/>
      <c r="AQ863" s="15" t="s">
        <v>56</v>
      </c>
      <c r="AR863" s="15" t="s">
        <v>58</v>
      </c>
      <c r="AS863" s="15" t="s">
        <v>163</v>
      </c>
      <c r="AT863" s="15"/>
      <c r="AU863" s="45"/>
      <c r="AV863" s="15"/>
      <c r="AW863" s="12" t="str">
        <f>B863&amp;C863&amp;L863&amp;M863&amp;O863&amp;U863&amp;AL863&amp;AM863</f>
        <v>ItalyPortofino Marine Protected AreaParamuricea clavatadensity0.0554821664464994Betti 2020</v>
      </c>
    </row>
    <row r="864" spans="1:49" ht="14.25" customHeight="1" x14ac:dyDescent="0.35">
      <c r="A864" s="12">
        <v>863</v>
      </c>
      <c r="B864" s="15" t="s">
        <v>1527</v>
      </c>
      <c r="C864" s="43" t="s">
        <v>1654</v>
      </c>
      <c r="D864" s="43" t="s">
        <v>1654</v>
      </c>
      <c r="E864" s="15" t="s">
        <v>171</v>
      </c>
      <c r="F864" s="13" t="s">
        <v>50</v>
      </c>
      <c r="G864" s="13" t="s">
        <v>51</v>
      </c>
      <c r="H864" s="16" t="s">
        <v>481</v>
      </c>
      <c r="I864" s="16" t="s">
        <v>156</v>
      </c>
      <c r="J864" s="14">
        <v>0.18</v>
      </c>
      <c r="K864" s="17"/>
      <c r="L864" s="17" t="s">
        <v>1657</v>
      </c>
      <c r="M864" s="17"/>
      <c r="N864" s="14" t="s">
        <v>85</v>
      </c>
      <c r="O864" s="17" t="s">
        <v>86</v>
      </c>
      <c r="P864" s="17"/>
      <c r="Q864" s="17"/>
      <c r="R864" s="17"/>
      <c r="S864" s="17">
        <v>3336466.1654135282</v>
      </c>
      <c r="T864" s="17">
        <v>7401315.7894736798</v>
      </c>
      <c r="U864" s="20">
        <f t="shared" si="58"/>
        <v>2.2183098591549322</v>
      </c>
      <c r="V864" s="41">
        <f t="shared" si="61"/>
        <v>121.83098591549322</v>
      </c>
      <c r="W864" s="17"/>
      <c r="X864" s="17" t="s">
        <v>56</v>
      </c>
      <c r="Z864" s="17" t="s">
        <v>56</v>
      </c>
      <c r="AA864" s="17"/>
      <c r="AB864" s="17" t="s">
        <v>57</v>
      </c>
      <c r="AC864" s="17">
        <v>2016</v>
      </c>
      <c r="AD864" s="17"/>
      <c r="AE864" s="17">
        <v>3</v>
      </c>
      <c r="AF864" s="17"/>
      <c r="AG864" s="17">
        <v>1998</v>
      </c>
      <c r="AH864" s="14">
        <f t="shared" si="59"/>
        <v>18</v>
      </c>
      <c r="AI864" s="17">
        <f t="shared" si="60"/>
        <v>18.25</v>
      </c>
      <c r="AJ864" s="17"/>
      <c r="AK864" s="17" t="s">
        <v>56</v>
      </c>
      <c r="AL864" s="16" t="s">
        <v>1656</v>
      </c>
      <c r="AM864" s="15">
        <v>2020</v>
      </c>
      <c r="AN864" s="15" t="s">
        <v>343</v>
      </c>
      <c r="AO864" s="15" t="s">
        <v>56</v>
      </c>
      <c r="AP864" s="15"/>
      <c r="AQ864" s="15" t="s">
        <v>56</v>
      </c>
      <c r="AR864" s="15" t="s">
        <v>58</v>
      </c>
      <c r="AS864" s="15" t="s">
        <v>163</v>
      </c>
      <c r="AT864" s="15"/>
      <c r="AU864" s="45"/>
      <c r="AV864" s="15"/>
      <c r="AW864" s="12" t="str">
        <f>B864&amp;C864&amp;L864&amp;M864&amp;O864&amp;U864&amp;AL864&amp;AM864</f>
        <v>ItalyPortofino Marine Protected AreaEunicella cavolinidensity2.21830985915493Betti 2020</v>
      </c>
    </row>
    <row r="865" spans="1:49" ht="14.25" customHeight="1" x14ac:dyDescent="0.35">
      <c r="A865" s="12">
        <v>864</v>
      </c>
      <c r="B865" s="12" t="s">
        <v>1527</v>
      </c>
      <c r="C865" s="44" t="s">
        <v>1654</v>
      </c>
      <c r="D865" s="44" t="s">
        <v>1654</v>
      </c>
      <c r="E865" s="12" t="s">
        <v>171</v>
      </c>
      <c r="F865" s="13" t="s">
        <v>50</v>
      </c>
      <c r="G865" s="13" t="s">
        <v>51</v>
      </c>
      <c r="H865" s="13" t="s">
        <v>481</v>
      </c>
      <c r="I865" s="13" t="s">
        <v>156</v>
      </c>
      <c r="J865" s="14">
        <v>0.18</v>
      </c>
      <c r="K865" s="17"/>
      <c r="L865" s="14" t="s">
        <v>1655</v>
      </c>
      <c r="M865" s="14"/>
      <c r="N865" s="14" t="s">
        <v>85</v>
      </c>
      <c r="O865" s="17" t="s">
        <v>104</v>
      </c>
      <c r="P865" s="14" t="s">
        <v>1658</v>
      </c>
      <c r="Q865" s="14"/>
      <c r="R865" s="14"/>
      <c r="S865" s="14">
        <v>32179549.902152594</v>
      </c>
      <c r="T865" s="14">
        <v>10445205.479452049</v>
      </c>
      <c r="U865" s="19">
        <f t="shared" si="58"/>
        <v>0.32459141011022458</v>
      </c>
      <c r="V865" s="41">
        <f t="shared" si="61"/>
        <v>-67.540858988977547</v>
      </c>
      <c r="W865" s="14"/>
      <c r="X865" s="14" t="s">
        <v>56</v>
      </c>
      <c r="Z865" s="14" t="s">
        <v>56</v>
      </c>
      <c r="AA865" s="14"/>
      <c r="AB865" s="14" t="s">
        <v>57</v>
      </c>
      <c r="AC865" s="14">
        <v>2016</v>
      </c>
      <c r="AD865" s="14"/>
      <c r="AE865" s="14">
        <v>3</v>
      </c>
      <c r="AF865" s="14"/>
      <c r="AG865" s="14">
        <v>1998</v>
      </c>
      <c r="AH865" s="14">
        <f t="shared" si="59"/>
        <v>18</v>
      </c>
      <c r="AI865" s="17">
        <f t="shared" si="60"/>
        <v>18.25</v>
      </c>
      <c r="AJ865" s="14"/>
      <c r="AK865" s="14" t="s">
        <v>56</v>
      </c>
      <c r="AL865" s="13" t="s">
        <v>1656</v>
      </c>
      <c r="AM865" s="12">
        <v>2020</v>
      </c>
      <c r="AN865" s="12" t="s">
        <v>343</v>
      </c>
      <c r="AO865" s="12" t="s">
        <v>56</v>
      </c>
      <c r="AP865" s="12"/>
      <c r="AQ865" s="12" t="s">
        <v>56</v>
      </c>
      <c r="AR865" s="12" t="s">
        <v>58</v>
      </c>
      <c r="AS865" s="12" t="s">
        <v>163</v>
      </c>
      <c r="AT865" s="12"/>
      <c r="AU865" s="45"/>
      <c r="AV865" s="15"/>
      <c r="AW865" s="12" t="str">
        <f>B865&amp;C865&amp;L865&amp;M865&amp;O865&amp;U865&amp;AL865&amp;AM865</f>
        <v>ItalyPortofino Marine Protected AreaParamuricea clavatasize0.324591410110225Betti 2020</v>
      </c>
    </row>
    <row r="866" spans="1:49" ht="14.25" customHeight="1" x14ac:dyDescent="0.35">
      <c r="A866" s="12">
        <v>865</v>
      </c>
      <c r="B866" s="12" t="s">
        <v>1527</v>
      </c>
      <c r="C866" s="44" t="s">
        <v>1654</v>
      </c>
      <c r="D866" s="43" t="s">
        <v>1654</v>
      </c>
      <c r="E866" s="12" t="s">
        <v>171</v>
      </c>
      <c r="F866" s="13" t="s">
        <v>50</v>
      </c>
      <c r="G866" s="13" t="s">
        <v>51</v>
      </c>
      <c r="H866" s="13" t="s">
        <v>481</v>
      </c>
      <c r="I866" s="13" t="s">
        <v>156</v>
      </c>
      <c r="J866" s="14">
        <v>0.18</v>
      </c>
      <c r="K866" s="17"/>
      <c r="L866" s="14" t="s">
        <v>1657</v>
      </c>
      <c r="M866" s="14"/>
      <c r="N866" s="14" t="s">
        <v>85</v>
      </c>
      <c r="O866" s="17" t="s">
        <v>104</v>
      </c>
      <c r="P866" s="14" t="s">
        <v>1658</v>
      </c>
      <c r="Q866" s="14"/>
      <c r="R866" s="14"/>
      <c r="S866" s="14">
        <v>17514677.103718136</v>
      </c>
      <c r="T866" s="14">
        <v>16866438.356164303</v>
      </c>
      <c r="U866" s="19">
        <f t="shared" si="58"/>
        <v>0.96298882681564135</v>
      </c>
      <c r="V866" s="41">
        <f t="shared" si="61"/>
        <v>-3.7011173184358648</v>
      </c>
      <c r="W866" s="14"/>
      <c r="X866" s="14" t="s">
        <v>56</v>
      </c>
      <c r="Z866" s="14" t="s">
        <v>56</v>
      </c>
      <c r="AA866" s="14"/>
      <c r="AB866" s="14" t="s">
        <v>57</v>
      </c>
      <c r="AC866" s="14">
        <v>2016</v>
      </c>
      <c r="AD866" s="14"/>
      <c r="AE866" s="14">
        <v>3</v>
      </c>
      <c r="AF866" s="14"/>
      <c r="AG866" s="14">
        <v>1998</v>
      </c>
      <c r="AH866" s="14">
        <f t="shared" si="59"/>
        <v>18</v>
      </c>
      <c r="AI866" s="17">
        <f t="shared" si="60"/>
        <v>18.25</v>
      </c>
      <c r="AJ866" s="14"/>
      <c r="AK866" s="14" t="s">
        <v>56</v>
      </c>
      <c r="AL866" s="13" t="s">
        <v>1656</v>
      </c>
      <c r="AM866" s="12">
        <v>2020</v>
      </c>
      <c r="AN866" s="12" t="s">
        <v>343</v>
      </c>
      <c r="AO866" s="12" t="s">
        <v>56</v>
      </c>
      <c r="AP866" s="12"/>
      <c r="AQ866" s="12" t="s">
        <v>56</v>
      </c>
      <c r="AR866" s="12" t="s">
        <v>58</v>
      </c>
      <c r="AS866" s="12" t="s">
        <v>163</v>
      </c>
      <c r="AT866" s="12"/>
      <c r="AU866" s="45"/>
      <c r="AV866" s="15"/>
      <c r="AW866" s="12" t="str">
        <f>B866&amp;C866&amp;L866&amp;M866&amp;O866&amp;U866&amp;AL866&amp;AM866</f>
        <v>ItalyPortofino Marine Protected AreaEunicella cavolinisize0.962988826815641Betti 2020</v>
      </c>
    </row>
    <row r="867" spans="1:49" ht="14.25" customHeight="1" x14ac:dyDescent="0.35">
      <c r="A867" s="12">
        <v>866</v>
      </c>
      <c r="B867" s="15" t="s">
        <v>153</v>
      </c>
      <c r="C867" s="15" t="s">
        <v>301</v>
      </c>
      <c r="D867" s="15" t="s">
        <v>301</v>
      </c>
      <c r="E867" s="15" t="s">
        <v>171</v>
      </c>
      <c r="F867" s="13" t="s">
        <v>50</v>
      </c>
      <c r="G867" s="13" t="s">
        <v>51</v>
      </c>
      <c r="H867" s="16" t="s">
        <v>78</v>
      </c>
      <c r="I867" s="16" t="s">
        <v>156</v>
      </c>
      <c r="J867" s="17">
        <v>0.28299999999999997</v>
      </c>
      <c r="K867" s="17"/>
      <c r="L867" s="17" t="s">
        <v>302</v>
      </c>
      <c r="M867" s="17"/>
      <c r="N867" s="14" t="s">
        <v>85</v>
      </c>
      <c r="O867" s="17" t="s">
        <v>86</v>
      </c>
      <c r="P867" s="17"/>
      <c r="Q867" s="17"/>
      <c r="R867" s="17"/>
      <c r="S867" s="17">
        <f>(10+2.6)/2</f>
        <v>6.3</v>
      </c>
      <c r="T867" s="17">
        <f>(14.8+6.2)/2</f>
        <v>10.5</v>
      </c>
      <c r="U867" s="20">
        <f t="shared" si="58"/>
        <v>1.6666666666666667</v>
      </c>
      <c r="V867" s="41">
        <f t="shared" si="61"/>
        <v>66.666666666666671</v>
      </c>
      <c r="W867" s="17"/>
      <c r="X867" s="17" t="s">
        <v>56</v>
      </c>
      <c r="Z867" s="17" t="s">
        <v>56</v>
      </c>
      <c r="AA867" s="17"/>
      <c r="AB867" s="17" t="s">
        <v>57</v>
      </c>
      <c r="AC867" s="17">
        <v>2015</v>
      </c>
      <c r="AD867" s="17">
        <v>0</v>
      </c>
      <c r="AE867" s="17">
        <v>0</v>
      </c>
      <c r="AF867" s="17"/>
      <c r="AG867" s="17">
        <v>1990</v>
      </c>
      <c r="AH867" s="14">
        <f t="shared" si="59"/>
        <v>25</v>
      </c>
      <c r="AI867" s="17">
        <f t="shared" si="60"/>
        <v>25</v>
      </c>
      <c r="AJ867" s="17"/>
      <c r="AK867" s="17" t="s">
        <v>56</v>
      </c>
      <c r="AL867" s="16" t="s">
        <v>303</v>
      </c>
      <c r="AM867" s="15">
        <v>2020</v>
      </c>
      <c r="AN867" s="15" t="s">
        <v>304</v>
      </c>
      <c r="AO867" s="15" t="s">
        <v>56</v>
      </c>
      <c r="AP867" s="15"/>
      <c r="AQ867" s="15" t="s">
        <v>56</v>
      </c>
      <c r="AR867" s="15" t="s">
        <v>58</v>
      </c>
      <c r="AS867" s="15" t="s">
        <v>94</v>
      </c>
      <c r="AT867" s="15"/>
      <c r="AU867" s="45" t="s">
        <v>2809</v>
      </c>
      <c r="AV867" s="15"/>
      <c r="AW867" s="12" t="str">
        <f>B867&amp;C867&amp;L867&amp;M867&amp;O867&amp;U867&amp;AL867&amp;AM867</f>
        <v>PhilippinesBagonbanua Marine Reserve and Fish SanctuaryPorites cylindricadensity1.66666666666667Boco2020</v>
      </c>
    </row>
    <row r="868" spans="1:49" ht="14.25" customHeight="1" x14ac:dyDescent="0.35">
      <c r="A868" s="12">
        <v>867</v>
      </c>
      <c r="B868" s="12" t="s">
        <v>153</v>
      </c>
      <c r="C868" s="12" t="s">
        <v>301</v>
      </c>
      <c r="D868" s="15" t="s">
        <v>301</v>
      </c>
      <c r="E868" s="12" t="s">
        <v>171</v>
      </c>
      <c r="F868" s="13" t="s">
        <v>50</v>
      </c>
      <c r="G868" s="13" t="s">
        <v>51</v>
      </c>
      <c r="H868" s="13" t="s">
        <v>78</v>
      </c>
      <c r="I868" s="13" t="s">
        <v>156</v>
      </c>
      <c r="J868" s="14">
        <v>0.28299999999999997</v>
      </c>
      <c r="K868" s="17"/>
      <c r="L868" s="14" t="s">
        <v>305</v>
      </c>
      <c r="M868" s="14"/>
      <c r="N868" s="14" t="s">
        <v>85</v>
      </c>
      <c r="O868" s="17" t="s">
        <v>86</v>
      </c>
      <c r="P868" s="14"/>
      <c r="Q868" s="14"/>
      <c r="R868" s="14"/>
      <c r="S868" s="14">
        <f>(4.2+1.4)/2</f>
        <v>2.8</v>
      </c>
      <c r="T868" s="14">
        <f>(9+1.8)/2</f>
        <v>5.4</v>
      </c>
      <c r="U868" s="19">
        <f t="shared" si="58"/>
        <v>1.9285714285714288</v>
      </c>
      <c r="V868" s="41">
        <f t="shared" si="61"/>
        <v>92.85714285714289</v>
      </c>
      <c r="W868" s="14"/>
      <c r="X868" s="17" t="s">
        <v>56</v>
      </c>
      <c r="Z868" s="14" t="s">
        <v>56</v>
      </c>
      <c r="AA868" s="14"/>
      <c r="AB868" s="14" t="s">
        <v>57</v>
      </c>
      <c r="AC868" s="14">
        <v>2015</v>
      </c>
      <c r="AD868" s="14">
        <v>0</v>
      </c>
      <c r="AE868" s="14">
        <v>0</v>
      </c>
      <c r="AF868" s="14"/>
      <c r="AG868" s="14">
        <v>1990</v>
      </c>
      <c r="AH868" s="14">
        <f t="shared" si="59"/>
        <v>25</v>
      </c>
      <c r="AI868" s="17">
        <f t="shared" si="60"/>
        <v>25</v>
      </c>
      <c r="AJ868" s="14"/>
      <c r="AK868" s="14" t="s">
        <v>56</v>
      </c>
      <c r="AL868" s="13" t="s">
        <v>303</v>
      </c>
      <c r="AM868" s="12">
        <v>2020</v>
      </c>
      <c r="AN868" s="12" t="s">
        <v>304</v>
      </c>
      <c r="AO868" s="12" t="s">
        <v>56</v>
      </c>
      <c r="AP868" s="12"/>
      <c r="AQ868" s="12" t="s">
        <v>56</v>
      </c>
      <c r="AR868" s="12" t="s">
        <v>58</v>
      </c>
      <c r="AS868" s="12" t="s">
        <v>94</v>
      </c>
      <c r="AT868" s="12"/>
      <c r="AU868" s="45" t="s">
        <v>2809</v>
      </c>
      <c r="AV868" s="15"/>
      <c r="AW868" s="12" t="str">
        <f>B868&amp;C868&amp;L868&amp;M868&amp;O868&amp;U868&amp;AL868&amp;AM868</f>
        <v>PhilippinesBagonbanua Marine Reserve and Fish SanctuaryPorites rusdensity1.92857142857143Boco2020</v>
      </c>
    </row>
    <row r="869" spans="1:49" ht="14.25" customHeight="1" x14ac:dyDescent="0.35">
      <c r="A869" s="12">
        <v>868</v>
      </c>
      <c r="B869" s="12" t="s">
        <v>1183</v>
      </c>
      <c r="C869" s="12" t="s">
        <v>1184</v>
      </c>
      <c r="D869" s="15" t="s">
        <v>1184</v>
      </c>
      <c r="E869" s="12" t="s">
        <v>509</v>
      </c>
      <c r="F869" s="13" t="s">
        <v>274</v>
      </c>
      <c r="G869" s="13" t="s">
        <v>51</v>
      </c>
      <c r="H869" s="13" t="s">
        <v>1219</v>
      </c>
      <c r="I869" s="13" t="s">
        <v>53</v>
      </c>
      <c r="J869" s="14">
        <v>2.67</v>
      </c>
      <c r="K869" s="17"/>
      <c r="L869" s="17" t="s">
        <v>1188</v>
      </c>
      <c r="M869" s="14" t="s">
        <v>1220</v>
      </c>
      <c r="N869" s="14" t="s">
        <v>85</v>
      </c>
      <c r="O869" s="17" t="s">
        <v>86</v>
      </c>
      <c r="P869" s="14"/>
      <c r="Q869" s="14"/>
      <c r="R869" s="14"/>
      <c r="S869" s="14">
        <f>SUM(0.028, 0.0453)/2</f>
        <v>3.6650000000000002E-2</v>
      </c>
      <c r="T869" s="14">
        <v>4.7800000000000002E-2</v>
      </c>
      <c r="U869" s="19">
        <f t="shared" si="58"/>
        <v>1.3042291950886766</v>
      </c>
      <c r="V869" s="41">
        <f t="shared" si="61"/>
        <v>30.422919508867665</v>
      </c>
      <c r="W869" s="14"/>
      <c r="X869" s="17" t="s">
        <v>56</v>
      </c>
      <c r="Z869" s="14" t="s">
        <v>56</v>
      </c>
      <c r="AA869" s="14"/>
      <c r="AB869" s="14" t="s">
        <v>57</v>
      </c>
      <c r="AC869" s="14">
        <v>2009</v>
      </c>
      <c r="AD869" s="14">
        <v>5</v>
      </c>
      <c r="AE869" s="14"/>
      <c r="AF869" s="14"/>
      <c r="AG869" s="14">
        <v>2008</v>
      </c>
      <c r="AH869" s="14">
        <f t="shared" si="59"/>
        <v>1</v>
      </c>
      <c r="AI869" s="17">
        <f t="shared" si="60"/>
        <v>6</v>
      </c>
      <c r="AJ869" s="14"/>
      <c r="AK869" s="14" t="s">
        <v>58</v>
      </c>
      <c r="AL869" s="13" t="s">
        <v>1221</v>
      </c>
      <c r="AM869" s="12">
        <v>2018</v>
      </c>
      <c r="AN869" s="12" t="s">
        <v>685</v>
      </c>
      <c r="AO869" s="12" t="s">
        <v>56</v>
      </c>
      <c r="AP869" s="12"/>
      <c r="AQ869" s="12" t="s">
        <v>56</v>
      </c>
      <c r="AR869" s="12" t="s">
        <v>58</v>
      </c>
      <c r="AS869" s="12" t="s">
        <v>258</v>
      </c>
      <c r="AT869" s="12"/>
      <c r="AU869" s="45" t="s">
        <v>1222</v>
      </c>
      <c r="AV869" s="15"/>
      <c r="AW869" s="12" t="str">
        <f>B869&amp;C869&amp;L869&amp;M869&amp;O869&amp;U869&amp;AL869&amp;AM869</f>
        <v>ScotlandLamlash Bay Marine ReservePecten maximusgreat scallopdensity1.30422919508868Boulcott2018</v>
      </c>
    </row>
    <row r="870" spans="1:49" ht="14.25" customHeight="1" x14ac:dyDescent="0.35">
      <c r="A870" s="12">
        <v>869</v>
      </c>
      <c r="B870" s="15" t="s">
        <v>1183</v>
      </c>
      <c r="C870" s="12" t="s">
        <v>1184</v>
      </c>
      <c r="D870" s="15" t="s">
        <v>1184</v>
      </c>
      <c r="E870" s="12" t="s">
        <v>509</v>
      </c>
      <c r="F870" s="13" t="s">
        <v>274</v>
      </c>
      <c r="G870" s="13" t="s">
        <v>51</v>
      </c>
      <c r="H870" s="16" t="s">
        <v>1219</v>
      </c>
      <c r="I870" s="16" t="s">
        <v>53</v>
      </c>
      <c r="J870" s="14">
        <v>2.67</v>
      </c>
      <c r="K870" s="17"/>
      <c r="L870" s="17" t="s">
        <v>1185</v>
      </c>
      <c r="M870" s="17" t="s">
        <v>1190</v>
      </c>
      <c r="N870" s="14" t="s">
        <v>85</v>
      </c>
      <c r="O870" s="17" t="s">
        <v>86</v>
      </c>
      <c r="P870" s="17"/>
      <c r="Q870" s="17"/>
      <c r="R870" s="17"/>
      <c r="S870" s="17">
        <f>SUM(0.016 + 0.0213)/2</f>
        <v>1.865E-2</v>
      </c>
      <c r="T870" s="17">
        <v>1.54E-2</v>
      </c>
      <c r="U870" s="19">
        <f t="shared" si="58"/>
        <v>0.82573726541554959</v>
      </c>
      <c r="V870" s="41">
        <f t="shared" si="61"/>
        <v>-17.426273458445042</v>
      </c>
      <c r="W870" s="14"/>
      <c r="X870" s="17" t="s">
        <v>56</v>
      </c>
      <c r="Z870" s="17" t="s">
        <v>56</v>
      </c>
      <c r="AA870" s="17"/>
      <c r="AB870" s="17" t="s">
        <v>57</v>
      </c>
      <c r="AC870" s="17">
        <v>2009</v>
      </c>
      <c r="AD870" s="17">
        <v>5</v>
      </c>
      <c r="AE870" s="17"/>
      <c r="AF870" s="17"/>
      <c r="AG870" s="17">
        <v>2008</v>
      </c>
      <c r="AH870" s="14">
        <f t="shared" si="59"/>
        <v>1</v>
      </c>
      <c r="AI870" s="17">
        <f t="shared" si="60"/>
        <v>6</v>
      </c>
      <c r="AJ870" s="17"/>
      <c r="AK870" s="17" t="s">
        <v>58</v>
      </c>
      <c r="AL870" s="16" t="s">
        <v>1221</v>
      </c>
      <c r="AM870" s="15">
        <v>2018</v>
      </c>
      <c r="AN870" s="15" t="s">
        <v>685</v>
      </c>
      <c r="AO870" s="15" t="s">
        <v>56</v>
      </c>
      <c r="AP870" s="15"/>
      <c r="AQ870" s="15" t="s">
        <v>56</v>
      </c>
      <c r="AR870" s="15" t="s">
        <v>58</v>
      </c>
      <c r="AS870" s="15" t="s">
        <v>258</v>
      </c>
      <c r="AT870" s="12"/>
      <c r="AU870" s="45" t="s">
        <v>1222</v>
      </c>
      <c r="AV870" s="15"/>
      <c r="AW870" s="12" t="str">
        <f>B870&amp;C870&amp;L870&amp;M870&amp;O870&amp;U870&amp;AL870&amp;AM870</f>
        <v>ScotlandLamlash Bay Marine ReserveAequipecten opercularisqueen scallopdensity0.82573726541555Boulcott2018</v>
      </c>
    </row>
    <row r="871" spans="1:49" ht="14.25" customHeight="1" x14ac:dyDescent="0.35">
      <c r="A871" s="12">
        <v>870</v>
      </c>
      <c r="B871" s="15" t="s">
        <v>477</v>
      </c>
      <c r="C871" s="12" t="s">
        <v>2681</v>
      </c>
      <c r="D871" s="15" t="s">
        <v>1900</v>
      </c>
      <c r="E871" s="15" t="s">
        <v>618</v>
      </c>
      <c r="F871" s="16" t="s">
        <v>274</v>
      </c>
      <c r="G871" s="16" t="s">
        <v>51</v>
      </c>
      <c r="H871" s="16" t="s">
        <v>108</v>
      </c>
      <c r="I871" s="16" t="s">
        <v>53</v>
      </c>
      <c r="J871" s="14">
        <v>14</v>
      </c>
      <c r="K871" s="17"/>
      <c r="L871" s="17" t="s">
        <v>2783</v>
      </c>
      <c r="M871" s="17" t="s">
        <v>1901</v>
      </c>
      <c r="N871" s="14" t="s">
        <v>85</v>
      </c>
      <c r="O871" s="17" t="s">
        <v>86</v>
      </c>
      <c r="P871" s="17"/>
      <c r="Q871" s="17"/>
      <c r="R871" s="17"/>
      <c r="S871" s="17">
        <v>2.2200000000000002</v>
      </c>
      <c r="T871" s="17">
        <v>10.220000000000001</v>
      </c>
      <c r="U871" s="20">
        <f t="shared" si="58"/>
        <v>4.6036036036036032</v>
      </c>
      <c r="V871" s="41">
        <f t="shared" si="61"/>
        <v>360.36036036036035</v>
      </c>
      <c r="W871" s="17"/>
      <c r="X871" s="17" t="s">
        <v>56</v>
      </c>
      <c r="Z871" s="17" t="s">
        <v>56</v>
      </c>
      <c r="AA871" s="17"/>
      <c r="AB871" s="17" t="s">
        <v>57</v>
      </c>
      <c r="AC871" s="17">
        <v>1997</v>
      </c>
      <c r="AD871" s="17">
        <v>2</v>
      </c>
      <c r="AE871" s="17"/>
      <c r="AF871" s="17"/>
      <c r="AG871" s="17">
        <v>1986</v>
      </c>
      <c r="AH871" s="14">
        <f t="shared" si="59"/>
        <v>11</v>
      </c>
      <c r="AI871" s="17">
        <f t="shared" si="60"/>
        <v>13</v>
      </c>
      <c r="AJ871" s="17"/>
      <c r="AK871" s="17" t="s">
        <v>58</v>
      </c>
      <c r="AL871" s="16" t="s">
        <v>1902</v>
      </c>
      <c r="AM871" s="15">
        <v>2009</v>
      </c>
      <c r="AN871" s="15" t="s">
        <v>1903</v>
      </c>
      <c r="AO871" s="15" t="s">
        <v>56</v>
      </c>
      <c r="AP871" s="15"/>
      <c r="AQ871" s="15" t="s">
        <v>56</v>
      </c>
      <c r="AR871" s="15" t="s">
        <v>58</v>
      </c>
      <c r="AS871" s="15" t="s">
        <v>258</v>
      </c>
      <c r="AT871" s="15"/>
      <c r="AU871" s="45" t="s">
        <v>2683</v>
      </c>
      <c r="AV871" s="15"/>
      <c r="AW871" s="12" t="str">
        <f>B871&amp;C871&amp;L871&amp;M871&amp;O871&amp;U871&amp;AL871&amp;AM871</f>
        <v>SpainTabarca Island Marine Reserve No-take zoneAtherina hepsetusbroad-striped anchovydensity4.6036036036036Valle2009</v>
      </c>
    </row>
    <row r="872" spans="1:49" ht="14.25" customHeight="1" x14ac:dyDescent="0.35">
      <c r="A872" s="12">
        <v>871</v>
      </c>
      <c r="B872" s="15" t="s">
        <v>477</v>
      </c>
      <c r="C872" s="12" t="s">
        <v>2681</v>
      </c>
      <c r="D872" s="15" t="s">
        <v>1900</v>
      </c>
      <c r="E872" s="12" t="s">
        <v>618</v>
      </c>
      <c r="F872" s="13" t="s">
        <v>274</v>
      </c>
      <c r="G872" s="13" t="s">
        <v>51</v>
      </c>
      <c r="H872" s="16" t="s">
        <v>108</v>
      </c>
      <c r="I872" s="16" t="s">
        <v>53</v>
      </c>
      <c r="J872" s="14">
        <v>14</v>
      </c>
      <c r="K872" s="17"/>
      <c r="L872" s="17" t="s">
        <v>1594</v>
      </c>
      <c r="M872" s="17" t="s">
        <v>1904</v>
      </c>
      <c r="N872" s="14" t="s">
        <v>85</v>
      </c>
      <c r="O872" s="17" t="s">
        <v>86</v>
      </c>
      <c r="P872" s="17"/>
      <c r="Q872" s="17"/>
      <c r="R872" s="17"/>
      <c r="S872" s="17">
        <v>36</v>
      </c>
      <c r="T872" s="17">
        <v>52.11</v>
      </c>
      <c r="U872" s="19">
        <f t="shared" si="58"/>
        <v>1.4475</v>
      </c>
      <c r="V872" s="41">
        <f t="shared" si="61"/>
        <v>44.75</v>
      </c>
      <c r="W872" s="14"/>
      <c r="X872" s="17" t="s">
        <v>56</v>
      </c>
      <c r="Z872" s="17" t="s">
        <v>56</v>
      </c>
      <c r="AA872" s="17"/>
      <c r="AB872" s="17" t="s">
        <v>57</v>
      </c>
      <c r="AC872" s="17">
        <v>1997</v>
      </c>
      <c r="AD872" s="17">
        <v>2</v>
      </c>
      <c r="AE872" s="17"/>
      <c r="AF872" s="17"/>
      <c r="AG872" s="17">
        <v>1986</v>
      </c>
      <c r="AH872" s="14">
        <f t="shared" si="59"/>
        <v>11</v>
      </c>
      <c r="AI872" s="17">
        <f t="shared" si="60"/>
        <v>13</v>
      </c>
      <c r="AJ872" s="17"/>
      <c r="AK872" s="17" t="s">
        <v>58</v>
      </c>
      <c r="AL872" s="16" t="s">
        <v>1902</v>
      </c>
      <c r="AM872" s="15">
        <v>2009</v>
      </c>
      <c r="AN872" s="15" t="s">
        <v>1903</v>
      </c>
      <c r="AO872" s="15" t="s">
        <v>56</v>
      </c>
      <c r="AP872" s="15"/>
      <c r="AQ872" s="15" t="s">
        <v>56</v>
      </c>
      <c r="AR872" s="15" t="s">
        <v>58</v>
      </c>
      <c r="AS872" s="15" t="s">
        <v>258</v>
      </c>
      <c r="AT872" s="12"/>
      <c r="AU872" s="45" t="s">
        <v>2684</v>
      </c>
      <c r="AV872" s="15"/>
      <c r="AW872" s="12" t="str">
        <f>B872&amp;C872&amp;L872&amp;M872&amp;O872&amp;U872&amp;AL872&amp;AM872</f>
        <v>SpainTabarca Island Marine Reserve No-take zoneBoops boopsboguedensity1.4475Valle2009</v>
      </c>
    </row>
    <row r="873" spans="1:49" ht="14.25" customHeight="1" x14ac:dyDescent="0.35">
      <c r="A873" s="12">
        <v>872</v>
      </c>
      <c r="B873" s="15" t="s">
        <v>477</v>
      </c>
      <c r="C873" s="15" t="s">
        <v>2681</v>
      </c>
      <c r="D873" s="15" t="s">
        <v>1900</v>
      </c>
      <c r="E873" s="12" t="s">
        <v>618</v>
      </c>
      <c r="F873" s="13" t="s">
        <v>274</v>
      </c>
      <c r="G873" s="13" t="s">
        <v>51</v>
      </c>
      <c r="H873" s="16" t="s">
        <v>108</v>
      </c>
      <c r="I873" s="16" t="s">
        <v>53</v>
      </c>
      <c r="J873" s="17">
        <v>14</v>
      </c>
      <c r="K873" s="17"/>
      <c r="L873" s="14" t="s">
        <v>1588</v>
      </c>
      <c r="M873" s="17" t="s">
        <v>1407</v>
      </c>
      <c r="N873" s="14" t="s">
        <v>85</v>
      </c>
      <c r="O873" s="17" t="s">
        <v>86</v>
      </c>
      <c r="P873" s="17"/>
      <c r="Q873" s="17"/>
      <c r="R873" s="17"/>
      <c r="S873" s="17">
        <v>38.11</v>
      </c>
      <c r="T873" s="17">
        <v>50.28</v>
      </c>
      <c r="U873" s="19">
        <f t="shared" si="58"/>
        <v>1.3193387562319601</v>
      </c>
      <c r="V873" s="41">
        <f t="shared" si="61"/>
        <v>31.933875623196005</v>
      </c>
      <c r="W873" s="14"/>
      <c r="X873" s="17" t="s">
        <v>56</v>
      </c>
      <c r="Z873" s="17" t="s">
        <v>56</v>
      </c>
      <c r="AA873" s="17"/>
      <c r="AB873" s="17" t="s">
        <v>57</v>
      </c>
      <c r="AC873" s="17">
        <v>1997</v>
      </c>
      <c r="AD873" s="17">
        <v>2</v>
      </c>
      <c r="AE873" s="17"/>
      <c r="AF873" s="17"/>
      <c r="AG873" s="17">
        <v>1986</v>
      </c>
      <c r="AH873" s="14">
        <f t="shared" si="59"/>
        <v>11</v>
      </c>
      <c r="AI873" s="17">
        <f t="shared" si="60"/>
        <v>13</v>
      </c>
      <c r="AJ873" s="17"/>
      <c r="AK873" s="17" t="s">
        <v>58</v>
      </c>
      <c r="AL873" s="16" t="s">
        <v>1902</v>
      </c>
      <c r="AM873" s="15">
        <v>2009</v>
      </c>
      <c r="AN873" s="15" t="s">
        <v>1903</v>
      </c>
      <c r="AO873" s="15" t="s">
        <v>56</v>
      </c>
      <c r="AP873" s="15"/>
      <c r="AQ873" s="15" t="s">
        <v>56</v>
      </c>
      <c r="AR873" s="15" t="s">
        <v>58</v>
      </c>
      <c r="AS873" s="15" t="s">
        <v>258</v>
      </c>
      <c r="AT873" s="12"/>
      <c r="AU873" s="45" t="s">
        <v>2684</v>
      </c>
      <c r="AV873" s="15"/>
      <c r="AW873" s="12" t="str">
        <f>B873&amp;C873&amp;L873&amp;M873&amp;O873&amp;U873&amp;AL873&amp;AM873</f>
        <v>SpainTabarca Island Marine Reserve No-take zoneChromis chromisDamselfishdensity1.31933875623196Valle2009</v>
      </c>
    </row>
    <row r="874" spans="1:49" ht="14.25" customHeight="1" x14ac:dyDescent="0.35">
      <c r="A874" s="12">
        <v>873</v>
      </c>
      <c r="B874" s="15" t="s">
        <v>477</v>
      </c>
      <c r="C874" s="15" t="s">
        <v>2681</v>
      </c>
      <c r="D874" s="15" t="s">
        <v>1900</v>
      </c>
      <c r="E874" s="12" t="s">
        <v>618</v>
      </c>
      <c r="F874" s="13" t="s">
        <v>274</v>
      </c>
      <c r="G874" s="13" t="s">
        <v>51</v>
      </c>
      <c r="H874" s="16" t="s">
        <v>108</v>
      </c>
      <c r="I874" s="16" t="s">
        <v>53</v>
      </c>
      <c r="J874" s="17">
        <v>14</v>
      </c>
      <c r="K874" s="17"/>
      <c r="L874" s="17" t="s">
        <v>1577</v>
      </c>
      <c r="M874" s="17" t="s">
        <v>1843</v>
      </c>
      <c r="N874" s="14" t="s">
        <v>85</v>
      </c>
      <c r="O874" s="17" t="s">
        <v>86</v>
      </c>
      <c r="P874" s="17"/>
      <c r="Q874" s="17"/>
      <c r="R874" s="17"/>
      <c r="S874" s="17">
        <v>3.33</v>
      </c>
      <c r="T874" s="17">
        <v>6.78</v>
      </c>
      <c r="U874" s="19">
        <f t="shared" si="58"/>
        <v>2.0360360360360361</v>
      </c>
      <c r="V874" s="41">
        <f t="shared" si="61"/>
        <v>103.60360360360362</v>
      </c>
      <c r="W874" s="14"/>
      <c r="X874" s="17" t="s">
        <v>56</v>
      </c>
      <c r="Z874" s="17" t="s">
        <v>56</v>
      </c>
      <c r="AA874" s="17"/>
      <c r="AB874" s="17" t="s">
        <v>57</v>
      </c>
      <c r="AC874" s="17">
        <v>1997</v>
      </c>
      <c r="AD874" s="17">
        <v>2</v>
      </c>
      <c r="AE874" s="17"/>
      <c r="AF874" s="17"/>
      <c r="AG874" s="17">
        <v>1986</v>
      </c>
      <c r="AH874" s="14">
        <f t="shared" si="59"/>
        <v>11</v>
      </c>
      <c r="AI874" s="17">
        <f t="shared" si="60"/>
        <v>13</v>
      </c>
      <c r="AJ874" s="17"/>
      <c r="AK874" s="17" t="s">
        <v>58</v>
      </c>
      <c r="AL874" s="16" t="s">
        <v>1902</v>
      </c>
      <c r="AM874" s="15">
        <v>2009</v>
      </c>
      <c r="AN874" s="15" t="s">
        <v>1903</v>
      </c>
      <c r="AO874" s="15" t="s">
        <v>56</v>
      </c>
      <c r="AP874" s="15"/>
      <c r="AQ874" s="15" t="s">
        <v>56</v>
      </c>
      <c r="AR874" s="15" t="s">
        <v>58</v>
      </c>
      <c r="AS874" s="15" t="s">
        <v>258</v>
      </c>
      <c r="AT874" s="12"/>
      <c r="AU874" s="45" t="s">
        <v>2684</v>
      </c>
      <c r="AV874" s="15"/>
      <c r="AW874" s="12" t="str">
        <f>B874&amp;C874&amp;L874&amp;M874&amp;O874&amp;U874&amp;AL874&amp;AM874</f>
        <v>SpainTabarca Island Marine Reserve No-take zoneCoris julisMediterranean rainbow wrassedensity2.03603603603604Valle2009</v>
      </c>
    </row>
    <row r="875" spans="1:49" ht="14.25" customHeight="1" x14ac:dyDescent="0.35">
      <c r="A875" s="12">
        <v>874</v>
      </c>
      <c r="B875" s="15" t="s">
        <v>477</v>
      </c>
      <c r="C875" s="15" t="s">
        <v>2681</v>
      </c>
      <c r="D875" s="15" t="s">
        <v>1900</v>
      </c>
      <c r="E875" s="12" t="s">
        <v>618</v>
      </c>
      <c r="F875" s="13" t="s">
        <v>274</v>
      </c>
      <c r="G875" s="13" t="s">
        <v>51</v>
      </c>
      <c r="H875" s="16" t="s">
        <v>108</v>
      </c>
      <c r="I875" s="16" t="s">
        <v>53</v>
      </c>
      <c r="J875" s="17">
        <v>14</v>
      </c>
      <c r="K875" s="17"/>
      <c r="L875" s="17" t="s">
        <v>1905</v>
      </c>
      <c r="M875" s="17" t="s">
        <v>1848</v>
      </c>
      <c r="N875" s="14" t="s">
        <v>85</v>
      </c>
      <c r="O875" s="17" t="s">
        <v>86</v>
      </c>
      <c r="P875" s="17"/>
      <c r="Q875" s="17"/>
      <c r="R875" s="17"/>
      <c r="S875" s="17">
        <v>8.7799999999999994</v>
      </c>
      <c r="T875" s="17">
        <v>5.28</v>
      </c>
      <c r="U875" s="19">
        <f t="shared" si="58"/>
        <v>0.601366742596811</v>
      </c>
      <c r="V875" s="41">
        <f t="shared" si="61"/>
        <v>-39.863325740318899</v>
      </c>
      <c r="W875" s="14"/>
      <c r="X875" s="17" t="s">
        <v>56</v>
      </c>
      <c r="Z875" s="17" t="s">
        <v>56</v>
      </c>
      <c r="AA875" s="17"/>
      <c r="AB875" s="17" t="s">
        <v>57</v>
      </c>
      <c r="AC875" s="17">
        <v>1997</v>
      </c>
      <c r="AD875" s="17">
        <v>2</v>
      </c>
      <c r="AE875" s="17"/>
      <c r="AF875" s="17"/>
      <c r="AG875" s="17">
        <v>1986</v>
      </c>
      <c r="AH875" s="14">
        <f t="shared" si="59"/>
        <v>11</v>
      </c>
      <c r="AI875" s="17">
        <f t="shared" si="60"/>
        <v>13</v>
      </c>
      <c r="AJ875" s="17"/>
      <c r="AK875" s="17" t="s">
        <v>58</v>
      </c>
      <c r="AL875" s="16" t="s">
        <v>1902</v>
      </c>
      <c r="AM875" s="15">
        <v>2009</v>
      </c>
      <c r="AN875" s="15" t="s">
        <v>1903</v>
      </c>
      <c r="AO875" s="15" t="s">
        <v>56</v>
      </c>
      <c r="AP875" s="15"/>
      <c r="AQ875" s="15" t="s">
        <v>56</v>
      </c>
      <c r="AR875" s="15" t="s">
        <v>58</v>
      </c>
      <c r="AS875" s="15" t="s">
        <v>258</v>
      </c>
      <c r="AT875" s="12"/>
      <c r="AU875" s="45" t="s">
        <v>2684</v>
      </c>
      <c r="AV875" s="15"/>
      <c r="AW875" s="12" t="str">
        <f>B875&amp;C875&amp;L875&amp;M875&amp;O875&amp;U875&amp;AL875&amp;AM875</f>
        <v>SpainTabarca Island Marine Reserve No-take zoneDiplodus annularis Annular seabreamdensity0.601366742596811Valle2009</v>
      </c>
    </row>
    <row r="876" spans="1:49" ht="14.25" customHeight="1" x14ac:dyDescent="0.35">
      <c r="A876" s="12">
        <v>875</v>
      </c>
      <c r="B876" s="15" t="s">
        <v>477</v>
      </c>
      <c r="C876" s="15" t="s">
        <v>2681</v>
      </c>
      <c r="D876" s="15" t="s">
        <v>1900</v>
      </c>
      <c r="E876" s="12" t="s">
        <v>618</v>
      </c>
      <c r="F876" s="13" t="s">
        <v>274</v>
      </c>
      <c r="G876" s="13" t="s">
        <v>51</v>
      </c>
      <c r="H876" s="16" t="s">
        <v>108</v>
      </c>
      <c r="I876" s="16" t="s">
        <v>53</v>
      </c>
      <c r="J876" s="17">
        <v>14</v>
      </c>
      <c r="K876" s="17"/>
      <c r="L876" s="17" t="s">
        <v>1906</v>
      </c>
      <c r="M876" s="17" t="s">
        <v>1366</v>
      </c>
      <c r="N876" s="14" t="s">
        <v>85</v>
      </c>
      <c r="O876" s="17" t="s">
        <v>86</v>
      </c>
      <c r="P876" s="17"/>
      <c r="Q876" s="17"/>
      <c r="R876" s="17"/>
      <c r="S876" s="17">
        <v>0.06</v>
      </c>
      <c r="T876" s="17">
        <v>0</v>
      </c>
      <c r="U876" s="19">
        <f t="shared" si="58"/>
        <v>0</v>
      </c>
      <c r="V876" s="41">
        <f t="shared" si="61"/>
        <v>-100</v>
      </c>
      <c r="W876" s="14"/>
      <c r="X876" s="17" t="s">
        <v>56</v>
      </c>
      <c r="Z876" s="17" t="s">
        <v>56</v>
      </c>
      <c r="AA876" s="17"/>
      <c r="AB876" s="17" t="s">
        <v>57</v>
      </c>
      <c r="AC876" s="17">
        <v>1997</v>
      </c>
      <c r="AD876" s="17">
        <v>2</v>
      </c>
      <c r="AE876" s="17"/>
      <c r="AF876" s="17"/>
      <c r="AG876" s="17">
        <v>1986</v>
      </c>
      <c r="AH876" s="14">
        <f t="shared" si="59"/>
        <v>11</v>
      </c>
      <c r="AI876" s="17">
        <f t="shared" si="60"/>
        <v>13</v>
      </c>
      <c r="AJ876" s="17"/>
      <c r="AK876" s="17" t="s">
        <v>58</v>
      </c>
      <c r="AL876" s="16" t="s">
        <v>1902</v>
      </c>
      <c r="AM876" s="15">
        <v>2009</v>
      </c>
      <c r="AN876" s="15" t="s">
        <v>1903</v>
      </c>
      <c r="AO876" s="15" t="s">
        <v>56</v>
      </c>
      <c r="AP876" s="15"/>
      <c r="AQ876" s="15" t="s">
        <v>56</v>
      </c>
      <c r="AR876" s="15" t="s">
        <v>58</v>
      </c>
      <c r="AS876" s="15" t="s">
        <v>258</v>
      </c>
      <c r="AT876" s="12"/>
      <c r="AU876" s="45" t="s">
        <v>2684</v>
      </c>
      <c r="AV876" s="15"/>
      <c r="AW876" s="12" t="str">
        <f>B876&amp;C876&amp;L876&amp;M876&amp;O876&amp;U876&amp;AL876&amp;AM876</f>
        <v>SpainTabarca Island Marine Reserve No-take zoneDentex dentex Common dentexdensity0Valle2009</v>
      </c>
    </row>
    <row r="877" spans="1:49" ht="14.25" customHeight="1" x14ac:dyDescent="0.35">
      <c r="A877" s="12">
        <v>876</v>
      </c>
      <c r="B877" s="15" t="s">
        <v>477</v>
      </c>
      <c r="C877" s="15" t="s">
        <v>2681</v>
      </c>
      <c r="D877" s="15" t="s">
        <v>1900</v>
      </c>
      <c r="E877" s="12" t="s">
        <v>618</v>
      </c>
      <c r="F877" s="13" t="s">
        <v>274</v>
      </c>
      <c r="G877" s="13" t="s">
        <v>51</v>
      </c>
      <c r="H877" s="16" t="s">
        <v>108</v>
      </c>
      <c r="I877" s="16" t="s">
        <v>53</v>
      </c>
      <c r="J877" s="17">
        <v>14</v>
      </c>
      <c r="K877" s="17"/>
      <c r="L877" s="17" t="s">
        <v>1907</v>
      </c>
      <c r="M877" s="17" t="s">
        <v>1908</v>
      </c>
      <c r="N877" s="14" t="s">
        <v>85</v>
      </c>
      <c r="O877" s="17" t="s">
        <v>86</v>
      </c>
      <c r="P877" s="17"/>
      <c r="Q877" s="17"/>
      <c r="R877" s="17"/>
      <c r="S877" s="17">
        <v>0</v>
      </c>
      <c r="T877" s="17">
        <v>0.5</v>
      </c>
      <c r="U877" s="19" t="str">
        <f t="shared" si="58"/>
        <v>N/A</v>
      </c>
      <c r="V877" s="41" t="str">
        <f t="shared" si="61"/>
        <v>N/A</v>
      </c>
      <c r="W877" s="14"/>
      <c r="X877" s="17" t="s">
        <v>56</v>
      </c>
      <c r="Z877" s="17" t="s">
        <v>56</v>
      </c>
      <c r="AA877" s="17"/>
      <c r="AB877" s="17" t="s">
        <v>57</v>
      </c>
      <c r="AC877" s="17">
        <v>1997</v>
      </c>
      <c r="AD877" s="17">
        <v>2</v>
      </c>
      <c r="AE877" s="17"/>
      <c r="AF877" s="17"/>
      <c r="AG877" s="17">
        <v>1986</v>
      </c>
      <c r="AH877" s="14">
        <f t="shared" si="59"/>
        <v>11</v>
      </c>
      <c r="AI877" s="17">
        <f t="shared" si="60"/>
        <v>13</v>
      </c>
      <c r="AJ877" s="17"/>
      <c r="AK877" s="17" t="s">
        <v>58</v>
      </c>
      <c r="AL877" s="16" t="s">
        <v>1902</v>
      </c>
      <c r="AM877" s="15">
        <v>2009</v>
      </c>
      <c r="AN877" s="15" t="s">
        <v>1903</v>
      </c>
      <c r="AO877" s="15" t="s">
        <v>56</v>
      </c>
      <c r="AP877" s="15"/>
      <c r="AQ877" s="15" t="s">
        <v>56</v>
      </c>
      <c r="AR877" s="15" t="s">
        <v>58</v>
      </c>
      <c r="AS877" s="15" t="s">
        <v>258</v>
      </c>
      <c r="AT877" s="12"/>
      <c r="AU877" s="45" t="s">
        <v>2684</v>
      </c>
      <c r="AV877" s="15"/>
      <c r="AW877" s="12" t="str">
        <f>B877&amp;C877&amp;L877&amp;M877&amp;O877&amp;U877&amp;AL877&amp;AM877</f>
        <v>SpainTabarca Island Marine Reserve No-take zoneDiplodus puntazzo Sharpsnout seabreamdensityN/AValle2009</v>
      </c>
    </row>
    <row r="878" spans="1:49" ht="14.25" customHeight="1" x14ac:dyDescent="0.35">
      <c r="A878" s="12">
        <v>877</v>
      </c>
      <c r="B878" s="15" t="s">
        <v>477</v>
      </c>
      <c r="C878" s="15" t="s">
        <v>2681</v>
      </c>
      <c r="D878" s="15" t="s">
        <v>1900</v>
      </c>
      <c r="E878" s="12" t="s">
        <v>618</v>
      </c>
      <c r="F878" s="13" t="s">
        <v>274</v>
      </c>
      <c r="G878" s="13" t="s">
        <v>51</v>
      </c>
      <c r="H878" s="16" t="s">
        <v>108</v>
      </c>
      <c r="I878" s="16" t="s">
        <v>53</v>
      </c>
      <c r="J878" s="17">
        <v>14</v>
      </c>
      <c r="K878" s="17"/>
      <c r="L878" s="17" t="s">
        <v>1909</v>
      </c>
      <c r="M878" s="17" t="s">
        <v>1910</v>
      </c>
      <c r="N878" s="14" t="s">
        <v>85</v>
      </c>
      <c r="O878" s="17" t="s">
        <v>86</v>
      </c>
      <c r="P878" s="17"/>
      <c r="Q878" s="17"/>
      <c r="R878" s="17"/>
      <c r="S878" s="17">
        <v>0.28000000000000003</v>
      </c>
      <c r="T878" s="17">
        <v>1.06</v>
      </c>
      <c r="U878" s="19">
        <f t="shared" si="58"/>
        <v>3.7857142857142856</v>
      </c>
      <c r="V878" s="41">
        <f t="shared" si="61"/>
        <v>278.57142857142856</v>
      </c>
      <c r="W878" s="14"/>
      <c r="X878" s="17" t="s">
        <v>56</v>
      </c>
      <c r="Z878" s="17" t="s">
        <v>56</v>
      </c>
      <c r="AA878" s="17"/>
      <c r="AB878" s="17" t="s">
        <v>57</v>
      </c>
      <c r="AC878" s="17">
        <v>1997</v>
      </c>
      <c r="AD878" s="17">
        <v>2</v>
      </c>
      <c r="AE878" s="17"/>
      <c r="AF878" s="17"/>
      <c r="AG878" s="17">
        <v>1986</v>
      </c>
      <c r="AH878" s="14">
        <f t="shared" si="59"/>
        <v>11</v>
      </c>
      <c r="AI878" s="17">
        <f t="shared" si="60"/>
        <v>13</v>
      </c>
      <c r="AJ878" s="17"/>
      <c r="AK878" s="17" t="s">
        <v>58</v>
      </c>
      <c r="AL878" s="16" t="s">
        <v>1902</v>
      </c>
      <c r="AM878" s="15">
        <v>2009</v>
      </c>
      <c r="AN878" s="15" t="s">
        <v>1903</v>
      </c>
      <c r="AO878" s="15" t="s">
        <v>56</v>
      </c>
      <c r="AP878" s="15"/>
      <c r="AQ878" s="15" t="s">
        <v>56</v>
      </c>
      <c r="AR878" s="15" t="s">
        <v>58</v>
      </c>
      <c r="AS878" s="15" t="s">
        <v>258</v>
      </c>
      <c r="AT878" s="12"/>
      <c r="AU878" s="45" t="s">
        <v>2684</v>
      </c>
      <c r="AV878" s="15"/>
      <c r="AW878" s="12" t="str">
        <f>B878&amp;C878&amp;L878&amp;M878&amp;O878&amp;U878&amp;AL878&amp;AM878</f>
        <v>SpainTabarca Island Marine Reserve No-take zoneDiplodus sargus White seabreamdensity3.78571428571429Valle2009</v>
      </c>
    </row>
    <row r="879" spans="1:49" ht="14.25" customHeight="1" x14ac:dyDescent="0.35">
      <c r="A879" s="12">
        <v>878</v>
      </c>
      <c r="B879" s="15" t="s">
        <v>477</v>
      </c>
      <c r="C879" s="15" t="s">
        <v>2681</v>
      </c>
      <c r="D879" s="15" t="s">
        <v>1900</v>
      </c>
      <c r="E879" s="12" t="s">
        <v>618</v>
      </c>
      <c r="F879" s="13" t="s">
        <v>274</v>
      </c>
      <c r="G879" s="13" t="s">
        <v>51</v>
      </c>
      <c r="H879" s="16" t="s">
        <v>108</v>
      </c>
      <c r="I879" s="16" t="s">
        <v>53</v>
      </c>
      <c r="J879" s="17">
        <v>14</v>
      </c>
      <c r="K879" s="17"/>
      <c r="L879" s="17" t="s">
        <v>1911</v>
      </c>
      <c r="M879" s="17" t="s">
        <v>1912</v>
      </c>
      <c r="N879" s="14" t="s">
        <v>85</v>
      </c>
      <c r="O879" s="17" t="s">
        <v>86</v>
      </c>
      <c r="P879" s="17"/>
      <c r="Q879" s="17"/>
      <c r="R879" s="17"/>
      <c r="S879" s="17">
        <v>3</v>
      </c>
      <c r="T879" s="17">
        <v>0.94</v>
      </c>
      <c r="U879" s="19">
        <f t="shared" si="58"/>
        <v>0.3133333333333333</v>
      </c>
      <c r="V879" s="41">
        <f t="shared" si="61"/>
        <v>-68.666666666666671</v>
      </c>
      <c r="W879" s="14"/>
      <c r="X879" s="17" t="s">
        <v>56</v>
      </c>
      <c r="Z879" s="17" t="s">
        <v>56</v>
      </c>
      <c r="AA879" s="17"/>
      <c r="AB879" s="17" t="s">
        <v>57</v>
      </c>
      <c r="AC879" s="17">
        <v>1997</v>
      </c>
      <c r="AD879" s="17">
        <v>2</v>
      </c>
      <c r="AE879" s="17"/>
      <c r="AF879" s="17"/>
      <c r="AG879" s="17">
        <v>1986</v>
      </c>
      <c r="AH879" s="14">
        <f t="shared" si="59"/>
        <v>11</v>
      </c>
      <c r="AI879" s="17">
        <f t="shared" si="60"/>
        <v>13</v>
      </c>
      <c r="AJ879" s="17"/>
      <c r="AK879" s="17" t="s">
        <v>58</v>
      </c>
      <c r="AL879" s="16" t="s">
        <v>1902</v>
      </c>
      <c r="AM879" s="15">
        <v>2009</v>
      </c>
      <c r="AN879" s="15" t="s">
        <v>1903</v>
      </c>
      <c r="AO879" s="15" t="s">
        <v>56</v>
      </c>
      <c r="AP879" s="15"/>
      <c r="AQ879" s="15" t="s">
        <v>56</v>
      </c>
      <c r="AR879" s="15" t="s">
        <v>58</v>
      </c>
      <c r="AS879" s="15" t="s">
        <v>258</v>
      </c>
      <c r="AT879" s="12"/>
      <c r="AU879" s="45" t="s">
        <v>2684</v>
      </c>
      <c r="AV879" s="15"/>
      <c r="AW879" s="12" t="str">
        <f>B879&amp;C879&amp;L879&amp;M879&amp;O879&amp;U879&amp;AL879&amp;AM879</f>
        <v>SpainTabarca Island Marine Reserve No-take zoneDiplodus vulgaris Common two-banded seabreamdensity0.313333333333333Valle2009</v>
      </c>
    </row>
    <row r="880" spans="1:49" ht="14.25" customHeight="1" x14ac:dyDescent="0.35">
      <c r="A880" s="12">
        <v>879</v>
      </c>
      <c r="B880" s="15" t="s">
        <v>477</v>
      </c>
      <c r="C880" s="15" t="s">
        <v>2681</v>
      </c>
      <c r="D880" s="15" t="s">
        <v>1900</v>
      </c>
      <c r="E880" s="12" t="s">
        <v>618</v>
      </c>
      <c r="F880" s="13" t="s">
        <v>274</v>
      </c>
      <c r="G880" s="13" t="s">
        <v>51</v>
      </c>
      <c r="H880" s="16" t="s">
        <v>108</v>
      </c>
      <c r="I880" s="16" t="s">
        <v>53</v>
      </c>
      <c r="J880" s="17">
        <v>14</v>
      </c>
      <c r="K880" s="17"/>
      <c r="L880" s="17" t="s">
        <v>1913</v>
      </c>
      <c r="M880" s="17" t="s">
        <v>1633</v>
      </c>
      <c r="N880" s="14" t="s">
        <v>85</v>
      </c>
      <c r="O880" s="17" t="s">
        <v>86</v>
      </c>
      <c r="P880" s="17"/>
      <c r="Q880" s="17"/>
      <c r="R880" s="17"/>
      <c r="S880" s="17">
        <v>0</v>
      </c>
      <c r="T880" s="17">
        <v>0</v>
      </c>
      <c r="U880" s="19" t="str">
        <f t="shared" si="58"/>
        <v>N/A</v>
      </c>
      <c r="V880" s="41" t="str">
        <f t="shared" si="61"/>
        <v>N/A</v>
      </c>
      <c r="W880" s="14"/>
      <c r="X880" s="17" t="s">
        <v>56</v>
      </c>
      <c r="Z880" s="17" t="s">
        <v>56</v>
      </c>
      <c r="AA880" s="17"/>
      <c r="AB880" s="17" t="s">
        <v>57</v>
      </c>
      <c r="AC880" s="17">
        <v>1997</v>
      </c>
      <c r="AD880" s="17">
        <v>2</v>
      </c>
      <c r="AE880" s="17"/>
      <c r="AF880" s="17"/>
      <c r="AG880" s="17">
        <v>1986</v>
      </c>
      <c r="AH880" s="14">
        <f t="shared" si="59"/>
        <v>11</v>
      </c>
      <c r="AI880" s="17">
        <f t="shared" si="60"/>
        <v>13</v>
      </c>
      <c r="AJ880" s="17"/>
      <c r="AK880" s="17" t="s">
        <v>58</v>
      </c>
      <c r="AL880" s="16" t="s">
        <v>1902</v>
      </c>
      <c r="AM880" s="15">
        <v>2009</v>
      </c>
      <c r="AN880" s="15" t="s">
        <v>1903</v>
      </c>
      <c r="AO880" s="15" t="s">
        <v>56</v>
      </c>
      <c r="AP880" s="15"/>
      <c r="AQ880" s="15" t="s">
        <v>56</v>
      </c>
      <c r="AR880" s="15" t="s">
        <v>58</v>
      </c>
      <c r="AS880" s="15" t="s">
        <v>258</v>
      </c>
      <c r="AT880" s="12"/>
      <c r="AU880" s="45" t="s">
        <v>2684</v>
      </c>
      <c r="AV880" s="15"/>
      <c r="AW880" s="12" t="str">
        <f>B880&amp;C880&amp;L880&amp;M880&amp;O880&amp;U880&amp;AL880&amp;AM880</f>
        <v>SpainTabarca Island Marine Reserve No-take zoneEpinephelus marginatus Dusky grouperdensityN/AValle2009</v>
      </c>
    </row>
    <row r="881" spans="1:49" ht="14.25" customHeight="1" x14ac:dyDescent="0.35">
      <c r="A881" s="12">
        <v>880</v>
      </c>
      <c r="B881" s="15" t="s">
        <v>477</v>
      </c>
      <c r="C881" s="15" t="s">
        <v>2681</v>
      </c>
      <c r="D881" s="15" t="s">
        <v>1900</v>
      </c>
      <c r="E881" s="12" t="s">
        <v>618</v>
      </c>
      <c r="F881" s="13" t="s">
        <v>274</v>
      </c>
      <c r="G881" s="13" t="s">
        <v>51</v>
      </c>
      <c r="H881" s="16" t="s">
        <v>108</v>
      </c>
      <c r="I881" s="16" t="s">
        <v>53</v>
      </c>
      <c r="J881" s="17">
        <v>14</v>
      </c>
      <c r="K881" s="17"/>
      <c r="L881" s="17" t="s">
        <v>1914</v>
      </c>
      <c r="M881" s="17" t="s">
        <v>1915</v>
      </c>
      <c r="N881" s="14" t="s">
        <v>85</v>
      </c>
      <c r="O881" s="17" t="s">
        <v>86</v>
      </c>
      <c r="P881" s="17"/>
      <c r="Q881" s="17"/>
      <c r="R881" s="17"/>
      <c r="S881" s="17">
        <v>0</v>
      </c>
      <c r="T881" s="17">
        <v>0</v>
      </c>
      <c r="U881" s="19" t="str">
        <f t="shared" si="58"/>
        <v>N/A</v>
      </c>
      <c r="V881" s="41" t="str">
        <f t="shared" si="61"/>
        <v>N/A</v>
      </c>
      <c r="W881" s="14"/>
      <c r="X881" s="17" t="s">
        <v>56</v>
      </c>
      <c r="Z881" s="17" t="s">
        <v>56</v>
      </c>
      <c r="AA881" s="17"/>
      <c r="AB881" s="17" t="s">
        <v>57</v>
      </c>
      <c r="AC881" s="17">
        <v>1997</v>
      </c>
      <c r="AD881" s="17">
        <v>2</v>
      </c>
      <c r="AE881" s="17"/>
      <c r="AF881" s="17"/>
      <c r="AG881" s="17">
        <v>1986</v>
      </c>
      <c r="AH881" s="14">
        <f t="shared" si="59"/>
        <v>11</v>
      </c>
      <c r="AI881" s="17">
        <f t="shared" si="60"/>
        <v>13</v>
      </c>
      <c r="AJ881" s="17"/>
      <c r="AK881" s="17" t="s">
        <v>58</v>
      </c>
      <c r="AL881" s="16" t="s">
        <v>1902</v>
      </c>
      <c r="AM881" s="15">
        <v>2009</v>
      </c>
      <c r="AN881" s="15" t="s">
        <v>1903</v>
      </c>
      <c r="AO881" s="15" t="s">
        <v>56</v>
      </c>
      <c r="AP881" s="15"/>
      <c r="AQ881" s="15" t="s">
        <v>56</v>
      </c>
      <c r="AR881" s="15" t="s">
        <v>58</v>
      </c>
      <c r="AS881" s="15" t="s">
        <v>258</v>
      </c>
      <c r="AT881" s="12"/>
      <c r="AU881" s="45" t="s">
        <v>2684</v>
      </c>
      <c r="AV881" s="15"/>
      <c r="AW881" s="12" t="str">
        <f>B881&amp;C881&amp;L881&amp;M881&amp;O881&amp;U881&amp;AL881&amp;AM881</f>
        <v>SpainTabarca Island Marine Reserve No-take zoneChelon auratus Golden grey mulletdensityN/AValle2009</v>
      </c>
    </row>
    <row r="882" spans="1:49" ht="14.25" customHeight="1" x14ac:dyDescent="0.35">
      <c r="A882" s="12">
        <v>881</v>
      </c>
      <c r="B882" s="15" t="s">
        <v>477</v>
      </c>
      <c r="C882" s="15" t="s">
        <v>2681</v>
      </c>
      <c r="D882" s="15" t="s">
        <v>1900</v>
      </c>
      <c r="E882" s="12" t="s">
        <v>618</v>
      </c>
      <c r="F882" s="13" t="s">
        <v>274</v>
      </c>
      <c r="G882" s="13" t="s">
        <v>51</v>
      </c>
      <c r="H882" s="16" t="s">
        <v>108</v>
      </c>
      <c r="I882" s="16" t="s">
        <v>53</v>
      </c>
      <c r="J882" s="17">
        <v>14</v>
      </c>
      <c r="K882" s="17"/>
      <c r="L882" s="17" t="s">
        <v>2788</v>
      </c>
      <c r="M882" s="17" t="s">
        <v>1916</v>
      </c>
      <c r="N882" s="14" t="s">
        <v>85</v>
      </c>
      <c r="O882" s="17" t="s">
        <v>86</v>
      </c>
      <c r="P882" s="17"/>
      <c r="Q882" s="17"/>
      <c r="R882" s="17"/>
      <c r="S882" s="17">
        <v>0.33</v>
      </c>
      <c r="T882" s="17">
        <v>0.28000000000000003</v>
      </c>
      <c r="U882" s="19">
        <f t="shared" si="58"/>
        <v>0.84848484848484851</v>
      </c>
      <c r="V882" s="41">
        <f t="shared" si="61"/>
        <v>-15.151515151515149</v>
      </c>
      <c r="W882" s="14"/>
      <c r="X882" s="17" t="s">
        <v>56</v>
      </c>
      <c r="Z882" s="17" t="s">
        <v>56</v>
      </c>
      <c r="AA882" s="17"/>
      <c r="AB882" s="17" t="s">
        <v>57</v>
      </c>
      <c r="AC882" s="17">
        <v>1997</v>
      </c>
      <c r="AD882" s="17">
        <v>2</v>
      </c>
      <c r="AE882" s="17"/>
      <c r="AF882" s="17"/>
      <c r="AG882" s="17">
        <v>1986</v>
      </c>
      <c r="AH882" s="14">
        <f t="shared" si="59"/>
        <v>11</v>
      </c>
      <c r="AI882" s="17">
        <f t="shared" si="60"/>
        <v>13</v>
      </c>
      <c r="AJ882" s="17"/>
      <c r="AK882" s="17" t="s">
        <v>58</v>
      </c>
      <c r="AL882" s="16" t="s">
        <v>1902</v>
      </c>
      <c r="AM882" s="15">
        <v>2009</v>
      </c>
      <c r="AN882" s="15" t="s">
        <v>1903</v>
      </c>
      <c r="AO882" s="15" t="s">
        <v>56</v>
      </c>
      <c r="AP882" s="15"/>
      <c r="AQ882" s="15" t="s">
        <v>56</v>
      </c>
      <c r="AR882" s="15" t="s">
        <v>58</v>
      </c>
      <c r="AS882" s="15" t="s">
        <v>258</v>
      </c>
      <c r="AT882" s="12"/>
      <c r="AU882" s="45" t="s">
        <v>2684</v>
      </c>
      <c r="AV882" s="15"/>
      <c r="AW882" s="12" t="str">
        <f>B882&amp;C882&amp;L882&amp;M882&amp;O882&amp;U882&amp;AL882&amp;AM882</f>
        <v>SpainTabarca Island Marine Reserve No-take zoneLabrus merulaBrown wrassedensity0.848484848484849Valle2009</v>
      </c>
    </row>
    <row r="883" spans="1:49" ht="14.25" customHeight="1" x14ac:dyDescent="0.35">
      <c r="A883" s="12">
        <v>882</v>
      </c>
      <c r="B883" s="15" t="s">
        <v>477</v>
      </c>
      <c r="C883" s="15" t="s">
        <v>2681</v>
      </c>
      <c r="D883" s="15" t="s">
        <v>1900</v>
      </c>
      <c r="E883" s="12" t="s">
        <v>618</v>
      </c>
      <c r="F883" s="13" t="s">
        <v>274</v>
      </c>
      <c r="G883" s="13" t="s">
        <v>51</v>
      </c>
      <c r="H883" s="16" t="s">
        <v>108</v>
      </c>
      <c r="I883" s="16" t="s">
        <v>53</v>
      </c>
      <c r="J883" s="17">
        <v>14</v>
      </c>
      <c r="K883" s="17"/>
      <c r="L883" s="17" t="s">
        <v>1917</v>
      </c>
      <c r="M883" s="17" t="s">
        <v>1918</v>
      </c>
      <c r="N883" s="14" t="s">
        <v>85</v>
      </c>
      <c r="O883" s="17" t="s">
        <v>86</v>
      </c>
      <c r="P883" s="17"/>
      <c r="Q883" s="17"/>
      <c r="R883" s="17"/>
      <c r="S883" s="17">
        <v>0.06</v>
      </c>
      <c r="T883" s="17">
        <v>0</v>
      </c>
      <c r="U883" s="19">
        <f t="shared" ref="U883:U946" si="62">IFERROR(IF(AND(Q883="",R883="",S883="",T883=""),"",IF(AND(Q883&lt;&gt;"",R883&lt;&gt;"",S883&lt;&gt;"",T883&lt;&gt;""),(T883/R883)/(S883/Q883),IF(AND(Q883&lt;&gt;"",R883&lt;&gt;""),R883/Q883,IF(AND(S883&lt;&gt;"",T883&lt;&gt;""),T883/S883,IF(AND(Q883&lt;&gt;"",S883&lt;&gt;""),Q883/S883,IF(AND(R883&lt;&gt;"",T883&lt;&gt;""),T883/R883)))))), "N/A")</f>
        <v>0</v>
      </c>
      <c r="V883" s="41">
        <f t="shared" si="61"/>
        <v>-100</v>
      </c>
      <c r="W883" s="14"/>
      <c r="X883" s="17" t="s">
        <v>56</v>
      </c>
      <c r="Z883" s="17" t="s">
        <v>56</v>
      </c>
      <c r="AA883" s="17"/>
      <c r="AB883" s="17" t="s">
        <v>57</v>
      </c>
      <c r="AC883" s="17">
        <v>1997</v>
      </c>
      <c r="AD883" s="17">
        <v>2</v>
      </c>
      <c r="AE883" s="17"/>
      <c r="AF883" s="17"/>
      <c r="AG883" s="17">
        <v>1986</v>
      </c>
      <c r="AH883" s="14">
        <f t="shared" si="59"/>
        <v>11</v>
      </c>
      <c r="AI883" s="17">
        <f t="shared" si="60"/>
        <v>13</v>
      </c>
      <c r="AJ883" s="17"/>
      <c r="AK883" s="17" t="s">
        <v>58</v>
      </c>
      <c r="AL883" s="16" t="s">
        <v>1902</v>
      </c>
      <c r="AM883" s="15">
        <v>2009</v>
      </c>
      <c r="AN883" s="15" t="s">
        <v>1903</v>
      </c>
      <c r="AO883" s="15" t="s">
        <v>56</v>
      </c>
      <c r="AP883" s="15"/>
      <c r="AQ883" s="15" t="s">
        <v>56</v>
      </c>
      <c r="AR883" s="15" t="s">
        <v>58</v>
      </c>
      <c r="AS883" s="15" t="s">
        <v>258</v>
      </c>
      <c r="AT883" s="12"/>
      <c r="AU883" s="45" t="s">
        <v>2684</v>
      </c>
      <c r="AV883" s="15"/>
      <c r="AW883" s="12" t="str">
        <f>B883&amp;C883&amp;L883&amp;M883&amp;O883&amp;U883&amp;AL883&amp;AM883</f>
        <v>SpainTabarca Island Marine Reserve No-take zoneLithognathus mormyrus Sand steenbrasdensity0Valle2009</v>
      </c>
    </row>
    <row r="884" spans="1:49" ht="14.25" customHeight="1" x14ac:dyDescent="0.35">
      <c r="A884" s="12">
        <v>883</v>
      </c>
      <c r="B884" s="15" t="s">
        <v>477</v>
      </c>
      <c r="C884" s="15" t="s">
        <v>2681</v>
      </c>
      <c r="D884" s="15" t="s">
        <v>1900</v>
      </c>
      <c r="E884" s="12" t="s">
        <v>618</v>
      </c>
      <c r="F884" s="13" t="s">
        <v>274</v>
      </c>
      <c r="G884" s="13" t="s">
        <v>51</v>
      </c>
      <c r="H884" s="16" t="s">
        <v>108</v>
      </c>
      <c r="I884" s="16" t="s">
        <v>53</v>
      </c>
      <c r="J884" s="17">
        <v>14</v>
      </c>
      <c r="K884" s="17"/>
      <c r="L884" s="17" t="s">
        <v>1919</v>
      </c>
      <c r="M884" s="17" t="s">
        <v>1920</v>
      </c>
      <c r="N884" s="14" t="s">
        <v>85</v>
      </c>
      <c r="O884" s="17" t="s">
        <v>86</v>
      </c>
      <c r="P884" s="17"/>
      <c r="Q884" s="17"/>
      <c r="R884" s="17"/>
      <c r="S884" s="17">
        <v>0.06</v>
      </c>
      <c r="T884" s="17">
        <v>0.11</v>
      </c>
      <c r="U884" s="19">
        <f t="shared" si="62"/>
        <v>1.8333333333333335</v>
      </c>
      <c r="V884" s="41">
        <f t="shared" si="61"/>
        <v>83.333333333333343</v>
      </c>
      <c r="W884" s="14"/>
      <c r="X884" s="17" t="s">
        <v>56</v>
      </c>
      <c r="Z884" s="17" t="s">
        <v>56</v>
      </c>
      <c r="AA884" s="17"/>
      <c r="AB884" s="17" t="s">
        <v>57</v>
      </c>
      <c r="AC884" s="17">
        <v>1997</v>
      </c>
      <c r="AD884" s="17">
        <v>2</v>
      </c>
      <c r="AE884" s="17"/>
      <c r="AF884" s="17"/>
      <c r="AG884" s="17">
        <v>1986</v>
      </c>
      <c r="AH884" s="14">
        <f t="shared" si="59"/>
        <v>11</v>
      </c>
      <c r="AI884" s="17">
        <f t="shared" si="60"/>
        <v>13</v>
      </c>
      <c r="AJ884" s="17"/>
      <c r="AK884" s="17" t="s">
        <v>58</v>
      </c>
      <c r="AL884" s="16" t="s">
        <v>1902</v>
      </c>
      <c r="AM884" s="15">
        <v>2009</v>
      </c>
      <c r="AN884" s="15" t="s">
        <v>1903</v>
      </c>
      <c r="AO884" s="15" t="s">
        <v>56</v>
      </c>
      <c r="AP884" s="15"/>
      <c r="AQ884" s="15" t="s">
        <v>56</v>
      </c>
      <c r="AR884" s="15" t="s">
        <v>58</v>
      </c>
      <c r="AS884" s="15" t="s">
        <v>258</v>
      </c>
      <c r="AT884" s="12"/>
      <c r="AU884" s="45" t="s">
        <v>2684</v>
      </c>
      <c r="AV884" s="15"/>
      <c r="AW884" s="12" t="str">
        <f>B884&amp;C884&amp;L884&amp;M884&amp;O884&amp;U884&amp;AL884&amp;AM884</f>
        <v>SpainTabarca Island Marine Reserve No-take zoneLutjanus viridis Blue and gold snapperdensity1.83333333333333Valle2009</v>
      </c>
    </row>
    <row r="885" spans="1:49" ht="14.25" customHeight="1" x14ac:dyDescent="0.35">
      <c r="A885" s="12">
        <v>884</v>
      </c>
      <c r="B885" s="15" t="s">
        <v>477</v>
      </c>
      <c r="C885" s="15" t="s">
        <v>2681</v>
      </c>
      <c r="D885" s="15" t="s">
        <v>1900</v>
      </c>
      <c r="E885" s="12" t="s">
        <v>618</v>
      </c>
      <c r="F885" s="13" t="s">
        <v>274</v>
      </c>
      <c r="G885" s="13" t="s">
        <v>51</v>
      </c>
      <c r="H885" s="16" t="s">
        <v>108</v>
      </c>
      <c r="I885" s="16" t="s">
        <v>53</v>
      </c>
      <c r="J885" s="17">
        <v>14</v>
      </c>
      <c r="K885" s="17"/>
      <c r="L885" s="17" t="s">
        <v>1587</v>
      </c>
      <c r="M885" s="17" t="s">
        <v>1921</v>
      </c>
      <c r="N885" s="14" t="s">
        <v>85</v>
      </c>
      <c r="O885" s="17" t="s">
        <v>86</v>
      </c>
      <c r="P885" s="17"/>
      <c r="Q885" s="17"/>
      <c r="R885" s="17"/>
      <c r="S885" s="17">
        <v>0</v>
      </c>
      <c r="T885" s="17">
        <v>0.06</v>
      </c>
      <c r="U885" s="19" t="str">
        <f t="shared" si="62"/>
        <v>N/A</v>
      </c>
      <c r="V885" s="41" t="str">
        <f t="shared" si="61"/>
        <v>N/A</v>
      </c>
      <c r="W885" s="14"/>
      <c r="X885" s="17" t="s">
        <v>56</v>
      </c>
      <c r="Z885" s="17" t="s">
        <v>56</v>
      </c>
      <c r="AA885" s="17"/>
      <c r="AB885" s="17" t="s">
        <v>57</v>
      </c>
      <c r="AC885" s="17">
        <v>1997</v>
      </c>
      <c r="AD885" s="17">
        <v>2</v>
      </c>
      <c r="AE885" s="17"/>
      <c r="AF885" s="17"/>
      <c r="AG885" s="17">
        <v>1986</v>
      </c>
      <c r="AH885" s="14">
        <f t="shared" si="59"/>
        <v>11</v>
      </c>
      <c r="AI885" s="17">
        <f t="shared" si="60"/>
        <v>13</v>
      </c>
      <c r="AJ885" s="17"/>
      <c r="AK885" s="17" t="s">
        <v>58</v>
      </c>
      <c r="AL885" s="16" t="s">
        <v>1902</v>
      </c>
      <c r="AM885" s="15">
        <v>2009</v>
      </c>
      <c r="AN885" s="15" t="s">
        <v>1903</v>
      </c>
      <c r="AO885" s="15" t="s">
        <v>56</v>
      </c>
      <c r="AP885" s="15"/>
      <c r="AQ885" s="15" t="s">
        <v>56</v>
      </c>
      <c r="AR885" s="15" t="s">
        <v>58</v>
      </c>
      <c r="AS885" s="15" t="s">
        <v>258</v>
      </c>
      <c r="AT885" s="12"/>
      <c r="AU885" s="45" t="s">
        <v>2684</v>
      </c>
      <c r="AV885" s="15"/>
      <c r="AW885" s="12" t="str">
        <f>B885&amp;C885&amp;L885&amp;M885&amp;O885&amp;U885&amp;AL885&amp;AM885</f>
        <v>SpainTabarca Island Marine Reserve No-take zoneMuraena helenaMediterranean moraydensityN/AValle2009</v>
      </c>
    </row>
    <row r="886" spans="1:49" ht="14.25" customHeight="1" x14ac:dyDescent="0.35">
      <c r="A886" s="12">
        <v>885</v>
      </c>
      <c r="B886" s="15" t="s">
        <v>477</v>
      </c>
      <c r="C886" s="15" t="s">
        <v>2681</v>
      </c>
      <c r="D886" s="15" t="s">
        <v>1900</v>
      </c>
      <c r="E886" s="12" t="s">
        <v>618</v>
      </c>
      <c r="F886" s="13" t="s">
        <v>274</v>
      </c>
      <c r="G886" s="13" t="s">
        <v>51</v>
      </c>
      <c r="H886" s="16" t="s">
        <v>108</v>
      </c>
      <c r="I886" s="16" t="s">
        <v>53</v>
      </c>
      <c r="J886" s="17">
        <v>14</v>
      </c>
      <c r="K886" s="17"/>
      <c r="L886" s="17" t="s">
        <v>1586</v>
      </c>
      <c r="M886" s="17" t="s">
        <v>1922</v>
      </c>
      <c r="N886" s="17" t="s">
        <v>85</v>
      </c>
      <c r="O886" s="17" t="s">
        <v>86</v>
      </c>
      <c r="P886" s="17"/>
      <c r="Q886" s="17"/>
      <c r="R886" s="17"/>
      <c r="S886" s="17">
        <v>3.28</v>
      </c>
      <c r="T886" s="17">
        <v>1.72</v>
      </c>
      <c r="U886" s="19">
        <f t="shared" si="62"/>
        <v>0.52439024390243905</v>
      </c>
      <c r="V886" s="41">
        <f t="shared" si="61"/>
        <v>-47.560975609756099</v>
      </c>
      <c r="W886" s="14"/>
      <c r="X886" s="17" t="s">
        <v>56</v>
      </c>
      <c r="Z886" s="17" t="s">
        <v>56</v>
      </c>
      <c r="AA886" s="17"/>
      <c r="AB886" s="17" t="s">
        <v>57</v>
      </c>
      <c r="AC886" s="17">
        <v>1997</v>
      </c>
      <c r="AD886" s="17">
        <v>2</v>
      </c>
      <c r="AE886" s="17"/>
      <c r="AF886" s="17"/>
      <c r="AG886" s="17">
        <v>1986</v>
      </c>
      <c r="AH886" s="14">
        <f t="shared" si="59"/>
        <v>11</v>
      </c>
      <c r="AI886" s="17">
        <f t="shared" si="60"/>
        <v>13</v>
      </c>
      <c r="AJ886" s="17"/>
      <c r="AK886" s="17" t="s">
        <v>58</v>
      </c>
      <c r="AL886" s="16" t="s">
        <v>1902</v>
      </c>
      <c r="AM886" s="15">
        <v>2009</v>
      </c>
      <c r="AN886" s="15" t="s">
        <v>1903</v>
      </c>
      <c r="AO886" s="15" t="s">
        <v>56</v>
      </c>
      <c r="AP886" s="15"/>
      <c r="AQ886" s="15" t="s">
        <v>56</v>
      </c>
      <c r="AR886" s="15" t="s">
        <v>58</v>
      </c>
      <c r="AS886" s="15" t="s">
        <v>258</v>
      </c>
      <c r="AT886" s="12"/>
      <c r="AU886" s="45" t="s">
        <v>2684</v>
      </c>
      <c r="AV886" s="15"/>
      <c r="AW886" s="12" t="str">
        <f>B886&amp;C886&amp;L886&amp;M886&amp;O886&amp;U886&amp;AL886&amp;AM886</f>
        <v>SpainTabarca Island Marine Reserve No-take zoneMullus surmuletusSurmulletdensity0.524390243902439Valle2009</v>
      </c>
    </row>
    <row r="887" spans="1:49" ht="14" customHeight="1" x14ac:dyDescent="0.35">
      <c r="A887" s="12">
        <v>886</v>
      </c>
      <c r="B887" s="15" t="s">
        <v>477</v>
      </c>
      <c r="C887" s="15" t="s">
        <v>2681</v>
      </c>
      <c r="D887" s="15" t="s">
        <v>1900</v>
      </c>
      <c r="E887" s="12" t="s">
        <v>618</v>
      </c>
      <c r="F887" s="13" t="s">
        <v>274</v>
      </c>
      <c r="G887" s="13" t="s">
        <v>51</v>
      </c>
      <c r="H887" s="16" t="s">
        <v>108</v>
      </c>
      <c r="I887" s="16" t="s">
        <v>53</v>
      </c>
      <c r="J887" s="17">
        <v>14</v>
      </c>
      <c r="K887" s="17"/>
      <c r="L887" s="14" t="s">
        <v>1923</v>
      </c>
      <c r="M887" s="17" t="s">
        <v>1924</v>
      </c>
      <c r="N887" s="14" t="s">
        <v>170</v>
      </c>
      <c r="O887" s="17" t="s">
        <v>86</v>
      </c>
      <c r="P887" s="17"/>
      <c r="Q887" s="17"/>
      <c r="R887" s="17"/>
      <c r="S887" s="17">
        <v>0</v>
      </c>
      <c r="T887" s="17">
        <v>0.5</v>
      </c>
      <c r="U887" s="19" t="str">
        <f t="shared" si="62"/>
        <v>N/A</v>
      </c>
      <c r="V887" s="41" t="str">
        <f t="shared" si="61"/>
        <v>N/A</v>
      </c>
      <c r="W887" s="14"/>
      <c r="X887" s="17" t="s">
        <v>56</v>
      </c>
      <c r="Z887" s="17" t="s">
        <v>56</v>
      </c>
      <c r="AA887" s="17"/>
      <c r="AB887" s="17" t="s">
        <v>57</v>
      </c>
      <c r="AC887" s="17">
        <v>1997</v>
      </c>
      <c r="AD887" s="17">
        <v>2</v>
      </c>
      <c r="AE887" s="17"/>
      <c r="AF887" s="17"/>
      <c r="AG887" s="17">
        <v>1986</v>
      </c>
      <c r="AH887" s="14">
        <f t="shared" si="59"/>
        <v>11</v>
      </c>
      <c r="AI887" s="17">
        <f t="shared" si="60"/>
        <v>13</v>
      </c>
      <c r="AJ887" s="17"/>
      <c r="AK887" s="17" t="s">
        <v>58</v>
      </c>
      <c r="AL887" s="16" t="s">
        <v>1902</v>
      </c>
      <c r="AM887" s="15">
        <v>2009</v>
      </c>
      <c r="AN887" s="15" t="s">
        <v>1903</v>
      </c>
      <c r="AO887" s="15" t="s">
        <v>56</v>
      </c>
      <c r="AP887" s="15"/>
      <c r="AQ887" s="15" t="s">
        <v>56</v>
      </c>
      <c r="AR887" s="15" t="s">
        <v>58</v>
      </c>
      <c r="AS887" s="15" t="s">
        <v>258</v>
      </c>
      <c r="AT887" s="12"/>
      <c r="AU887" s="45" t="s">
        <v>2684</v>
      </c>
      <c r="AV887" s="15"/>
      <c r="AW887" s="12" t="str">
        <f>B887&amp;C887&amp;L887&amp;M887&amp;O887&amp;U887&amp;AL887&amp;AM887</f>
        <v>SpainTabarca Island Marine Reserve No-take zoneMugil spp.mulletdensityN/AValle2009</v>
      </c>
    </row>
    <row r="888" spans="1:49" ht="14" customHeight="1" x14ac:dyDescent="0.35">
      <c r="A888" s="12">
        <v>887</v>
      </c>
      <c r="B888" s="15" t="s">
        <v>477</v>
      </c>
      <c r="C888" s="15" t="s">
        <v>2681</v>
      </c>
      <c r="D888" s="15" t="s">
        <v>1900</v>
      </c>
      <c r="E888" s="12" t="s">
        <v>618</v>
      </c>
      <c r="F888" s="13" t="s">
        <v>274</v>
      </c>
      <c r="G888" s="13" t="s">
        <v>51</v>
      </c>
      <c r="H888" s="16" t="s">
        <v>108</v>
      </c>
      <c r="I888" s="16" t="s">
        <v>53</v>
      </c>
      <c r="J888" s="17">
        <v>14</v>
      </c>
      <c r="K888" s="17"/>
      <c r="L888" s="17" t="s">
        <v>1596</v>
      </c>
      <c r="M888" s="17" t="s">
        <v>1925</v>
      </c>
      <c r="N888" s="14" t="s">
        <v>85</v>
      </c>
      <c r="O888" s="17" t="s">
        <v>86</v>
      </c>
      <c r="P888" s="17"/>
      <c r="Q888" s="17"/>
      <c r="R888" s="17"/>
      <c r="S888" s="17">
        <v>2.33</v>
      </c>
      <c r="T888" s="17">
        <v>20.83</v>
      </c>
      <c r="U888" s="19">
        <f t="shared" si="62"/>
        <v>8.939914163090128</v>
      </c>
      <c r="V888" s="41">
        <f t="shared" si="61"/>
        <v>793.99141630901283</v>
      </c>
      <c r="W888" s="14"/>
      <c r="X888" s="17" t="s">
        <v>56</v>
      </c>
      <c r="Z888" s="17" t="s">
        <v>56</v>
      </c>
      <c r="AA888" s="17"/>
      <c r="AB888" s="17" t="s">
        <v>57</v>
      </c>
      <c r="AC888" s="17">
        <v>1997</v>
      </c>
      <c r="AD888" s="17">
        <v>2</v>
      </c>
      <c r="AE888" s="17"/>
      <c r="AF888" s="17"/>
      <c r="AG888" s="17">
        <v>1986</v>
      </c>
      <c r="AH888" s="14">
        <f t="shared" si="59"/>
        <v>11</v>
      </c>
      <c r="AI888" s="17">
        <f t="shared" si="60"/>
        <v>13</v>
      </c>
      <c r="AJ888" s="17"/>
      <c r="AK888" s="17" t="s">
        <v>58</v>
      </c>
      <c r="AL888" s="16" t="s">
        <v>1902</v>
      </c>
      <c r="AM888" s="15">
        <v>2009</v>
      </c>
      <c r="AN888" s="15" t="s">
        <v>1903</v>
      </c>
      <c r="AO888" s="15" t="s">
        <v>56</v>
      </c>
      <c r="AP888" s="15"/>
      <c r="AQ888" s="15" t="s">
        <v>56</v>
      </c>
      <c r="AR888" s="15" t="s">
        <v>58</v>
      </c>
      <c r="AS888" s="15" t="s">
        <v>258</v>
      </c>
      <c r="AT888" s="12"/>
      <c r="AU888" s="45" t="s">
        <v>2684</v>
      </c>
      <c r="AV888" s="15"/>
      <c r="AW888" s="12" t="str">
        <f>B888&amp;C888&amp;L888&amp;M888&amp;O888&amp;U888&amp;AL888&amp;AM888</f>
        <v>SpainTabarca Island Marine Reserve No-take zoneOblada melanuraSaddled seabreamdensity8.93991416309013Valle2009</v>
      </c>
    </row>
    <row r="889" spans="1:49" ht="14" customHeight="1" x14ac:dyDescent="0.35">
      <c r="A889" s="12">
        <v>888</v>
      </c>
      <c r="B889" s="15" t="s">
        <v>477</v>
      </c>
      <c r="C889" s="15" t="s">
        <v>2681</v>
      </c>
      <c r="D889" s="15" t="s">
        <v>1900</v>
      </c>
      <c r="E889" s="12" t="s">
        <v>618</v>
      </c>
      <c r="F889" s="13" t="s">
        <v>274</v>
      </c>
      <c r="G889" s="13" t="s">
        <v>51</v>
      </c>
      <c r="H889" s="16" t="s">
        <v>108</v>
      </c>
      <c r="I889" s="16" t="s">
        <v>53</v>
      </c>
      <c r="J889" s="17">
        <v>14</v>
      </c>
      <c r="K889" s="17"/>
      <c r="L889" s="17" t="s">
        <v>1926</v>
      </c>
      <c r="M889" s="17" t="s">
        <v>1927</v>
      </c>
      <c r="N889" s="14" t="s">
        <v>85</v>
      </c>
      <c r="O889" s="17" t="s">
        <v>86</v>
      </c>
      <c r="P889" s="17"/>
      <c r="Q889" s="17"/>
      <c r="R889" s="17"/>
      <c r="S889" s="17">
        <v>0.11</v>
      </c>
      <c r="T889" s="17">
        <v>0.06</v>
      </c>
      <c r="U889" s="19">
        <f t="shared" si="62"/>
        <v>0.54545454545454541</v>
      </c>
      <c r="V889" s="41">
        <f t="shared" si="61"/>
        <v>-45.45454545454546</v>
      </c>
      <c r="W889" s="14"/>
      <c r="X889" s="17" t="s">
        <v>56</v>
      </c>
      <c r="Z889" s="17" t="s">
        <v>56</v>
      </c>
      <c r="AA889" s="17"/>
      <c r="AB889" s="17" t="s">
        <v>57</v>
      </c>
      <c r="AC889" s="17">
        <v>1997</v>
      </c>
      <c r="AD889" s="17">
        <v>2</v>
      </c>
      <c r="AE889" s="17"/>
      <c r="AF889" s="17"/>
      <c r="AG889" s="17">
        <v>1986</v>
      </c>
      <c r="AH889" s="14">
        <f t="shared" si="59"/>
        <v>11</v>
      </c>
      <c r="AI889" s="17">
        <f t="shared" si="60"/>
        <v>13</v>
      </c>
      <c r="AJ889" s="17"/>
      <c r="AK889" s="17" t="s">
        <v>58</v>
      </c>
      <c r="AL889" s="16" t="s">
        <v>1902</v>
      </c>
      <c r="AM889" s="15">
        <v>2009</v>
      </c>
      <c r="AN889" s="15" t="s">
        <v>1903</v>
      </c>
      <c r="AO889" s="15" t="s">
        <v>56</v>
      </c>
      <c r="AP889" s="15"/>
      <c r="AQ889" s="15" t="s">
        <v>56</v>
      </c>
      <c r="AR889" s="15" t="s">
        <v>58</v>
      </c>
      <c r="AS889" s="15" t="s">
        <v>258</v>
      </c>
      <c r="AT889" s="12"/>
      <c r="AU889" s="45" t="s">
        <v>2684</v>
      </c>
      <c r="AV889" s="15"/>
      <c r="AW889" s="12" t="str">
        <f>B889&amp;C889&amp;L889&amp;M889&amp;O889&amp;U889&amp;AL889&amp;AM889</f>
        <v>SpainTabarca Island Marine Reserve No-take zonePagrus pagrus Red porgydensity0.545454545454545Valle2009</v>
      </c>
    </row>
    <row r="890" spans="1:49" ht="14.25" customHeight="1" x14ac:dyDescent="0.35">
      <c r="A890" s="12">
        <v>889</v>
      </c>
      <c r="B890" s="15" t="s">
        <v>477</v>
      </c>
      <c r="C890" s="15" t="s">
        <v>2681</v>
      </c>
      <c r="D890" s="15" t="s">
        <v>1900</v>
      </c>
      <c r="E890" s="15" t="s">
        <v>618</v>
      </c>
      <c r="F890" s="13" t="s">
        <v>274</v>
      </c>
      <c r="G890" s="13" t="s">
        <v>51</v>
      </c>
      <c r="H890" s="16" t="s">
        <v>108</v>
      </c>
      <c r="I890" s="16" t="s">
        <v>53</v>
      </c>
      <c r="J890" s="17">
        <v>14</v>
      </c>
      <c r="K890" s="17"/>
      <c r="L890" s="17" t="s">
        <v>1371</v>
      </c>
      <c r="M890" s="17" t="s">
        <v>1928</v>
      </c>
      <c r="N890" s="14" t="s">
        <v>85</v>
      </c>
      <c r="O890" s="17" t="s">
        <v>86</v>
      </c>
      <c r="P890" s="17"/>
      <c r="Q890" s="17"/>
      <c r="R890" s="17"/>
      <c r="S890" s="17">
        <v>0</v>
      </c>
      <c r="T890" s="17">
        <v>0</v>
      </c>
      <c r="U890" s="20" t="str">
        <f t="shared" si="62"/>
        <v>N/A</v>
      </c>
      <c r="V890" s="41" t="str">
        <f t="shared" si="61"/>
        <v>N/A</v>
      </c>
      <c r="W890" s="17"/>
      <c r="X890" s="17" t="s">
        <v>56</v>
      </c>
      <c r="Z890" s="17" t="s">
        <v>56</v>
      </c>
      <c r="AA890" s="17"/>
      <c r="AB890" s="17" t="s">
        <v>57</v>
      </c>
      <c r="AC890" s="17">
        <v>1997</v>
      </c>
      <c r="AD890" s="17">
        <v>2</v>
      </c>
      <c r="AE890" s="17"/>
      <c r="AF890" s="17"/>
      <c r="AG890" s="17">
        <v>1986</v>
      </c>
      <c r="AH890" s="14">
        <f t="shared" si="59"/>
        <v>11</v>
      </c>
      <c r="AI890" s="17">
        <f t="shared" si="60"/>
        <v>13</v>
      </c>
      <c r="AJ890" s="17"/>
      <c r="AK890" s="17" t="s">
        <v>58</v>
      </c>
      <c r="AL890" s="16" t="s">
        <v>1902</v>
      </c>
      <c r="AM890" s="15">
        <v>2009</v>
      </c>
      <c r="AN890" s="15" t="s">
        <v>1903</v>
      </c>
      <c r="AO890" s="15" t="s">
        <v>56</v>
      </c>
      <c r="AP890" s="15"/>
      <c r="AQ890" s="15" t="s">
        <v>56</v>
      </c>
      <c r="AR890" s="15" t="s">
        <v>58</v>
      </c>
      <c r="AS890" s="15" t="s">
        <v>258</v>
      </c>
      <c r="AT890" s="15"/>
      <c r="AU890" s="45" t="s">
        <v>2684</v>
      </c>
      <c r="AV890" s="15"/>
      <c r="AW890" s="12" t="str">
        <f>B890&amp;C890&amp;L890&amp;M890&amp;O890&amp;U890&amp;AL890&amp;AM890</f>
        <v>SpainTabarca Island Marine Reserve No-take zoneSparus aurataGilthead seabreamdensityN/AValle2009</v>
      </c>
    </row>
    <row r="891" spans="1:49" ht="14.25" customHeight="1" x14ac:dyDescent="0.35">
      <c r="A891" s="12">
        <v>890</v>
      </c>
      <c r="B891" s="15" t="s">
        <v>477</v>
      </c>
      <c r="C891" s="15" t="s">
        <v>2681</v>
      </c>
      <c r="D891" s="15" t="s">
        <v>1900</v>
      </c>
      <c r="E891" s="15" t="s">
        <v>618</v>
      </c>
      <c r="F891" s="13" t="s">
        <v>274</v>
      </c>
      <c r="G891" s="13" t="s">
        <v>51</v>
      </c>
      <c r="H891" s="16" t="s">
        <v>108</v>
      </c>
      <c r="I891" s="16" t="s">
        <v>53</v>
      </c>
      <c r="J891" s="17">
        <v>14</v>
      </c>
      <c r="K891" s="17"/>
      <c r="L891" s="17" t="s">
        <v>1929</v>
      </c>
      <c r="M891" s="17" t="s">
        <v>1930</v>
      </c>
      <c r="N891" s="14" t="s">
        <v>85</v>
      </c>
      <c r="O891" s="17" t="s">
        <v>86</v>
      </c>
      <c r="P891" s="17"/>
      <c r="Q891" s="17"/>
      <c r="R891" s="17"/>
      <c r="S891" s="17">
        <v>0.28000000000000003</v>
      </c>
      <c r="T891" s="17">
        <v>0.22</v>
      </c>
      <c r="U891" s="20">
        <f t="shared" si="62"/>
        <v>0.7857142857142857</v>
      </c>
      <c r="V891" s="41">
        <f t="shared" si="61"/>
        <v>-21.428571428571431</v>
      </c>
      <c r="W891" s="17"/>
      <c r="X891" s="17" t="s">
        <v>56</v>
      </c>
      <c r="Y891" s="17"/>
      <c r="Z891" s="17" t="s">
        <v>56</v>
      </c>
      <c r="AA891" s="17"/>
      <c r="AB891" s="17" t="s">
        <v>57</v>
      </c>
      <c r="AC891" s="17">
        <v>1997</v>
      </c>
      <c r="AD891" s="17">
        <v>2</v>
      </c>
      <c r="AE891" s="17"/>
      <c r="AF891" s="17"/>
      <c r="AG891" s="17">
        <v>1986</v>
      </c>
      <c r="AH891" s="14">
        <f t="shared" si="59"/>
        <v>11</v>
      </c>
      <c r="AI891" s="17">
        <f t="shared" si="60"/>
        <v>13</v>
      </c>
      <c r="AJ891" s="17"/>
      <c r="AK891" s="17" t="s">
        <v>58</v>
      </c>
      <c r="AL891" s="16" t="s">
        <v>1902</v>
      </c>
      <c r="AM891" s="15">
        <v>2009</v>
      </c>
      <c r="AN891" s="15" t="s">
        <v>1903</v>
      </c>
      <c r="AO891" s="15" t="s">
        <v>56</v>
      </c>
      <c r="AP891" s="15"/>
      <c r="AQ891" s="15" t="s">
        <v>56</v>
      </c>
      <c r="AR891" s="15" t="s">
        <v>58</v>
      </c>
      <c r="AS891" s="15" t="s">
        <v>258</v>
      </c>
      <c r="AT891" s="15"/>
      <c r="AU891" s="45" t="s">
        <v>2684</v>
      </c>
      <c r="AV891" s="15"/>
      <c r="AW891" s="12" t="str">
        <f>B891&amp;C891&amp;L891&amp;M891&amp;O891&amp;U891&amp;AL891&amp;AM891</f>
        <v>SpainTabarca Island Marine Reserve No-take zoneSerranus cabrilla 	Comberdensity0.785714285714286Valle2009</v>
      </c>
    </row>
    <row r="892" spans="1:49" ht="14.25" customHeight="1" x14ac:dyDescent="0.35">
      <c r="A892" s="12">
        <v>891</v>
      </c>
      <c r="B892" s="15" t="s">
        <v>477</v>
      </c>
      <c r="C892" s="15" t="s">
        <v>2681</v>
      </c>
      <c r="D892" s="15" t="s">
        <v>1900</v>
      </c>
      <c r="E892" s="15" t="s">
        <v>618</v>
      </c>
      <c r="F892" s="13" t="s">
        <v>274</v>
      </c>
      <c r="G892" s="13" t="s">
        <v>51</v>
      </c>
      <c r="H892" s="16" t="s">
        <v>108</v>
      </c>
      <c r="I892" s="16" t="s">
        <v>53</v>
      </c>
      <c r="J892" s="17">
        <v>14</v>
      </c>
      <c r="K892" s="17"/>
      <c r="L892" s="17" t="s">
        <v>1931</v>
      </c>
      <c r="M892" s="17" t="s">
        <v>1932</v>
      </c>
      <c r="N892" s="14" t="s">
        <v>85</v>
      </c>
      <c r="O892" s="17" t="s">
        <v>86</v>
      </c>
      <c r="P892" s="17"/>
      <c r="Q892" s="17"/>
      <c r="R892" s="17"/>
      <c r="S892" s="17">
        <v>0.5</v>
      </c>
      <c r="T892" s="17">
        <v>0</v>
      </c>
      <c r="U892" s="20">
        <f t="shared" si="62"/>
        <v>0</v>
      </c>
      <c r="V892" s="41">
        <f t="shared" si="61"/>
        <v>-100</v>
      </c>
      <c r="W892" s="17"/>
      <c r="X892" s="17" t="s">
        <v>56</v>
      </c>
      <c r="Z892" s="17" t="s">
        <v>56</v>
      </c>
      <c r="AA892" s="17"/>
      <c r="AB892" s="17" t="s">
        <v>57</v>
      </c>
      <c r="AC892" s="17">
        <v>1997</v>
      </c>
      <c r="AD892" s="17">
        <v>2</v>
      </c>
      <c r="AE892" s="17"/>
      <c r="AF892" s="17"/>
      <c r="AG892" s="17">
        <v>1986</v>
      </c>
      <c r="AH892" s="14">
        <f t="shared" si="59"/>
        <v>11</v>
      </c>
      <c r="AI892" s="17">
        <f t="shared" si="60"/>
        <v>13</v>
      </c>
      <c r="AJ892" s="17"/>
      <c r="AK892" s="17" t="s">
        <v>58</v>
      </c>
      <c r="AL892" s="16" t="s">
        <v>1902</v>
      </c>
      <c r="AM892" s="15">
        <v>2009</v>
      </c>
      <c r="AN892" s="15" t="s">
        <v>1903</v>
      </c>
      <c r="AO892" s="15" t="s">
        <v>56</v>
      </c>
      <c r="AP892" s="15"/>
      <c r="AQ892" s="15" t="s">
        <v>56</v>
      </c>
      <c r="AR892" s="15" t="s">
        <v>58</v>
      </c>
      <c r="AS892" s="15" t="s">
        <v>258</v>
      </c>
      <c r="AT892" s="15"/>
      <c r="AU892" s="45" t="s">
        <v>2684</v>
      </c>
      <c r="AV892" s="15"/>
      <c r="AW892" s="12" t="str">
        <f>B892&amp;C892&amp;L892&amp;M892&amp;O892&amp;U892&amp;AL892&amp;AM892</f>
        <v>SpainTabarca Island Marine Reserve No-take zoneSymphodus cinereus	Grey wrassedensity0Valle2009</v>
      </c>
    </row>
    <row r="893" spans="1:49" ht="14.25" customHeight="1" x14ac:dyDescent="0.35">
      <c r="A893" s="12">
        <v>892</v>
      </c>
      <c r="B893" s="15" t="s">
        <v>477</v>
      </c>
      <c r="C893" s="15" t="s">
        <v>2681</v>
      </c>
      <c r="D893" s="15" t="s">
        <v>1900</v>
      </c>
      <c r="E893" s="15" t="s">
        <v>618</v>
      </c>
      <c r="F893" s="13" t="s">
        <v>274</v>
      </c>
      <c r="G893" s="13" t="s">
        <v>51</v>
      </c>
      <c r="H893" s="16" t="s">
        <v>108</v>
      </c>
      <c r="I893" s="16" t="s">
        <v>53</v>
      </c>
      <c r="J893" s="17">
        <v>14</v>
      </c>
      <c r="K893" s="17"/>
      <c r="L893" s="17" t="s">
        <v>1933</v>
      </c>
      <c r="M893" s="17" t="s">
        <v>1934</v>
      </c>
      <c r="N893" s="14" t="s">
        <v>85</v>
      </c>
      <c r="O893" s="17" t="s">
        <v>86</v>
      </c>
      <c r="P893" s="17"/>
      <c r="Q893" s="17"/>
      <c r="R893" s="17"/>
      <c r="S893" s="17">
        <v>0</v>
      </c>
      <c r="T893" s="17">
        <v>0</v>
      </c>
      <c r="U893" s="20" t="str">
        <f t="shared" si="62"/>
        <v>N/A</v>
      </c>
      <c r="V893" s="41" t="str">
        <f t="shared" si="61"/>
        <v>N/A</v>
      </c>
      <c r="W893" s="17"/>
      <c r="X893" s="17" t="s">
        <v>56</v>
      </c>
      <c r="Z893" s="17" t="s">
        <v>56</v>
      </c>
      <c r="AA893" s="17"/>
      <c r="AB893" s="17" t="s">
        <v>57</v>
      </c>
      <c r="AC893" s="17">
        <v>1997</v>
      </c>
      <c r="AD893" s="17">
        <v>2</v>
      </c>
      <c r="AE893" s="17"/>
      <c r="AF893" s="17"/>
      <c r="AG893" s="17">
        <v>1986</v>
      </c>
      <c r="AH893" s="14">
        <f t="shared" si="59"/>
        <v>11</v>
      </c>
      <c r="AI893" s="17">
        <f t="shared" si="60"/>
        <v>13</v>
      </c>
      <c r="AJ893" s="17"/>
      <c r="AK893" s="17" t="s">
        <v>58</v>
      </c>
      <c r="AL893" s="16" t="s">
        <v>1902</v>
      </c>
      <c r="AM893" s="15">
        <v>2009</v>
      </c>
      <c r="AN893" s="15" t="s">
        <v>1903</v>
      </c>
      <c r="AO893" s="15" t="s">
        <v>56</v>
      </c>
      <c r="AP893" s="15"/>
      <c r="AQ893" s="15" t="s">
        <v>56</v>
      </c>
      <c r="AR893" s="15" t="s">
        <v>58</v>
      </c>
      <c r="AS893" s="15" t="s">
        <v>258</v>
      </c>
      <c r="AT893" s="15"/>
      <c r="AU893" s="45" t="s">
        <v>2684</v>
      </c>
      <c r="AV893" s="15"/>
      <c r="AW893" s="12" t="str">
        <f>B893&amp;C893&amp;L893&amp;M893&amp;O893&amp;U893&amp;AL893&amp;AM893</f>
        <v>SpainTabarca Island Marine Reserve No-take zoneSeriola dumerili 	Greater amberjackdensityN/AValle2009</v>
      </c>
    </row>
    <row r="894" spans="1:49" ht="14.25" customHeight="1" x14ac:dyDescent="0.35">
      <c r="A894" s="12">
        <v>893</v>
      </c>
      <c r="B894" s="15" t="s">
        <v>477</v>
      </c>
      <c r="C894" s="15" t="s">
        <v>2681</v>
      </c>
      <c r="D894" s="15" t="s">
        <v>1900</v>
      </c>
      <c r="E894" s="15" t="s">
        <v>618</v>
      </c>
      <c r="F894" s="13" t="s">
        <v>274</v>
      </c>
      <c r="G894" s="13" t="s">
        <v>51</v>
      </c>
      <c r="H894" s="16" t="s">
        <v>108</v>
      </c>
      <c r="I894" s="16" t="s">
        <v>53</v>
      </c>
      <c r="J894" s="17">
        <v>14</v>
      </c>
      <c r="K894" s="17"/>
      <c r="L894" s="17" t="s">
        <v>1935</v>
      </c>
      <c r="M894" s="17" t="s">
        <v>1936</v>
      </c>
      <c r="N894" s="14" t="s">
        <v>85</v>
      </c>
      <c r="O894" s="17" t="s">
        <v>86</v>
      </c>
      <c r="P894" s="17"/>
      <c r="Q894" s="17"/>
      <c r="R894" s="17"/>
      <c r="S894" s="17">
        <v>0</v>
      </c>
      <c r="T894" s="17">
        <v>0</v>
      </c>
      <c r="U894" s="20" t="str">
        <f t="shared" si="62"/>
        <v>N/A</v>
      </c>
      <c r="V894" s="41" t="str">
        <f t="shared" si="61"/>
        <v>N/A</v>
      </c>
      <c r="W894" s="17"/>
      <c r="X894" s="17" t="s">
        <v>56</v>
      </c>
      <c r="Z894" s="17" t="s">
        <v>56</v>
      </c>
      <c r="AA894" s="17"/>
      <c r="AB894" s="17" t="s">
        <v>57</v>
      </c>
      <c r="AC894" s="17">
        <v>1997</v>
      </c>
      <c r="AD894" s="17">
        <v>2</v>
      </c>
      <c r="AE894" s="17"/>
      <c r="AF894" s="17"/>
      <c r="AG894" s="17">
        <v>1986</v>
      </c>
      <c r="AH894" s="14">
        <f t="shared" si="59"/>
        <v>11</v>
      </c>
      <c r="AI894" s="17">
        <f t="shared" si="60"/>
        <v>13</v>
      </c>
      <c r="AJ894" s="17"/>
      <c r="AK894" s="17" t="s">
        <v>58</v>
      </c>
      <c r="AL894" s="16" t="s">
        <v>1902</v>
      </c>
      <c r="AM894" s="15">
        <v>2009</v>
      </c>
      <c r="AN894" s="15" t="s">
        <v>1903</v>
      </c>
      <c r="AO894" s="15" t="s">
        <v>56</v>
      </c>
      <c r="AP894" s="15"/>
      <c r="AQ894" s="15" t="s">
        <v>56</v>
      </c>
      <c r="AR894" s="15" t="s">
        <v>58</v>
      </c>
      <c r="AS894" s="15" t="s">
        <v>258</v>
      </c>
      <c r="AT894" s="15"/>
      <c r="AU894" s="45" t="s">
        <v>2684</v>
      </c>
      <c r="AV894" s="15"/>
      <c r="AW894" s="12" t="str">
        <f>B894&amp;C894&amp;L894&amp;M894&amp;O894&amp;U894&amp;AL894&amp;AM894</f>
        <v>SpainTabarca Island Marine Reserve No-take zoneSpicara maenaBlotched picareldensityN/AValle2009</v>
      </c>
    </row>
    <row r="895" spans="1:49" ht="14.25" customHeight="1" x14ac:dyDescent="0.35">
      <c r="A895" s="12">
        <v>894</v>
      </c>
      <c r="B895" s="15" t="s">
        <v>477</v>
      </c>
      <c r="C895" s="15" t="s">
        <v>2681</v>
      </c>
      <c r="D895" s="15" t="s">
        <v>1900</v>
      </c>
      <c r="E895" s="15" t="s">
        <v>618</v>
      </c>
      <c r="F895" s="13" t="s">
        <v>274</v>
      </c>
      <c r="G895" s="13" t="s">
        <v>51</v>
      </c>
      <c r="H895" s="16" t="s">
        <v>108</v>
      </c>
      <c r="I895" s="16" t="s">
        <v>53</v>
      </c>
      <c r="J895" s="17">
        <v>14</v>
      </c>
      <c r="K895" s="17"/>
      <c r="L895" s="17" t="s">
        <v>1580</v>
      </c>
      <c r="M895" s="17" t="s">
        <v>1937</v>
      </c>
      <c r="N895" s="14" t="s">
        <v>85</v>
      </c>
      <c r="O895" s="17" t="s">
        <v>86</v>
      </c>
      <c r="P895" s="17"/>
      <c r="Q895" s="17"/>
      <c r="R895" s="17"/>
      <c r="S895" s="17">
        <v>0</v>
      </c>
      <c r="T895" s="17">
        <v>0</v>
      </c>
      <c r="U895" s="20" t="str">
        <f t="shared" si="62"/>
        <v>N/A</v>
      </c>
      <c r="V895" s="41" t="str">
        <f t="shared" si="61"/>
        <v>N/A</v>
      </c>
      <c r="W895" s="17"/>
      <c r="X895" s="17" t="s">
        <v>56</v>
      </c>
      <c r="Z895" s="17" t="s">
        <v>56</v>
      </c>
      <c r="AA895" s="17"/>
      <c r="AB895" s="17" t="s">
        <v>57</v>
      </c>
      <c r="AC895" s="17">
        <v>1997</v>
      </c>
      <c r="AD895" s="17">
        <v>2</v>
      </c>
      <c r="AE895" s="17"/>
      <c r="AF895" s="17"/>
      <c r="AG895" s="17">
        <v>1986</v>
      </c>
      <c r="AH895" s="14">
        <f t="shared" si="59"/>
        <v>11</v>
      </c>
      <c r="AI895" s="17">
        <f t="shared" si="60"/>
        <v>13</v>
      </c>
      <c r="AJ895" s="17"/>
      <c r="AK895" s="17" t="s">
        <v>58</v>
      </c>
      <c r="AL895" s="16" t="s">
        <v>1902</v>
      </c>
      <c r="AM895" s="15">
        <v>2009</v>
      </c>
      <c r="AN895" s="15" t="s">
        <v>1903</v>
      </c>
      <c r="AO895" s="15" t="s">
        <v>56</v>
      </c>
      <c r="AP895" s="15"/>
      <c r="AQ895" s="15" t="s">
        <v>56</v>
      </c>
      <c r="AR895" s="15" t="s">
        <v>58</v>
      </c>
      <c r="AS895" s="15" t="s">
        <v>258</v>
      </c>
      <c r="AT895" s="15"/>
      <c r="AU895" s="45" t="s">
        <v>2684</v>
      </c>
      <c r="AV895" s="15"/>
      <c r="AW895" s="12" t="str">
        <f>B895&amp;C895&amp;L895&amp;M895&amp;O895&amp;U895&amp;AL895&amp;AM895</f>
        <v>SpainTabarca Island Marine Reserve No-take zoneSymphodus mediterraneusAxillary wrassedensityN/AValle2009</v>
      </c>
    </row>
    <row r="896" spans="1:49" ht="14.25" customHeight="1" x14ac:dyDescent="0.35">
      <c r="A896" s="12">
        <v>895</v>
      </c>
      <c r="B896" s="15" t="s">
        <v>477</v>
      </c>
      <c r="C896" s="15" t="s">
        <v>2681</v>
      </c>
      <c r="D896" s="15" t="s">
        <v>1900</v>
      </c>
      <c r="E896" s="15" t="s">
        <v>618</v>
      </c>
      <c r="F896" s="13" t="s">
        <v>274</v>
      </c>
      <c r="G896" s="13" t="s">
        <v>51</v>
      </c>
      <c r="H896" s="16" t="s">
        <v>108</v>
      </c>
      <c r="I896" s="16" t="s">
        <v>53</v>
      </c>
      <c r="J896" s="17">
        <v>14</v>
      </c>
      <c r="K896" s="17"/>
      <c r="L896" s="17" t="s">
        <v>1581</v>
      </c>
      <c r="M896" s="17" t="s">
        <v>1938</v>
      </c>
      <c r="N896" s="14" t="s">
        <v>85</v>
      </c>
      <c r="O896" s="17" t="s">
        <v>86</v>
      </c>
      <c r="P896" s="17"/>
      <c r="Q896" s="17"/>
      <c r="R896" s="17"/>
      <c r="S896" s="17">
        <v>0</v>
      </c>
      <c r="T896" s="17">
        <v>0.17</v>
      </c>
      <c r="U896" s="20" t="str">
        <f t="shared" si="62"/>
        <v>N/A</v>
      </c>
      <c r="V896" s="41" t="str">
        <f t="shared" si="61"/>
        <v>N/A</v>
      </c>
      <c r="W896" s="17"/>
      <c r="X896" s="17" t="s">
        <v>56</v>
      </c>
      <c r="Z896" s="17" t="s">
        <v>56</v>
      </c>
      <c r="AA896" s="17"/>
      <c r="AB896" s="17" t="s">
        <v>57</v>
      </c>
      <c r="AC896" s="17">
        <v>1997</v>
      </c>
      <c r="AD896" s="17">
        <v>2</v>
      </c>
      <c r="AE896" s="17"/>
      <c r="AF896" s="17"/>
      <c r="AG896" s="17">
        <v>1986</v>
      </c>
      <c r="AH896" s="14">
        <f t="shared" ref="AH896:AH959" si="63">IF(OR(AG896="NA",AC896="NA"),"NA",IF(OR(AC896="",AG896=""), "", AC896-AG896))</f>
        <v>11</v>
      </c>
      <c r="AI896" s="17">
        <f t="shared" ref="AI896:AI959" si="64">IF(AH896="NA", "NA",IF(OR(AH896="",AND(AD896="",AE896="")), "",AH896+AD896+AE896/12))</f>
        <v>13</v>
      </c>
      <c r="AJ896" s="17"/>
      <c r="AK896" s="17" t="s">
        <v>58</v>
      </c>
      <c r="AL896" s="16" t="s">
        <v>1902</v>
      </c>
      <c r="AM896" s="15">
        <v>2009</v>
      </c>
      <c r="AN896" s="15" t="s">
        <v>1903</v>
      </c>
      <c r="AO896" s="15" t="s">
        <v>56</v>
      </c>
      <c r="AP896" s="15"/>
      <c r="AQ896" s="15" t="s">
        <v>56</v>
      </c>
      <c r="AR896" s="15" t="s">
        <v>58</v>
      </c>
      <c r="AS896" s="15" t="s">
        <v>258</v>
      </c>
      <c r="AT896" s="15"/>
      <c r="AU896" s="45" t="s">
        <v>2684</v>
      </c>
      <c r="AV896" s="15"/>
      <c r="AW896" s="12" t="str">
        <f>B896&amp;C896&amp;L896&amp;M896&amp;O896&amp;U896&amp;AL896&amp;AM896</f>
        <v>SpainTabarca Island Marine Reserve No-take zoneSymphodus melanocercuswrassedensityN/AValle2009</v>
      </c>
    </row>
    <row r="897" spans="1:49" ht="14.25" customHeight="1" x14ac:dyDescent="0.35">
      <c r="A897" s="12">
        <v>896</v>
      </c>
      <c r="B897" s="15" t="s">
        <v>477</v>
      </c>
      <c r="C897" s="15" t="s">
        <v>2681</v>
      </c>
      <c r="D897" s="15" t="s">
        <v>1900</v>
      </c>
      <c r="E897" s="15" t="s">
        <v>618</v>
      </c>
      <c r="F897" s="13" t="s">
        <v>274</v>
      </c>
      <c r="G897" s="13" t="s">
        <v>51</v>
      </c>
      <c r="H897" s="16" t="s">
        <v>108</v>
      </c>
      <c r="I897" s="16" t="s">
        <v>53</v>
      </c>
      <c r="J897" s="17">
        <v>14</v>
      </c>
      <c r="K897" s="17"/>
      <c r="L897" s="17" t="s">
        <v>1939</v>
      </c>
      <c r="M897" s="17" t="s">
        <v>1940</v>
      </c>
      <c r="N897" s="14" t="s">
        <v>85</v>
      </c>
      <c r="O897" s="17" t="s">
        <v>86</v>
      </c>
      <c r="P897" s="17"/>
      <c r="Q897" s="17"/>
      <c r="R897" s="17"/>
      <c r="S897" s="17">
        <v>6.06</v>
      </c>
      <c r="T897" s="17">
        <v>2.94</v>
      </c>
      <c r="U897" s="20">
        <f t="shared" si="62"/>
        <v>0.48514851485148519</v>
      </c>
      <c r="V897" s="41">
        <f t="shared" si="61"/>
        <v>-51.485148514851488</v>
      </c>
      <c r="W897" s="17"/>
      <c r="X897" s="17" t="s">
        <v>56</v>
      </c>
      <c r="Z897" s="17" t="s">
        <v>56</v>
      </c>
      <c r="AA897" s="17"/>
      <c r="AB897" s="17" t="s">
        <v>57</v>
      </c>
      <c r="AC897" s="17">
        <v>1997</v>
      </c>
      <c r="AD897" s="17">
        <v>2</v>
      </c>
      <c r="AE897" s="17"/>
      <c r="AF897" s="17"/>
      <c r="AG897" s="17">
        <v>1986</v>
      </c>
      <c r="AH897" s="14">
        <f t="shared" si="63"/>
        <v>11</v>
      </c>
      <c r="AI897" s="17">
        <f t="shared" si="64"/>
        <v>13</v>
      </c>
      <c r="AJ897" s="17"/>
      <c r="AK897" s="17" t="s">
        <v>58</v>
      </c>
      <c r="AL897" s="16" t="s">
        <v>1902</v>
      </c>
      <c r="AM897" s="15">
        <v>2009</v>
      </c>
      <c r="AN897" s="15" t="s">
        <v>1903</v>
      </c>
      <c r="AO897" s="15" t="s">
        <v>56</v>
      </c>
      <c r="AP897" s="15"/>
      <c r="AQ897" s="15" t="s">
        <v>56</v>
      </c>
      <c r="AR897" s="15" t="s">
        <v>58</v>
      </c>
      <c r="AS897" s="15" t="s">
        <v>258</v>
      </c>
      <c r="AT897" s="15"/>
      <c r="AU897" s="45" t="s">
        <v>2684</v>
      </c>
      <c r="AV897" s="15"/>
      <c r="AW897" s="12" t="str">
        <f>B897&amp;C897&amp;L897&amp;M897&amp;O897&amp;U897&amp;AL897&amp;AM897</f>
        <v>SpainTabarca Island Marine Reserve No-take zoneSciaenops ocellatus Red drumdensity0.485148514851485Valle2009</v>
      </c>
    </row>
    <row r="898" spans="1:49" ht="14.25" customHeight="1" x14ac:dyDescent="0.35">
      <c r="A898" s="12">
        <v>897</v>
      </c>
      <c r="B898" s="15" t="s">
        <v>477</v>
      </c>
      <c r="C898" s="15" t="s">
        <v>2681</v>
      </c>
      <c r="D898" s="15" t="s">
        <v>1900</v>
      </c>
      <c r="E898" s="15" t="s">
        <v>618</v>
      </c>
      <c r="F898" s="13" t="s">
        <v>274</v>
      </c>
      <c r="G898" s="13" t="s">
        <v>51</v>
      </c>
      <c r="H898" s="16" t="s">
        <v>108</v>
      </c>
      <c r="I898" s="16" t="s">
        <v>53</v>
      </c>
      <c r="J898" s="17">
        <v>14</v>
      </c>
      <c r="K898" s="17"/>
      <c r="L898" s="17" t="s">
        <v>1591</v>
      </c>
      <c r="M898" s="17" t="s">
        <v>1941</v>
      </c>
      <c r="N898" s="14" t="s">
        <v>85</v>
      </c>
      <c r="O898" s="17" t="s">
        <v>86</v>
      </c>
      <c r="P898" s="17"/>
      <c r="Q898" s="17"/>
      <c r="R898" s="17"/>
      <c r="S898" s="17">
        <v>0</v>
      </c>
      <c r="T898" s="17">
        <v>0</v>
      </c>
      <c r="U898" s="20" t="str">
        <f t="shared" si="62"/>
        <v>N/A</v>
      </c>
      <c r="V898" s="41" t="str">
        <f t="shared" ref="V898:V961" si="65">IFERROR(IF(U898 = "", "",(U898-1)*100),"N/A")</f>
        <v>N/A</v>
      </c>
      <c r="W898" s="17"/>
      <c r="X898" s="17" t="s">
        <v>56</v>
      </c>
      <c r="Z898" s="17" t="s">
        <v>56</v>
      </c>
      <c r="AA898" s="17"/>
      <c r="AB898" s="17" t="s">
        <v>57</v>
      </c>
      <c r="AC898" s="17">
        <v>1997</v>
      </c>
      <c r="AD898" s="17">
        <v>2</v>
      </c>
      <c r="AE898" s="17"/>
      <c r="AF898" s="17"/>
      <c r="AG898" s="17">
        <v>1986</v>
      </c>
      <c r="AH898" s="14">
        <f t="shared" si="63"/>
        <v>11</v>
      </c>
      <c r="AI898" s="17">
        <f t="shared" si="64"/>
        <v>13</v>
      </c>
      <c r="AJ898" s="17"/>
      <c r="AK898" s="17" t="s">
        <v>58</v>
      </c>
      <c r="AL898" s="16" t="s">
        <v>1902</v>
      </c>
      <c r="AM898" s="15">
        <v>2009</v>
      </c>
      <c r="AN898" s="15" t="s">
        <v>1903</v>
      </c>
      <c r="AO898" s="15" t="s">
        <v>56</v>
      </c>
      <c r="AP898" s="15"/>
      <c r="AQ898" s="15" t="s">
        <v>56</v>
      </c>
      <c r="AR898" s="15" t="s">
        <v>58</v>
      </c>
      <c r="AS898" s="15" t="s">
        <v>258</v>
      </c>
      <c r="AT898" s="15"/>
      <c r="AU898" s="45" t="s">
        <v>2684</v>
      </c>
      <c r="AV898" s="15"/>
      <c r="AW898" s="12" t="str">
        <f>B898&amp;C898&amp;L898&amp;M898&amp;O898&amp;U898&amp;AL898&amp;AM898</f>
        <v>SpainTabarca Island Marine Reserve No-take zoneScorpaena porcusBlack scorpionfishdensityN/AValle2009</v>
      </c>
    </row>
    <row r="899" spans="1:49" ht="14.25" customHeight="1" x14ac:dyDescent="0.35">
      <c r="A899" s="12">
        <v>898</v>
      </c>
      <c r="B899" s="15" t="s">
        <v>477</v>
      </c>
      <c r="C899" s="15" t="s">
        <v>2681</v>
      </c>
      <c r="D899" s="15" t="s">
        <v>1900</v>
      </c>
      <c r="E899" s="15" t="s">
        <v>618</v>
      </c>
      <c r="F899" s="13" t="s">
        <v>274</v>
      </c>
      <c r="G899" s="13" t="s">
        <v>51</v>
      </c>
      <c r="H899" s="16" t="s">
        <v>108</v>
      </c>
      <c r="I899" s="16" t="s">
        <v>53</v>
      </c>
      <c r="J899" s="17">
        <v>14</v>
      </c>
      <c r="K899" s="17"/>
      <c r="L899" s="17" t="s">
        <v>1942</v>
      </c>
      <c r="M899" s="17" t="s">
        <v>1943</v>
      </c>
      <c r="N899" s="14" t="s">
        <v>85</v>
      </c>
      <c r="O899" s="17" t="s">
        <v>86</v>
      </c>
      <c r="P899" s="17"/>
      <c r="Q899" s="17"/>
      <c r="R899" s="17"/>
      <c r="S899" s="17">
        <v>0.44</v>
      </c>
      <c r="T899" s="17">
        <v>0.44</v>
      </c>
      <c r="U899" s="20">
        <f t="shared" si="62"/>
        <v>1</v>
      </c>
      <c r="V899" s="41">
        <f t="shared" si="65"/>
        <v>0</v>
      </c>
      <c r="W899" s="17"/>
      <c r="X899" s="17" t="s">
        <v>56</v>
      </c>
      <c r="Z899" s="17" t="s">
        <v>56</v>
      </c>
      <c r="AA899" s="17"/>
      <c r="AB899" s="17" t="s">
        <v>57</v>
      </c>
      <c r="AC899" s="17">
        <v>1997</v>
      </c>
      <c r="AD899" s="17">
        <v>2</v>
      </c>
      <c r="AE899" s="17"/>
      <c r="AF899" s="17"/>
      <c r="AG899" s="17">
        <v>1986</v>
      </c>
      <c r="AH899" s="14">
        <f t="shared" si="63"/>
        <v>11</v>
      </c>
      <c r="AI899" s="17">
        <f t="shared" si="64"/>
        <v>13</v>
      </c>
      <c r="AJ899" s="17"/>
      <c r="AK899" s="17" t="s">
        <v>58</v>
      </c>
      <c r="AL899" s="16" t="s">
        <v>1902</v>
      </c>
      <c r="AM899" s="15">
        <v>2009</v>
      </c>
      <c r="AN899" s="15" t="s">
        <v>1903</v>
      </c>
      <c r="AO899" s="15" t="s">
        <v>56</v>
      </c>
      <c r="AP899" s="15"/>
      <c r="AQ899" s="15" t="s">
        <v>56</v>
      </c>
      <c r="AR899" s="15" t="s">
        <v>58</v>
      </c>
      <c r="AS899" s="15" t="s">
        <v>258</v>
      </c>
      <c r="AT899" s="15"/>
      <c r="AU899" s="45" t="s">
        <v>2684</v>
      </c>
      <c r="AV899" s="15"/>
      <c r="AW899" s="12" t="str">
        <f>B899&amp;C899&amp;L899&amp;M899&amp;O899&amp;U899&amp;AL899&amp;AM899</f>
        <v>SpainTabarca Island Marine Reserve No-take zoneSymphodus roissali Five-spotted wrassedensity1Valle2009</v>
      </c>
    </row>
    <row r="900" spans="1:49" ht="14.25" customHeight="1" x14ac:dyDescent="0.35">
      <c r="A900" s="12">
        <v>899</v>
      </c>
      <c r="B900" s="15" t="s">
        <v>477</v>
      </c>
      <c r="C900" s="15" t="s">
        <v>2681</v>
      </c>
      <c r="D900" s="15" t="s">
        <v>1900</v>
      </c>
      <c r="E900" s="15" t="s">
        <v>618</v>
      </c>
      <c r="F900" s="13" t="s">
        <v>274</v>
      </c>
      <c r="G900" s="13" t="s">
        <v>51</v>
      </c>
      <c r="H900" s="16" t="s">
        <v>108</v>
      </c>
      <c r="I900" s="16" t="s">
        <v>53</v>
      </c>
      <c r="J900" s="17">
        <v>14</v>
      </c>
      <c r="K900" s="17"/>
      <c r="L900" s="17" t="s">
        <v>1944</v>
      </c>
      <c r="M900" s="14" t="s">
        <v>1945</v>
      </c>
      <c r="N900" s="14" t="s">
        <v>85</v>
      </c>
      <c r="O900" s="17" t="s">
        <v>86</v>
      </c>
      <c r="P900" s="17"/>
      <c r="Q900" s="17"/>
      <c r="R900" s="17"/>
      <c r="S900" s="17">
        <v>0.28000000000000003</v>
      </c>
      <c r="T900" s="17">
        <v>0.44</v>
      </c>
      <c r="U900" s="20">
        <f t="shared" si="62"/>
        <v>1.5714285714285714</v>
      </c>
      <c r="V900" s="41">
        <f t="shared" si="65"/>
        <v>57.142857142857139</v>
      </c>
      <c r="W900" s="17"/>
      <c r="X900" s="17" t="s">
        <v>56</v>
      </c>
      <c r="Z900" s="17" t="s">
        <v>56</v>
      </c>
      <c r="AA900" s="17"/>
      <c r="AB900" s="17" t="s">
        <v>57</v>
      </c>
      <c r="AC900" s="17">
        <v>1997</v>
      </c>
      <c r="AD900" s="17">
        <v>2</v>
      </c>
      <c r="AE900" s="17"/>
      <c r="AF900" s="17"/>
      <c r="AG900" s="17">
        <v>1986</v>
      </c>
      <c r="AH900" s="14">
        <f t="shared" si="63"/>
        <v>11</v>
      </c>
      <c r="AI900" s="17">
        <f t="shared" si="64"/>
        <v>13</v>
      </c>
      <c r="AJ900" s="17"/>
      <c r="AK900" s="17" t="s">
        <v>58</v>
      </c>
      <c r="AL900" s="16" t="s">
        <v>1902</v>
      </c>
      <c r="AM900" s="15">
        <v>2009</v>
      </c>
      <c r="AN900" s="15" t="s">
        <v>1903</v>
      </c>
      <c r="AO900" s="15" t="s">
        <v>56</v>
      </c>
      <c r="AP900" s="15"/>
      <c r="AQ900" s="15" t="s">
        <v>56</v>
      </c>
      <c r="AR900" s="15" t="s">
        <v>58</v>
      </c>
      <c r="AS900" s="15" t="s">
        <v>258</v>
      </c>
      <c r="AT900" s="15"/>
      <c r="AU900" s="45" t="s">
        <v>2684</v>
      </c>
      <c r="AV900" s="15"/>
      <c r="AW900" s="12" t="str">
        <f>B900&amp;C900&amp;L900&amp;M900&amp;O900&amp;U900&amp;AL900&amp;AM900</f>
        <v>SpainTabarca Island Marine Reserve No-take zoneSiganus rostratusStreamlined spinefootdensity1.57142857142857Valle2009</v>
      </c>
    </row>
    <row r="901" spans="1:49" ht="14.25" customHeight="1" x14ac:dyDescent="0.35">
      <c r="A901" s="12">
        <v>900</v>
      </c>
      <c r="B901" s="15" t="s">
        <v>477</v>
      </c>
      <c r="C901" s="15" t="s">
        <v>2681</v>
      </c>
      <c r="D901" s="15" t="s">
        <v>1900</v>
      </c>
      <c r="E901" s="15" t="s">
        <v>618</v>
      </c>
      <c r="F901" s="13" t="s">
        <v>274</v>
      </c>
      <c r="G901" s="13" t="s">
        <v>51</v>
      </c>
      <c r="H901" s="16" t="s">
        <v>108</v>
      </c>
      <c r="I901" s="16" t="s">
        <v>53</v>
      </c>
      <c r="J901" s="17">
        <v>14</v>
      </c>
      <c r="K901" s="17"/>
      <c r="L901" s="17" t="s">
        <v>218</v>
      </c>
      <c r="M901" s="17" t="s">
        <v>1849</v>
      </c>
      <c r="N901" s="14" t="s">
        <v>85</v>
      </c>
      <c r="O901" s="17" t="s">
        <v>86</v>
      </c>
      <c r="P901" s="17"/>
      <c r="Q901" s="17"/>
      <c r="R901" s="17"/>
      <c r="S901" s="17">
        <v>3.22</v>
      </c>
      <c r="T901" s="17">
        <v>5.44</v>
      </c>
      <c r="U901" s="20">
        <f t="shared" si="62"/>
        <v>1.68944099378882</v>
      </c>
      <c r="V901" s="41">
        <f t="shared" si="65"/>
        <v>68.944099378882001</v>
      </c>
      <c r="W901" s="17"/>
      <c r="X901" s="17" t="s">
        <v>56</v>
      </c>
      <c r="Z901" s="17" t="s">
        <v>56</v>
      </c>
      <c r="AA901" s="17"/>
      <c r="AB901" s="17" t="s">
        <v>57</v>
      </c>
      <c r="AC901" s="17">
        <v>1997</v>
      </c>
      <c r="AD901" s="17">
        <v>2</v>
      </c>
      <c r="AE901" s="17"/>
      <c r="AF901" s="17"/>
      <c r="AG901" s="17">
        <v>1986</v>
      </c>
      <c r="AH901" s="14">
        <f t="shared" si="63"/>
        <v>11</v>
      </c>
      <c r="AI901" s="17">
        <f t="shared" si="64"/>
        <v>13</v>
      </c>
      <c r="AJ901" s="17"/>
      <c r="AK901" s="17" t="s">
        <v>58</v>
      </c>
      <c r="AL901" s="16" t="s">
        <v>1902</v>
      </c>
      <c r="AM901" s="15">
        <v>2009</v>
      </c>
      <c r="AN901" s="15" t="s">
        <v>1903</v>
      </c>
      <c r="AO901" s="15" t="s">
        <v>56</v>
      </c>
      <c r="AP901" s="15"/>
      <c r="AQ901" s="15" t="s">
        <v>56</v>
      </c>
      <c r="AR901" s="15" t="s">
        <v>58</v>
      </c>
      <c r="AS901" s="15" t="s">
        <v>258</v>
      </c>
      <c r="AT901" s="15"/>
      <c r="AU901" s="45" t="s">
        <v>2684</v>
      </c>
      <c r="AV901" s="15"/>
      <c r="AW901" s="12" t="str">
        <f>B901&amp;C901&amp;L901&amp;M901&amp;O901&amp;U901&amp;AL901&amp;AM901</f>
        <v>SpainTabarca Island Marine Reserve No-take zoneSarpa salpaSalemadensity1.68944099378882Valle2009</v>
      </c>
    </row>
    <row r="902" spans="1:49" ht="14.25" customHeight="1" x14ac:dyDescent="0.35">
      <c r="A902" s="12">
        <v>901</v>
      </c>
      <c r="B902" s="15" t="s">
        <v>477</v>
      </c>
      <c r="C902" s="15" t="s">
        <v>2681</v>
      </c>
      <c r="D902" s="15" t="s">
        <v>1900</v>
      </c>
      <c r="E902" s="15" t="s">
        <v>618</v>
      </c>
      <c r="F902" s="13" t="s">
        <v>274</v>
      </c>
      <c r="G902" s="13" t="s">
        <v>51</v>
      </c>
      <c r="H902" s="16" t="s">
        <v>108</v>
      </c>
      <c r="I902" s="16" t="s">
        <v>53</v>
      </c>
      <c r="J902" s="17">
        <v>14</v>
      </c>
      <c r="K902" s="17"/>
      <c r="L902" s="17" t="s">
        <v>1002</v>
      </c>
      <c r="M902" s="17" t="s">
        <v>1847</v>
      </c>
      <c r="N902" s="14" t="s">
        <v>85</v>
      </c>
      <c r="O902" s="17" t="s">
        <v>86</v>
      </c>
      <c r="P902" s="17"/>
      <c r="Q902" s="17"/>
      <c r="R902" s="17"/>
      <c r="S902" s="17">
        <v>1.67</v>
      </c>
      <c r="T902" s="17">
        <v>1.72</v>
      </c>
      <c r="U902" s="20">
        <f t="shared" si="62"/>
        <v>1.0299401197604792</v>
      </c>
      <c r="V902" s="41">
        <f t="shared" si="65"/>
        <v>2.9940119760479167</v>
      </c>
      <c r="W902" s="17"/>
      <c r="X902" s="17" t="s">
        <v>56</v>
      </c>
      <c r="Z902" s="17" t="s">
        <v>56</v>
      </c>
      <c r="AA902" s="17"/>
      <c r="AB902" s="17" t="s">
        <v>57</v>
      </c>
      <c r="AC902" s="17">
        <v>1997</v>
      </c>
      <c r="AD902" s="17">
        <v>2</v>
      </c>
      <c r="AE902" s="17"/>
      <c r="AF902" s="17"/>
      <c r="AG902" s="17">
        <v>1986</v>
      </c>
      <c r="AH902" s="14">
        <f t="shared" si="63"/>
        <v>11</v>
      </c>
      <c r="AI902" s="17">
        <f t="shared" si="64"/>
        <v>13</v>
      </c>
      <c r="AJ902" s="17"/>
      <c r="AK902" s="17" t="s">
        <v>58</v>
      </c>
      <c r="AL902" s="16" t="s">
        <v>1902</v>
      </c>
      <c r="AM902" s="15">
        <v>2009</v>
      </c>
      <c r="AN902" s="15" t="s">
        <v>1903</v>
      </c>
      <c r="AO902" s="15" t="s">
        <v>56</v>
      </c>
      <c r="AP902" s="15"/>
      <c r="AQ902" s="15" t="s">
        <v>56</v>
      </c>
      <c r="AR902" s="15" t="s">
        <v>58</v>
      </c>
      <c r="AS902" s="15" t="s">
        <v>258</v>
      </c>
      <c r="AT902" s="15"/>
      <c r="AU902" s="45" t="s">
        <v>2684</v>
      </c>
      <c r="AV902" s="15"/>
      <c r="AW902" s="12" t="str">
        <f>B902&amp;C902&amp;L902&amp;M902&amp;O902&amp;U902&amp;AL902&amp;AM902</f>
        <v>SpainTabarca Island Marine Reserve No-take zoneSerranus scribaPainted comberdensity1.02994011976048Valle2009</v>
      </c>
    </row>
    <row r="903" spans="1:49" ht="14.25" customHeight="1" x14ac:dyDescent="0.35">
      <c r="A903" s="12">
        <v>902</v>
      </c>
      <c r="B903" s="15" t="s">
        <v>477</v>
      </c>
      <c r="C903" s="15" t="s">
        <v>2681</v>
      </c>
      <c r="D903" s="15" t="s">
        <v>1900</v>
      </c>
      <c r="E903" s="15" t="s">
        <v>618</v>
      </c>
      <c r="F903" s="13" t="s">
        <v>274</v>
      </c>
      <c r="G903" s="13" t="s">
        <v>51</v>
      </c>
      <c r="H903" s="16" t="s">
        <v>108</v>
      </c>
      <c r="I903" s="16" t="s">
        <v>53</v>
      </c>
      <c r="J903" s="17">
        <v>14</v>
      </c>
      <c r="K903" s="17"/>
      <c r="L903" s="17" t="s">
        <v>1592</v>
      </c>
      <c r="M903" s="17" t="s">
        <v>1946</v>
      </c>
      <c r="N903" s="14" t="s">
        <v>85</v>
      </c>
      <c r="O903" s="17" t="s">
        <v>86</v>
      </c>
      <c r="P903" s="17"/>
      <c r="Q903" s="17"/>
      <c r="R903" s="17"/>
      <c r="S903" s="17">
        <v>0</v>
      </c>
      <c r="T903" s="17">
        <v>0</v>
      </c>
      <c r="U903" s="20" t="str">
        <f t="shared" si="62"/>
        <v>N/A</v>
      </c>
      <c r="V903" s="41" t="str">
        <f t="shared" si="65"/>
        <v>N/A</v>
      </c>
      <c r="W903" s="17"/>
      <c r="X903" s="17" t="s">
        <v>56</v>
      </c>
      <c r="Z903" s="17" t="s">
        <v>56</v>
      </c>
      <c r="AA903" s="17"/>
      <c r="AB903" s="17" t="s">
        <v>57</v>
      </c>
      <c r="AC903" s="17">
        <v>1997</v>
      </c>
      <c r="AD903" s="17">
        <v>2</v>
      </c>
      <c r="AE903" s="17"/>
      <c r="AF903" s="17"/>
      <c r="AG903" s="17">
        <v>1986</v>
      </c>
      <c r="AH903" s="14">
        <f t="shared" si="63"/>
        <v>11</v>
      </c>
      <c r="AI903" s="17">
        <f t="shared" si="64"/>
        <v>13</v>
      </c>
      <c r="AJ903" s="17"/>
      <c r="AK903" s="17" t="s">
        <v>58</v>
      </c>
      <c r="AL903" s="16" t="s">
        <v>1902</v>
      </c>
      <c r="AM903" s="15">
        <v>2009</v>
      </c>
      <c r="AN903" s="15" t="s">
        <v>1903</v>
      </c>
      <c r="AO903" s="15" t="s">
        <v>56</v>
      </c>
      <c r="AP903" s="15"/>
      <c r="AQ903" s="15" t="s">
        <v>56</v>
      </c>
      <c r="AR903" s="15" t="s">
        <v>58</v>
      </c>
      <c r="AS903" s="15" t="s">
        <v>258</v>
      </c>
      <c r="AT903" s="15"/>
      <c r="AU903" s="45" t="s">
        <v>2684</v>
      </c>
      <c r="AV903" s="15"/>
      <c r="AW903" s="12" t="str">
        <f>B903&amp;C903&amp;L903&amp;M903&amp;O903&amp;U903&amp;AL903&amp;AM903</f>
        <v>SpainTabarca Island Marine Reserve No-take zoneScorpaena scrofaRed scorpionfishdensityN/AValle2009</v>
      </c>
    </row>
    <row r="904" spans="1:49" ht="14.25" customHeight="1" x14ac:dyDescent="0.35">
      <c r="A904" s="12">
        <v>903</v>
      </c>
      <c r="B904" s="12" t="s">
        <v>477</v>
      </c>
      <c r="C904" s="12" t="s">
        <v>2681</v>
      </c>
      <c r="D904" s="15" t="s">
        <v>1900</v>
      </c>
      <c r="E904" s="12" t="s">
        <v>618</v>
      </c>
      <c r="F904" s="13" t="s">
        <v>274</v>
      </c>
      <c r="G904" s="13" t="s">
        <v>51</v>
      </c>
      <c r="H904" s="13" t="s">
        <v>108</v>
      </c>
      <c r="I904" s="13" t="s">
        <v>53</v>
      </c>
      <c r="J904" s="17">
        <v>14</v>
      </c>
      <c r="K904" s="14"/>
      <c r="L904" s="14" t="s">
        <v>1947</v>
      </c>
      <c r="M904" s="14" t="s">
        <v>1948</v>
      </c>
      <c r="N904" s="14" t="s">
        <v>85</v>
      </c>
      <c r="O904" s="17" t="s">
        <v>86</v>
      </c>
      <c r="P904" s="14"/>
      <c r="Q904" s="14"/>
      <c r="R904" s="14"/>
      <c r="S904" s="14">
        <v>0</v>
      </c>
      <c r="T904" s="14">
        <v>1.1100000000000001</v>
      </c>
      <c r="U904" s="19" t="str">
        <f t="shared" si="62"/>
        <v>N/A</v>
      </c>
      <c r="V904" s="41" t="str">
        <f t="shared" si="65"/>
        <v>N/A</v>
      </c>
      <c r="W904" s="14"/>
      <c r="X904" s="14" t="s">
        <v>56</v>
      </c>
      <c r="Z904" s="14" t="s">
        <v>56</v>
      </c>
      <c r="AA904" s="14"/>
      <c r="AB904" s="14" t="s">
        <v>57</v>
      </c>
      <c r="AC904" s="17">
        <v>1997</v>
      </c>
      <c r="AD904" s="14">
        <v>2</v>
      </c>
      <c r="AE904" s="14"/>
      <c r="AF904" s="14"/>
      <c r="AG904" s="14">
        <v>1986</v>
      </c>
      <c r="AH904" s="14">
        <f t="shared" si="63"/>
        <v>11</v>
      </c>
      <c r="AI904" s="17">
        <f t="shared" si="64"/>
        <v>13</v>
      </c>
      <c r="AJ904" s="14"/>
      <c r="AK904" s="14" t="s">
        <v>58</v>
      </c>
      <c r="AL904" s="13" t="s">
        <v>1902</v>
      </c>
      <c r="AM904" s="12">
        <v>2009</v>
      </c>
      <c r="AN904" s="12" t="s">
        <v>1903</v>
      </c>
      <c r="AO904" s="12" t="s">
        <v>56</v>
      </c>
      <c r="AP904" s="12"/>
      <c r="AQ904" s="12" t="s">
        <v>56</v>
      </c>
      <c r="AR904" s="12" t="s">
        <v>58</v>
      </c>
      <c r="AS904" s="12" t="s">
        <v>258</v>
      </c>
      <c r="AT904" s="12"/>
      <c r="AU904" s="45" t="s">
        <v>2684</v>
      </c>
      <c r="AV904" s="15"/>
      <c r="AW904" s="12" t="str">
        <f>B904&amp;C904&amp;L904&amp;M904&amp;O904&amp;U904&amp;AL904&amp;AM904</f>
        <v>SpainTabarca Island Marine Reserve No-take zoneSpicara smaris 	PicareldensityN/AValle2009</v>
      </c>
    </row>
    <row r="905" spans="1:49" ht="14.25" customHeight="1" x14ac:dyDescent="0.35">
      <c r="A905" s="12">
        <v>904</v>
      </c>
      <c r="B905" s="12" t="s">
        <v>477</v>
      </c>
      <c r="C905" s="12" t="s">
        <v>2681</v>
      </c>
      <c r="D905" s="12" t="s">
        <v>1900</v>
      </c>
      <c r="E905" s="12" t="s">
        <v>618</v>
      </c>
      <c r="F905" s="13" t="s">
        <v>274</v>
      </c>
      <c r="G905" s="13" t="s">
        <v>51</v>
      </c>
      <c r="H905" s="13" t="s">
        <v>108</v>
      </c>
      <c r="I905" s="13" t="s">
        <v>53</v>
      </c>
      <c r="J905" s="17">
        <v>14</v>
      </c>
      <c r="K905" s="17"/>
      <c r="L905" s="14" t="s">
        <v>1584</v>
      </c>
      <c r="M905" s="14" t="s">
        <v>1949</v>
      </c>
      <c r="N905" s="14" t="s">
        <v>85</v>
      </c>
      <c r="O905" s="17" t="s">
        <v>86</v>
      </c>
      <c r="P905" s="14"/>
      <c r="Q905" s="14"/>
      <c r="R905" s="14"/>
      <c r="S905" s="14">
        <v>7.67</v>
      </c>
      <c r="T905" s="14">
        <v>6.39</v>
      </c>
      <c r="U905" s="19">
        <f t="shared" si="62"/>
        <v>0.83311603650586696</v>
      </c>
      <c r="V905" s="41">
        <f t="shared" si="65"/>
        <v>-16.688396349413303</v>
      </c>
      <c r="W905" s="14"/>
      <c r="X905" s="14" t="s">
        <v>56</v>
      </c>
      <c r="Z905" s="17" t="s">
        <v>56</v>
      </c>
      <c r="AA905" s="14"/>
      <c r="AB905" s="14" t="s">
        <v>57</v>
      </c>
      <c r="AC905" s="17">
        <v>1997</v>
      </c>
      <c r="AD905" s="14">
        <v>2</v>
      </c>
      <c r="AE905" s="14"/>
      <c r="AF905" s="14"/>
      <c r="AG905" s="14">
        <v>1986</v>
      </c>
      <c r="AH905" s="14">
        <f t="shared" si="63"/>
        <v>11</v>
      </c>
      <c r="AI905" s="17">
        <f t="shared" si="64"/>
        <v>13</v>
      </c>
      <c r="AJ905" s="14"/>
      <c r="AK905" s="14" t="s">
        <v>58</v>
      </c>
      <c r="AL905" s="13" t="s">
        <v>1902</v>
      </c>
      <c r="AM905" s="12">
        <v>2009</v>
      </c>
      <c r="AN905" s="12" t="s">
        <v>1903</v>
      </c>
      <c r="AO905" s="12" t="s">
        <v>56</v>
      </c>
      <c r="AP905" s="12"/>
      <c r="AQ905" s="12" t="s">
        <v>56</v>
      </c>
      <c r="AR905" s="12" t="s">
        <v>58</v>
      </c>
      <c r="AS905" s="12" t="s">
        <v>258</v>
      </c>
      <c r="AT905" s="12"/>
      <c r="AU905" s="45" t="s">
        <v>2684</v>
      </c>
      <c r="AV905" s="15"/>
      <c r="AW905" s="12" t="str">
        <f>B905&amp;C905&amp;L905&amp;M905&amp;O905&amp;U905&amp;AL905&amp;AM905</f>
        <v>SpainTabarca Island Marine Reserve No-take zoneSymphodus tinca	East Atlantic peacock wrassedensity0.833116036505867Valle2009</v>
      </c>
    </row>
    <row r="906" spans="1:49" ht="14.25" customHeight="1" x14ac:dyDescent="0.35">
      <c r="A906" s="12">
        <v>905</v>
      </c>
      <c r="B906" s="15" t="s">
        <v>477</v>
      </c>
      <c r="C906" s="12" t="s">
        <v>2681</v>
      </c>
      <c r="D906" s="12" t="s">
        <v>1900</v>
      </c>
      <c r="E906" s="15" t="s">
        <v>618</v>
      </c>
      <c r="F906" s="13" t="s">
        <v>274</v>
      </c>
      <c r="G906" s="13" t="s">
        <v>51</v>
      </c>
      <c r="H906" s="16" t="s">
        <v>108</v>
      </c>
      <c r="I906" s="16" t="s">
        <v>53</v>
      </c>
      <c r="J906" s="17">
        <v>14</v>
      </c>
      <c r="K906" s="17"/>
      <c r="L906" s="17" t="s">
        <v>497</v>
      </c>
      <c r="M906" s="17" t="s">
        <v>1950</v>
      </c>
      <c r="N906" s="14" t="s">
        <v>85</v>
      </c>
      <c r="O906" s="17" t="s">
        <v>86</v>
      </c>
      <c r="P906" s="17"/>
      <c r="Q906" s="17"/>
      <c r="R906" s="17"/>
      <c r="S906" s="17">
        <v>0</v>
      </c>
      <c r="T906" s="17">
        <v>0</v>
      </c>
      <c r="U906" s="20" t="str">
        <f t="shared" si="62"/>
        <v>N/A</v>
      </c>
      <c r="V906" s="41" t="str">
        <f t="shared" si="65"/>
        <v>N/A</v>
      </c>
      <c r="W906" s="17"/>
      <c r="X906" s="17" t="s">
        <v>56</v>
      </c>
      <c r="Z906" s="17" t="s">
        <v>56</v>
      </c>
      <c r="AA906" s="17"/>
      <c r="AB906" s="17" t="s">
        <v>57</v>
      </c>
      <c r="AC906" s="17">
        <v>1997</v>
      </c>
      <c r="AD906" s="17">
        <v>2</v>
      </c>
      <c r="AE906" s="17"/>
      <c r="AF906" s="17"/>
      <c r="AG906" s="17">
        <v>1986</v>
      </c>
      <c r="AH906" s="14">
        <f t="shared" si="63"/>
        <v>11</v>
      </c>
      <c r="AI906" s="17">
        <f t="shared" si="64"/>
        <v>13</v>
      </c>
      <c r="AJ906" s="17"/>
      <c r="AK906" s="17" t="s">
        <v>58</v>
      </c>
      <c r="AL906" s="16" t="s">
        <v>1902</v>
      </c>
      <c r="AM906" s="15">
        <v>2009</v>
      </c>
      <c r="AN906" s="15" t="s">
        <v>1903</v>
      </c>
      <c r="AO906" s="15" t="s">
        <v>56</v>
      </c>
      <c r="AP906" s="15"/>
      <c r="AQ906" s="15" t="s">
        <v>56</v>
      </c>
      <c r="AR906" s="15" t="s">
        <v>58</v>
      </c>
      <c r="AS906" s="15" t="s">
        <v>258</v>
      </c>
      <c r="AT906" s="15"/>
      <c r="AU906" s="45" t="s">
        <v>2684</v>
      </c>
      <c r="AV906" s="15"/>
      <c r="AW906" s="12" t="str">
        <f>B906&amp;C906&amp;L906&amp;M906&amp;O906&amp;U906&amp;AL906&amp;AM906</f>
        <v>SpainTabarca Island Marine Reserve No-take zoneSciaena umbra	Brown meagredensityN/AValle2009</v>
      </c>
    </row>
    <row r="907" spans="1:49" ht="14.25" customHeight="1" x14ac:dyDescent="0.35">
      <c r="A907" s="12">
        <v>906</v>
      </c>
      <c r="B907" s="12" t="s">
        <v>477</v>
      </c>
      <c r="C907" s="12" t="s">
        <v>2681</v>
      </c>
      <c r="D907" s="12" t="s">
        <v>1900</v>
      </c>
      <c r="E907" s="12" t="s">
        <v>618</v>
      </c>
      <c r="F907" s="13" t="s">
        <v>274</v>
      </c>
      <c r="G907" s="13" t="s">
        <v>51</v>
      </c>
      <c r="H907" s="13" t="s">
        <v>108</v>
      </c>
      <c r="I907" s="13" t="s">
        <v>53</v>
      </c>
      <c r="J907" s="17">
        <v>14</v>
      </c>
      <c r="K907" s="17"/>
      <c r="L907" s="14" t="s">
        <v>1585</v>
      </c>
      <c r="M907" s="14" t="s">
        <v>1951</v>
      </c>
      <c r="N907" s="14" t="s">
        <v>85</v>
      </c>
      <c r="O907" s="17" t="s">
        <v>86</v>
      </c>
      <c r="P907" s="14"/>
      <c r="Q907" s="14"/>
      <c r="R907" s="14"/>
      <c r="S907" s="14">
        <v>0.11</v>
      </c>
      <c r="T907" s="14">
        <v>2.5</v>
      </c>
      <c r="U907" s="19">
        <f t="shared" si="62"/>
        <v>22.727272727272727</v>
      </c>
      <c r="V907" s="41">
        <f t="shared" si="65"/>
        <v>2172.7272727272725</v>
      </c>
      <c r="W907" s="14"/>
      <c r="X907" s="14" t="s">
        <v>56</v>
      </c>
      <c r="Z907" s="17" t="s">
        <v>56</v>
      </c>
      <c r="AA907" s="14"/>
      <c r="AB907" s="14" t="s">
        <v>57</v>
      </c>
      <c r="AC907" s="14">
        <v>1997</v>
      </c>
      <c r="AD907" s="14">
        <v>2</v>
      </c>
      <c r="AE907" s="14"/>
      <c r="AF907" s="14"/>
      <c r="AG907" s="14">
        <v>1986</v>
      </c>
      <c r="AH907" s="14">
        <f t="shared" si="63"/>
        <v>11</v>
      </c>
      <c r="AI907" s="17">
        <f t="shared" si="64"/>
        <v>13</v>
      </c>
      <c r="AJ907" s="14"/>
      <c r="AK907" s="14" t="s">
        <v>58</v>
      </c>
      <c r="AL907" s="13" t="s">
        <v>1902</v>
      </c>
      <c r="AM907" s="12">
        <v>2009</v>
      </c>
      <c r="AN907" s="12" t="s">
        <v>1903</v>
      </c>
      <c r="AO907" s="12" t="s">
        <v>56</v>
      </c>
      <c r="AP907" s="12"/>
      <c r="AQ907" s="12" t="s">
        <v>56</v>
      </c>
      <c r="AR907" s="12" t="s">
        <v>58</v>
      </c>
      <c r="AS907" s="12" t="s">
        <v>258</v>
      </c>
      <c r="AT907" s="12"/>
      <c r="AU907" s="45" t="s">
        <v>2684</v>
      </c>
      <c r="AV907" s="15"/>
      <c r="AW907" s="12" t="str">
        <f>B907&amp;C907&amp;L907&amp;M907&amp;O907&amp;U907&amp;AL907&amp;AM907</f>
        <v>SpainTabarca Island Marine Reserve No-take zoneThalassoma pavoOrnate wrassedensity22.7272727272727Valle2009</v>
      </c>
    </row>
    <row r="908" spans="1:49" ht="14.25" customHeight="1" x14ac:dyDescent="0.35">
      <c r="A908" s="12">
        <v>907</v>
      </c>
      <c r="B908" s="12" t="s">
        <v>66</v>
      </c>
      <c r="C908" s="12" t="s">
        <v>659</v>
      </c>
      <c r="D908" s="12" t="s">
        <v>660</v>
      </c>
      <c r="E908" s="12" t="s">
        <v>661</v>
      </c>
      <c r="F908" s="13" t="s">
        <v>339</v>
      </c>
      <c r="G908" s="13" t="s">
        <v>51</v>
      </c>
      <c r="H908" s="13" t="s">
        <v>662</v>
      </c>
      <c r="I908" s="13" t="s">
        <v>53</v>
      </c>
      <c r="J908" s="17">
        <v>41</v>
      </c>
      <c r="K908" s="14"/>
      <c r="L908" s="14" t="s">
        <v>663</v>
      </c>
      <c r="M908" s="14" t="s">
        <v>664</v>
      </c>
      <c r="N908" s="14" t="s">
        <v>85</v>
      </c>
      <c r="O908" s="17" t="s">
        <v>86</v>
      </c>
      <c r="P908" s="14"/>
      <c r="Q908" s="14">
        <v>1.5</v>
      </c>
      <c r="R908" s="14">
        <v>1.5</v>
      </c>
      <c r="S908" s="14">
        <f>(1+2.1)/2</f>
        <v>1.55</v>
      </c>
      <c r="T908" s="14">
        <v>7.8</v>
      </c>
      <c r="U908" s="19">
        <f t="shared" si="62"/>
        <v>5.032258064516129</v>
      </c>
      <c r="V908" s="41">
        <f t="shared" si="65"/>
        <v>403.22580645161293</v>
      </c>
      <c r="W908" s="14"/>
      <c r="X908" s="14" t="s">
        <v>58</v>
      </c>
      <c r="Z908" s="14" t="s">
        <v>56</v>
      </c>
      <c r="AA908" s="14"/>
      <c r="AB908" s="14" t="s">
        <v>111</v>
      </c>
      <c r="AC908" s="14">
        <v>2001</v>
      </c>
      <c r="AD908" s="14">
        <v>3</v>
      </c>
      <c r="AE908" s="14"/>
      <c r="AF908" s="14"/>
      <c r="AG908" s="14">
        <v>2002</v>
      </c>
      <c r="AH908" s="14">
        <f t="shared" si="63"/>
        <v>-1</v>
      </c>
      <c r="AI908" s="17">
        <f t="shared" si="64"/>
        <v>2</v>
      </c>
      <c r="AJ908" s="14"/>
      <c r="AK908" s="14" t="s">
        <v>58</v>
      </c>
      <c r="AL908" s="13" t="s">
        <v>665</v>
      </c>
      <c r="AM908" s="12">
        <v>2014</v>
      </c>
      <c r="AN908" s="12" t="s">
        <v>183</v>
      </c>
      <c r="AO908" s="12" t="s">
        <v>56</v>
      </c>
      <c r="AP908" s="12"/>
      <c r="AQ908" s="12" t="s">
        <v>56</v>
      </c>
      <c r="AR908" s="12" t="s">
        <v>58</v>
      </c>
      <c r="AS908" s="12" t="s">
        <v>258</v>
      </c>
      <c r="AT908" s="12"/>
      <c r="AU908" s="45"/>
      <c r="AV908" s="15"/>
      <c r="AW908" s="12" t="str">
        <f>B908&amp;C908&amp;L908&amp;M908&amp;O908&amp;U908&amp;AL908&amp;AM908</f>
        <v>AustraliaCurrambene CreekEumarcia fumigatamusseldensity5.03225806451613Winberg2014</v>
      </c>
    </row>
    <row r="909" spans="1:49" ht="14.25" customHeight="1" x14ac:dyDescent="0.35">
      <c r="A909" s="12">
        <v>908</v>
      </c>
      <c r="B909" s="12" t="s">
        <v>66</v>
      </c>
      <c r="C909" s="12" t="s">
        <v>659</v>
      </c>
      <c r="D909" s="12" t="s">
        <v>660</v>
      </c>
      <c r="E909" s="12" t="s">
        <v>661</v>
      </c>
      <c r="F909" s="13" t="s">
        <v>339</v>
      </c>
      <c r="G909" s="13" t="s">
        <v>51</v>
      </c>
      <c r="H909" s="13" t="s">
        <v>662</v>
      </c>
      <c r="I909" s="13" t="s">
        <v>53</v>
      </c>
      <c r="J909" s="17">
        <v>41</v>
      </c>
      <c r="K909" s="17"/>
      <c r="L909" s="14" t="s">
        <v>666</v>
      </c>
      <c r="M909" s="14" t="s">
        <v>667</v>
      </c>
      <c r="N909" s="14" t="s">
        <v>170</v>
      </c>
      <c r="O909" s="17" t="s">
        <v>86</v>
      </c>
      <c r="P909" s="14"/>
      <c r="Q909" s="14">
        <v>0</v>
      </c>
      <c r="R909" s="14">
        <v>1.6</v>
      </c>
      <c r="S909" s="14">
        <v>0</v>
      </c>
      <c r="T909" s="14">
        <v>4.9000000000000004</v>
      </c>
      <c r="U909" s="19" t="str">
        <f t="shared" si="62"/>
        <v>N/A</v>
      </c>
      <c r="V909" s="41" t="str">
        <f t="shared" si="65"/>
        <v>N/A</v>
      </c>
      <c r="W909" s="14"/>
      <c r="X909" s="14" t="s">
        <v>58</v>
      </c>
      <c r="Z909" s="14" t="s">
        <v>56</v>
      </c>
      <c r="AA909" s="14"/>
      <c r="AB909" s="14" t="s">
        <v>111</v>
      </c>
      <c r="AC909" s="14">
        <v>2001</v>
      </c>
      <c r="AD909" s="14">
        <v>3</v>
      </c>
      <c r="AE909" s="14"/>
      <c r="AF909" s="14"/>
      <c r="AG909" s="14">
        <v>2002</v>
      </c>
      <c r="AH909" s="14">
        <f t="shared" si="63"/>
        <v>-1</v>
      </c>
      <c r="AI909" s="17">
        <f t="shared" si="64"/>
        <v>2</v>
      </c>
      <c r="AJ909" s="14"/>
      <c r="AK909" s="14" t="s">
        <v>58</v>
      </c>
      <c r="AL909" s="13" t="s">
        <v>665</v>
      </c>
      <c r="AM909" s="12">
        <v>2014</v>
      </c>
      <c r="AN909" s="12" t="s">
        <v>183</v>
      </c>
      <c r="AO909" s="12" t="s">
        <v>56</v>
      </c>
      <c r="AP909" s="12"/>
      <c r="AQ909" s="12" t="s">
        <v>56</v>
      </c>
      <c r="AR909" s="12" t="s">
        <v>58</v>
      </c>
      <c r="AS909" s="12" t="s">
        <v>258</v>
      </c>
      <c r="AT909" s="12"/>
      <c r="AU909" s="45"/>
      <c r="AV909" s="15"/>
      <c r="AW909" s="12" t="str">
        <f>B909&amp;C909&amp;L909&amp;M909&amp;O909&amp;U909&amp;AL909&amp;AM909</f>
        <v>AustraliaCurrambene CreekSpionidaemarine wormdensityN/AWinberg2014</v>
      </c>
    </row>
    <row r="910" spans="1:49" ht="14.25" customHeight="1" x14ac:dyDescent="0.35">
      <c r="A910" s="12">
        <v>909</v>
      </c>
      <c r="B910" s="15" t="s">
        <v>66</v>
      </c>
      <c r="C910" s="15" t="s">
        <v>659</v>
      </c>
      <c r="D910" s="15" t="s">
        <v>660</v>
      </c>
      <c r="E910" s="15" t="s">
        <v>661</v>
      </c>
      <c r="F910" s="13" t="s">
        <v>339</v>
      </c>
      <c r="G910" s="13" t="s">
        <v>51</v>
      </c>
      <c r="H910" s="16" t="s">
        <v>662</v>
      </c>
      <c r="I910" s="16" t="s">
        <v>53</v>
      </c>
      <c r="J910" s="17">
        <v>41</v>
      </c>
      <c r="K910" s="17"/>
      <c r="L910" s="17" t="s">
        <v>668</v>
      </c>
      <c r="M910" s="17" t="s">
        <v>669</v>
      </c>
      <c r="N910" s="14" t="s">
        <v>170</v>
      </c>
      <c r="O910" s="17" t="s">
        <v>86</v>
      </c>
      <c r="P910" s="17"/>
      <c r="Q910" s="17">
        <v>0</v>
      </c>
      <c r="R910" s="17">
        <v>0</v>
      </c>
      <c r="S910" s="17">
        <v>0</v>
      </c>
      <c r="T910" s="17">
        <v>1.9</v>
      </c>
      <c r="U910" s="20" t="str">
        <f t="shared" si="62"/>
        <v>N/A</v>
      </c>
      <c r="V910" s="41" t="str">
        <f t="shared" si="65"/>
        <v>N/A</v>
      </c>
      <c r="W910" s="17"/>
      <c r="X910" s="17" t="s">
        <v>58</v>
      </c>
      <c r="Z910" s="17" t="s">
        <v>56</v>
      </c>
      <c r="AA910" s="17"/>
      <c r="AB910" s="14" t="s">
        <v>111</v>
      </c>
      <c r="AC910" s="17">
        <v>2001</v>
      </c>
      <c r="AD910" s="17">
        <v>3</v>
      </c>
      <c r="AE910" s="17"/>
      <c r="AF910" s="17"/>
      <c r="AG910" s="17">
        <v>2002</v>
      </c>
      <c r="AH910" s="14">
        <f t="shared" si="63"/>
        <v>-1</v>
      </c>
      <c r="AI910" s="17">
        <f t="shared" si="64"/>
        <v>2</v>
      </c>
      <c r="AJ910" s="17"/>
      <c r="AK910" s="17" t="s">
        <v>58</v>
      </c>
      <c r="AL910" s="16" t="s">
        <v>665</v>
      </c>
      <c r="AM910" s="15">
        <v>2014</v>
      </c>
      <c r="AN910" s="15" t="s">
        <v>183</v>
      </c>
      <c r="AO910" s="15" t="s">
        <v>56</v>
      </c>
      <c r="AP910" s="15"/>
      <c r="AQ910" s="15" t="s">
        <v>56</v>
      </c>
      <c r="AR910" s="15" t="s">
        <v>58</v>
      </c>
      <c r="AS910" s="15" t="s">
        <v>258</v>
      </c>
      <c r="AT910" s="15"/>
      <c r="AU910" s="45"/>
      <c r="AV910" s="15"/>
      <c r="AW910" s="12" t="str">
        <f>B910&amp;C910&amp;L910&amp;M910&amp;O910&amp;U910&amp;AL910&amp;AM910</f>
        <v>AustraliaCurrambene CreekNaticidaemoon snaildensityN/AWinberg2014</v>
      </c>
    </row>
    <row r="911" spans="1:49" ht="14.25" customHeight="1" x14ac:dyDescent="0.35">
      <c r="A911" s="12">
        <v>910</v>
      </c>
      <c r="B911" s="12" t="s">
        <v>66</v>
      </c>
      <c r="C911" s="12" t="s">
        <v>659</v>
      </c>
      <c r="D911" s="12" t="s">
        <v>660</v>
      </c>
      <c r="E911" s="12" t="s">
        <v>661</v>
      </c>
      <c r="F911" s="13" t="s">
        <v>339</v>
      </c>
      <c r="G911" s="13" t="s">
        <v>51</v>
      </c>
      <c r="H911" s="13" t="s">
        <v>662</v>
      </c>
      <c r="I911" s="13" t="s">
        <v>53</v>
      </c>
      <c r="J911" s="17">
        <v>41</v>
      </c>
      <c r="K911" s="14"/>
      <c r="L911" s="14" t="s">
        <v>670</v>
      </c>
      <c r="M911" s="14"/>
      <c r="N911" s="14" t="s">
        <v>85</v>
      </c>
      <c r="O911" s="14" t="s">
        <v>86</v>
      </c>
      <c r="P911" s="14"/>
      <c r="Q911" s="14">
        <f>(2.9+9.8)/2</f>
        <v>6.3500000000000005</v>
      </c>
      <c r="R911" s="14">
        <v>13.3</v>
      </c>
      <c r="S911" s="14">
        <f>(4.2+10.1)/2</f>
        <v>7.15</v>
      </c>
      <c r="T911" s="14">
        <v>6.2</v>
      </c>
      <c r="U911" s="19">
        <f t="shared" si="62"/>
        <v>0.41400704558599294</v>
      </c>
      <c r="V911" s="41">
        <f t="shared" si="65"/>
        <v>-58.599295441400699</v>
      </c>
      <c r="W911" s="14"/>
      <c r="X911" s="14" t="s">
        <v>58</v>
      </c>
      <c r="Z911" s="17" t="s">
        <v>56</v>
      </c>
      <c r="AA911" s="14"/>
      <c r="AB911" s="14" t="s">
        <v>111</v>
      </c>
      <c r="AC911" s="14">
        <v>2001</v>
      </c>
      <c r="AD911" s="14">
        <v>3</v>
      </c>
      <c r="AE911" s="14"/>
      <c r="AF911" s="14"/>
      <c r="AG911" s="14">
        <v>2002</v>
      </c>
      <c r="AH911" s="14">
        <f t="shared" si="63"/>
        <v>-1</v>
      </c>
      <c r="AI911" s="17">
        <f t="shared" si="64"/>
        <v>2</v>
      </c>
      <c r="AJ911" s="14"/>
      <c r="AK911" s="14" t="s">
        <v>58</v>
      </c>
      <c r="AL911" s="13" t="s">
        <v>665</v>
      </c>
      <c r="AM911" s="12">
        <v>2014</v>
      </c>
      <c r="AN911" s="12" t="s">
        <v>183</v>
      </c>
      <c r="AO911" s="12" t="s">
        <v>56</v>
      </c>
      <c r="AP911" s="12"/>
      <c r="AQ911" s="12" t="s">
        <v>56</v>
      </c>
      <c r="AR911" s="12" t="s">
        <v>58</v>
      </c>
      <c r="AS911" s="12" t="s">
        <v>258</v>
      </c>
      <c r="AT911" s="12"/>
      <c r="AU911" s="45"/>
      <c r="AV911" s="15"/>
      <c r="AW911" s="12" t="str">
        <f>B911&amp;C911&amp;L911&amp;M911&amp;O911&amp;U911&amp;AL911&amp;AM911</f>
        <v>AustraliaCurrambene CreekUrohaustorius metungidensity0.414007045585993Winberg2014</v>
      </c>
    </row>
    <row r="912" spans="1:49" ht="14.25" customHeight="1" x14ac:dyDescent="0.35">
      <c r="A912" s="12">
        <v>911</v>
      </c>
      <c r="B912" s="15" t="s">
        <v>66</v>
      </c>
      <c r="C912" s="15" t="s">
        <v>659</v>
      </c>
      <c r="D912" s="15" t="s">
        <v>660</v>
      </c>
      <c r="E912" s="15" t="s">
        <v>661</v>
      </c>
      <c r="F912" s="13" t="s">
        <v>339</v>
      </c>
      <c r="G912" s="13" t="s">
        <v>51</v>
      </c>
      <c r="H912" s="16" t="s">
        <v>662</v>
      </c>
      <c r="I912" s="16" t="s">
        <v>53</v>
      </c>
      <c r="J912" s="17">
        <v>41</v>
      </c>
      <c r="K912" s="17"/>
      <c r="L912" s="17" t="s">
        <v>671</v>
      </c>
      <c r="M912" s="17" t="s">
        <v>672</v>
      </c>
      <c r="N912" s="14" t="s">
        <v>85</v>
      </c>
      <c r="O912" s="17" t="s">
        <v>86</v>
      </c>
      <c r="P912" s="17"/>
      <c r="Q912" s="17">
        <v>0.08</v>
      </c>
      <c r="R912" s="17">
        <v>0.47</v>
      </c>
      <c r="S912" s="17">
        <f>(0.06+0)/2</f>
        <v>0.03</v>
      </c>
      <c r="T912" s="17">
        <v>0.89</v>
      </c>
      <c r="U912" s="20">
        <f t="shared" si="62"/>
        <v>5.0496453900709222</v>
      </c>
      <c r="V912" s="41">
        <f t="shared" si="65"/>
        <v>404.96453900709224</v>
      </c>
      <c r="W912" s="17"/>
      <c r="X912" s="17" t="s">
        <v>58</v>
      </c>
      <c r="Z912" s="17" t="s">
        <v>56</v>
      </c>
      <c r="AA912" s="17"/>
      <c r="AB912" s="14" t="s">
        <v>111</v>
      </c>
      <c r="AC912" s="17">
        <v>2001</v>
      </c>
      <c r="AD912" s="17">
        <v>3</v>
      </c>
      <c r="AE912" s="17"/>
      <c r="AF912" s="17"/>
      <c r="AG912" s="17">
        <v>2002</v>
      </c>
      <c r="AH912" s="14">
        <f t="shared" si="63"/>
        <v>-1</v>
      </c>
      <c r="AI912" s="17">
        <f t="shared" si="64"/>
        <v>2</v>
      </c>
      <c r="AJ912" s="17"/>
      <c r="AK912" s="17" t="s">
        <v>58</v>
      </c>
      <c r="AL912" s="16" t="s">
        <v>665</v>
      </c>
      <c r="AM912" s="15">
        <v>2014</v>
      </c>
      <c r="AN912" s="15" t="s">
        <v>183</v>
      </c>
      <c r="AO912" s="15" t="s">
        <v>56</v>
      </c>
      <c r="AP912" s="15"/>
      <c r="AQ912" s="15" t="s">
        <v>56</v>
      </c>
      <c r="AR912" s="15" t="s">
        <v>58</v>
      </c>
      <c r="AS912" s="15" t="s">
        <v>258</v>
      </c>
      <c r="AT912" s="15"/>
      <c r="AU912" s="45"/>
      <c r="AV912" s="15"/>
      <c r="AW912" s="12" t="str">
        <f>B912&amp;C912&amp;L912&amp;M912&amp;O912&amp;U912&amp;AL912&amp;AM912</f>
        <v>AustraliaCurrambene CreekSoletellina albawhite sunset shelldensity5.04964539007092Winberg2014</v>
      </c>
    </row>
    <row r="913" spans="1:49" ht="14.25" customHeight="1" x14ac:dyDescent="0.35">
      <c r="A913" s="12">
        <v>912</v>
      </c>
      <c r="B913" s="12" t="s">
        <v>66</v>
      </c>
      <c r="C913" s="12" t="s">
        <v>659</v>
      </c>
      <c r="D913" s="12" t="s">
        <v>660</v>
      </c>
      <c r="E913" s="12" t="s">
        <v>661</v>
      </c>
      <c r="F913" s="13" t="s">
        <v>339</v>
      </c>
      <c r="G913" s="13" t="s">
        <v>51</v>
      </c>
      <c r="H913" s="13" t="s">
        <v>662</v>
      </c>
      <c r="I913" s="13" t="s">
        <v>53</v>
      </c>
      <c r="J913" s="17">
        <v>41</v>
      </c>
      <c r="K913" s="17"/>
      <c r="L913" s="14" t="s">
        <v>673</v>
      </c>
      <c r="M913" s="14"/>
      <c r="N913" s="14" t="s">
        <v>85</v>
      </c>
      <c r="O913" s="17" t="s">
        <v>86</v>
      </c>
      <c r="P913" s="14"/>
      <c r="Q913" s="14">
        <v>0.22</v>
      </c>
      <c r="R913" s="14">
        <v>0.97</v>
      </c>
      <c r="S913" s="14">
        <v>0.08</v>
      </c>
      <c r="T913" s="14">
        <v>0.33</v>
      </c>
      <c r="U913" s="19">
        <f t="shared" si="62"/>
        <v>0.93556701030927836</v>
      </c>
      <c r="V913" s="41">
        <f t="shared" si="65"/>
        <v>-6.4432989690721643</v>
      </c>
      <c r="W913" s="14"/>
      <c r="X913" s="14" t="s">
        <v>58</v>
      </c>
      <c r="Z913" s="17" t="s">
        <v>56</v>
      </c>
      <c r="AA913" s="14"/>
      <c r="AB913" s="14" t="s">
        <v>111</v>
      </c>
      <c r="AC913" s="14">
        <v>2001</v>
      </c>
      <c r="AD913" s="14">
        <v>3</v>
      </c>
      <c r="AE913" s="14"/>
      <c r="AF913" s="14"/>
      <c r="AG913" s="14">
        <v>2002</v>
      </c>
      <c r="AH913" s="14">
        <f t="shared" si="63"/>
        <v>-1</v>
      </c>
      <c r="AI913" s="17">
        <f t="shared" si="64"/>
        <v>2</v>
      </c>
      <c r="AJ913" s="14"/>
      <c r="AK913" s="14" t="s">
        <v>58</v>
      </c>
      <c r="AL913" s="13" t="s">
        <v>665</v>
      </c>
      <c r="AM913" s="12">
        <v>2014</v>
      </c>
      <c r="AN913" s="12" t="s">
        <v>183</v>
      </c>
      <c r="AO913" s="12" t="s">
        <v>56</v>
      </c>
      <c r="AP913" s="12"/>
      <c r="AQ913" s="12" t="s">
        <v>56</v>
      </c>
      <c r="AR913" s="12" t="s">
        <v>58</v>
      </c>
      <c r="AS913" s="12" t="s">
        <v>258</v>
      </c>
      <c r="AT913" s="12"/>
      <c r="AU913" s="45"/>
      <c r="AV913" s="15"/>
      <c r="AW913" s="12" t="str">
        <f>B913&amp;C913&amp;L913&amp;M913&amp;O913&amp;U913&amp;AL913&amp;AM913</f>
        <v>AustraliaCurrambene CreekSigalion ovigerumdensity0.935567010309278Winberg2014</v>
      </c>
    </row>
    <row r="914" spans="1:49" ht="14.25" customHeight="1" x14ac:dyDescent="0.35">
      <c r="A914" s="12">
        <v>913</v>
      </c>
      <c r="B914" s="12" t="s">
        <v>66</v>
      </c>
      <c r="C914" s="12" t="s">
        <v>659</v>
      </c>
      <c r="D914" s="12" t="s">
        <v>660</v>
      </c>
      <c r="E914" s="12" t="s">
        <v>661</v>
      </c>
      <c r="F914" s="13" t="s">
        <v>339</v>
      </c>
      <c r="G914" s="13" t="s">
        <v>51</v>
      </c>
      <c r="H914" s="13" t="s">
        <v>662</v>
      </c>
      <c r="I914" s="13" t="s">
        <v>53</v>
      </c>
      <c r="J914" s="17">
        <v>41</v>
      </c>
      <c r="K914" s="14"/>
      <c r="L914" s="14" t="s">
        <v>674</v>
      </c>
      <c r="M914" s="14" t="s">
        <v>667</v>
      </c>
      <c r="N914" s="14" t="s">
        <v>170</v>
      </c>
      <c r="O914" s="17" t="s">
        <v>86</v>
      </c>
      <c r="P914" s="14"/>
      <c r="Q914" s="14">
        <f>(0.32+0.38)/2</f>
        <v>0.35</v>
      </c>
      <c r="R914" s="14">
        <v>0.87</v>
      </c>
      <c r="S914" s="14">
        <f>(0.32+1.27)/2</f>
        <v>0.79500000000000004</v>
      </c>
      <c r="T914" s="14">
        <v>2.2999999999999998</v>
      </c>
      <c r="U914" s="19">
        <f t="shared" si="62"/>
        <v>1.1638834670714953</v>
      </c>
      <c r="V914" s="41">
        <f t="shared" si="65"/>
        <v>16.388346707149527</v>
      </c>
      <c r="W914" s="14"/>
      <c r="X914" s="14" t="s">
        <v>58</v>
      </c>
      <c r="Z914" s="17" t="s">
        <v>56</v>
      </c>
      <c r="AA914" s="14"/>
      <c r="AB914" s="14" t="s">
        <v>111</v>
      </c>
      <c r="AC914" s="14">
        <v>2001</v>
      </c>
      <c r="AD914" s="14">
        <v>3</v>
      </c>
      <c r="AE914" s="14"/>
      <c r="AF914" s="14"/>
      <c r="AG914" s="14">
        <v>2002</v>
      </c>
      <c r="AH914" s="14">
        <f t="shared" si="63"/>
        <v>-1</v>
      </c>
      <c r="AI914" s="17">
        <f t="shared" si="64"/>
        <v>2</v>
      </c>
      <c r="AJ914" s="14"/>
      <c r="AK914" s="14" t="s">
        <v>58</v>
      </c>
      <c r="AL914" s="13" t="s">
        <v>665</v>
      </c>
      <c r="AM914" s="12">
        <v>2014</v>
      </c>
      <c r="AN914" s="12" t="s">
        <v>183</v>
      </c>
      <c r="AO914" s="12" t="s">
        <v>56</v>
      </c>
      <c r="AP914" s="12"/>
      <c r="AQ914" s="12" t="s">
        <v>56</v>
      </c>
      <c r="AR914" s="12" t="s">
        <v>58</v>
      </c>
      <c r="AS914" s="12" t="s">
        <v>258</v>
      </c>
      <c r="AT914" s="12"/>
      <c r="AU914" s="45"/>
      <c r="AV914" s="15"/>
      <c r="AW914" s="12" t="str">
        <f>B914&amp;C914&amp;L914&amp;M914&amp;O914&amp;U914&amp;AL914&amp;AM914</f>
        <v>AustraliaCurrambene CreekCapitellidaemarine wormdensity1.1638834670715Winberg2014</v>
      </c>
    </row>
    <row r="915" spans="1:49" ht="14.25" customHeight="1" x14ac:dyDescent="0.35">
      <c r="A915" s="12">
        <v>914</v>
      </c>
      <c r="B915" s="12" t="s">
        <v>66</v>
      </c>
      <c r="C915" s="12" t="s">
        <v>659</v>
      </c>
      <c r="D915" s="12" t="s">
        <v>660</v>
      </c>
      <c r="E915" s="12" t="s">
        <v>661</v>
      </c>
      <c r="F915" s="13" t="s">
        <v>339</v>
      </c>
      <c r="G915" s="13" t="s">
        <v>51</v>
      </c>
      <c r="H915" s="13" t="s">
        <v>662</v>
      </c>
      <c r="I915" s="13" t="s">
        <v>53</v>
      </c>
      <c r="J915" s="17">
        <v>41</v>
      </c>
      <c r="K915" s="17"/>
      <c r="L915" s="14" t="s">
        <v>675</v>
      </c>
      <c r="M915" s="14" t="s">
        <v>676</v>
      </c>
      <c r="N915" s="14" t="s">
        <v>85</v>
      </c>
      <c r="O915" s="17" t="s">
        <v>86</v>
      </c>
      <c r="P915" s="14"/>
      <c r="Q915" s="14">
        <f>(0.042+0.1)/2</f>
        <v>7.1000000000000008E-2</v>
      </c>
      <c r="R915" s="14">
        <v>0.44</v>
      </c>
      <c r="S915" s="14">
        <f>(0.065+0.17)/2</f>
        <v>0.11750000000000001</v>
      </c>
      <c r="T915" s="14">
        <v>0.19</v>
      </c>
      <c r="U915" s="19">
        <f t="shared" si="62"/>
        <v>0.26092843326885878</v>
      </c>
      <c r="V915" s="41">
        <f t="shared" si="65"/>
        <v>-73.907156673114116</v>
      </c>
      <c r="W915" s="14"/>
      <c r="X915" s="14" t="s">
        <v>58</v>
      </c>
      <c r="Z915" s="17" t="s">
        <v>56</v>
      </c>
      <c r="AA915" s="14"/>
      <c r="AB915" s="14" t="s">
        <v>111</v>
      </c>
      <c r="AC915" s="14">
        <v>2001</v>
      </c>
      <c r="AD915" s="14">
        <v>3</v>
      </c>
      <c r="AE915" s="14"/>
      <c r="AF915" s="14"/>
      <c r="AG915" s="14">
        <v>2002</v>
      </c>
      <c r="AH915" s="14">
        <f t="shared" si="63"/>
        <v>-1</v>
      </c>
      <c r="AI915" s="17">
        <f t="shared" si="64"/>
        <v>2</v>
      </c>
      <c r="AJ915" s="14"/>
      <c r="AK915" s="14" t="s">
        <v>58</v>
      </c>
      <c r="AL915" s="13" t="s">
        <v>665</v>
      </c>
      <c r="AM915" s="12">
        <v>2014</v>
      </c>
      <c r="AN915" s="12" t="s">
        <v>183</v>
      </c>
      <c r="AO915" s="12" t="s">
        <v>56</v>
      </c>
      <c r="AP915" s="12"/>
      <c r="AQ915" s="12" t="s">
        <v>56</v>
      </c>
      <c r="AR915" s="12" t="s">
        <v>58</v>
      </c>
      <c r="AS915" s="12" t="s">
        <v>258</v>
      </c>
      <c r="AT915" s="12"/>
      <c r="AU915" s="45"/>
      <c r="AV915" s="15"/>
      <c r="AW915" s="12" t="str">
        <f>B915&amp;C915&amp;L915&amp;M915&amp;O915&amp;U915&amp;AL915&amp;AM915</f>
        <v>AustraliaCurrambene CreekTrypaea australiensisAustralian ghost shrimpdensity0.260928433268859Winberg2014</v>
      </c>
    </row>
    <row r="916" spans="1:49" ht="14.25" customHeight="1" x14ac:dyDescent="0.35">
      <c r="A916" s="12">
        <v>915</v>
      </c>
      <c r="B916" s="12" t="s">
        <v>633</v>
      </c>
      <c r="C916" s="12" t="s">
        <v>634</v>
      </c>
      <c r="D916" s="12" t="s">
        <v>634</v>
      </c>
      <c r="E916" s="12" t="s">
        <v>635</v>
      </c>
      <c r="F916" s="13" t="s">
        <v>571</v>
      </c>
      <c r="G916" s="13" t="s">
        <v>51</v>
      </c>
      <c r="H916" s="13" t="s">
        <v>78</v>
      </c>
      <c r="I916" s="13" t="s">
        <v>156</v>
      </c>
      <c r="J916" s="17">
        <v>23.85</v>
      </c>
      <c r="K916" s="60"/>
      <c r="L916" s="14" t="s">
        <v>636</v>
      </c>
      <c r="M916" s="14" t="s">
        <v>637</v>
      </c>
      <c r="N916" s="14" t="s">
        <v>85</v>
      </c>
      <c r="O916" s="14" t="s">
        <v>86</v>
      </c>
      <c r="P916" s="14"/>
      <c r="Q916" s="14"/>
      <c r="R916" s="14">
        <v>72</v>
      </c>
      <c r="S916" s="14"/>
      <c r="T916" s="14">
        <v>36</v>
      </c>
      <c r="U916" s="19">
        <f t="shared" si="62"/>
        <v>0.5</v>
      </c>
      <c r="V916" s="41">
        <f t="shared" si="65"/>
        <v>-50</v>
      </c>
      <c r="W916" s="14"/>
      <c r="X916" s="14" t="s">
        <v>56</v>
      </c>
      <c r="Z916" s="17" t="s">
        <v>56</v>
      </c>
      <c r="AA916" s="14"/>
      <c r="AB916" s="14" t="s">
        <v>192</v>
      </c>
      <c r="AC916" s="14">
        <v>1992</v>
      </c>
      <c r="AD916" s="14">
        <v>21</v>
      </c>
      <c r="AE916" s="14"/>
      <c r="AF916" s="14"/>
      <c r="AG916" s="14">
        <v>2001</v>
      </c>
      <c r="AH916" s="14">
        <f t="shared" si="63"/>
        <v>-9</v>
      </c>
      <c r="AI916" s="17">
        <f t="shared" si="64"/>
        <v>12</v>
      </c>
      <c r="AJ916" s="14"/>
      <c r="AK916" s="14" t="s">
        <v>58</v>
      </c>
      <c r="AL916" s="13" t="s">
        <v>638</v>
      </c>
      <c r="AM916" s="12">
        <v>2015</v>
      </c>
      <c r="AN916" s="12" t="s">
        <v>332</v>
      </c>
      <c r="AO916" s="12" t="s">
        <v>56</v>
      </c>
      <c r="AP916" s="12"/>
      <c r="AQ916" s="12" t="s">
        <v>56</v>
      </c>
      <c r="AR916" s="12" t="s">
        <v>58</v>
      </c>
      <c r="AS916" s="12" t="s">
        <v>258</v>
      </c>
      <c r="AT916" s="12"/>
      <c r="AU916" s="45" t="s">
        <v>639</v>
      </c>
      <c r="AV916" s="15"/>
      <c r="AW916" s="12" t="str">
        <f>B916&amp;C916&amp;L916&amp;M916&amp;O916&amp;U916&amp;AL916&amp;AM916</f>
        <v>Costa RicaCoco's Island National ParkSphyrna lewiniscalloped hammerhead sharksdensity0.5White2015</v>
      </c>
    </row>
    <row r="917" spans="1:49" ht="14.25" customHeight="1" x14ac:dyDescent="0.35">
      <c r="A917" s="12">
        <v>916</v>
      </c>
      <c r="B917" s="15" t="s">
        <v>633</v>
      </c>
      <c r="C917" s="15" t="s">
        <v>634</v>
      </c>
      <c r="D917" s="15" t="s">
        <v>634</v>
      </c>
      <c r="E917" s="15" t="s">
        <v>635</v>
      </c>
      <c r="F917" s="16" t="s">
        <v>571</v>
      </c>
      <c r="G917" s="16" t="s">
        <v>51</v>
      </c>
      <c r="H917" s="16" t="s">
        <v>78</v>
      </c>
      <c r="I917" s="16" t="s">
        <v>156</v>
      </c>
      <c r="J917" s="17">
        <v>23.85</v>
      </c>
      <c r="K917" s="60"/>
      <c r="L917" s="17" t="s">
        <v>640</v>
      </c>
      <c r="M917" s="17" t="s">
        <v>641</v>
      </c>
      <c r="N917" s="14" t="s">
        <v>85</v>
      </c>
      <c r="O917" s="17" t="s">
        <v>86</v>
      </c>
      <c r="P917" s="17"/>
      <c r="Q917" s="17"/>
      <c r="R917" s="17">
        <v>37</v>
      </c>
      <c r="S917" s="17"/>
      <c r="T917" s="17">
        <v>18</v>
      </c>
      <c r="U917" s="20">
        <f t="shared" si="62"/>
        <v>0.48648648648648651</v>
      </c>
      <c r="V917" s="41">
        <f t="shared" si="65"/>
        <v>-51.351351351351347</v>
      </c>
      <c r="W917" s="17"/>
      <c r="X917" s="17" t="s">
        <v>56</v>
      </c>
      <c r="Z917" s="17" t="s">
        <v>56</v>
      </c>
      <c r="AA917" s="17"/>
      <c r="AB917" s="14" t="s">
        <v>192</v>
      </c>
      <c r="AC917" s="17">
        <v>1992</v>
      </c>
      <c r="AD917" s="17">
        <v>21</v>
      </c>
      <c r="AE917" s="17"/>
      <c r="AF917" s="17"/>
      <c r="AG917" s="14">
        <v>2001</v>
      </c>
      <c r="AH917" s="14">
        <f t="shared" si="63"/>
        <v>-9</v>
      </c>
      <c r="AI917" s="17">
        <f t="shared" si="64"/>
        <v>12</v>
      </c>
      <c r="AJ917" s="17"/>
      <c r="AK917" s="17" t="s">
        <v>58</v>
      </c>
      <c r="AL917" s="16" t="s">
        <v>638</v>
      </c>
      <c r="AM917" s="15">
        <v>2015</v>
      </c>
      <c r="AN917" s="15" t="s">
        <v>332</v>
      </c>
      <c r="AO917" s="15" t="s">
        <v>56</v>
      </c>
      <c r="AP917" s="15"/>
      <c r="AQ917" s="15" t="s">
        <v>56</v>
      </c>
      <c r="AR917" s="15" t="s">
        <v>58</v>
      </c>
      <c r="AS917" s="15" t="s">
        <v>258</v>
      </c>
      <c r="AT917" s="15"/>
      <c r="AU917" s="45" t="s">
        <v>639</v>
      </c>
      <c r="AV917" s="15"/>
      <c r="AW917" s="12" t="str">
        <f>B917&amp;C917&amp;L917&amp;M917&amp;O917&amp;U917&amp;AL917&amp;AM917</f>
        <v>Costa RicaCoco's Island National ParkTriaenodon obesuswhitetip reef sharksdensity0.486486486486487White2015</v>
      </c>
    </row>
    <row r="918" spans="1:49" ht="14.25" customHeight="1" x14ac:dyDescent="0.35">
      <c r="A918" s="12">
        <v>917</v>
      </c>
      <c r="B918" s="12" t="s">
        <v>633</v>
      </c>
      <c r="C918" s="12" t="s">
        <v>634</v>
      </c>
      <c r="D918" s="12" t="s">
        <v>634</v>
      </c>
      <c r="E918" s="12" t="s">
        <v>635</v>
      </c>
      <c r="F918" s="13" t="s">
        <v>571</v>
      </c>
      <c r="G918" s="13" t="s">
        <v>51</v>
      </c>
      <c r="H918" s="13" t="s">
        <v>78</v>
      </c>
      <c r="I918" s="13" t="s">
        <v>156</v>
      </c>
      <c r="J918" s="17">
        <v>23.85</v>
      </c>
      <c r="K918" s="71"/>
      <c r="L918" s="14" t="s">
        <v>642</v>
      </c>
      <c r="M918" s="14" t="s">
        <v>643</v>
      </c>
      <c r="N918" s="14" t="s">
        <v>85</v>
      </c>
      <c r="O918" s="17" t="s">
        <v>86</v>
      </c>
      <c r="P918" s="14"/>
      <c r="Q918" s="14"/>
      <c r="R918" s="14">
        <v>0.7</v>
      </c>
      <c r="S918" s="14"/>
      <c r="T918" s="14">
        <v>0.4</v>
      </c>
      <c r="U918" s="19">
        <f t="shared" si="62"/>
        <v>0.57142857142857151</v>
      </c>
      <c r="V918" s="41">
        <f t="shared" si="65"/>
        <v>-42.857142857142847</v>
      </c>
      <c r="W918" s="14"/>
      <c r="X918" s="14" t="s">
        <v>56</v>
      </c>
      <c r="Z918" s="14" t="s">
        <v>56</v>
      </c>
      <c r="AA918" s="14"/>
      <c r="AB918" s="14" t="s">
        <v>192</v>
      </c>
      <c r="AC918" s="14">
        <v>1992</v>
      </c>
      <c r="AD918" s="14">
        <v>21</v>
      </c>
      <c r="AE918" s="14"/>
      <c r="AF918" s="14"/>
      <c r="AG918" s="14">
        <v>2001</v>
      </c>
      <c r="AH918" s="14">
        <f t="shared" si="63"/>
        <v>-9</v>
      </c>
      <c r="AI918" s="17">
        <f t="shared" si="64"/>
        <v>12</v>
      </c>
      <c r="AJ918" s="14"/>
      <c r="AK918" s="14" t="s">
        <v>58</v>
      </c>
      <c r="AL918" s="13" t="s">
        <v>638</v>
      </c>
      <c r="AM918" s="12">
        <v>2015</v>
      </c>
      <c r="AN918" s="12" t="s">
        <v>332</v>
      </c>
      <c r="AO918" s="12" t="s">
        <v>56</v>
      </c>
      <c r="AP918" s="12"/>
      <c r="AQ918" s="12" t="s">
        <v>56</v>
      </c>
      <c r="AR918" s="12" t="s">
        <v>58</v>
      </c>
      <c r="AS918" s="12" t="s">
        <v>258</v>
      </c>
      <c r="AT918" s="12"/>
      <c r="AU918" s="45" t="s">
        <v>639</v>
      </c>
      <c r="AV918" s="15"/>
      <c r="AW918" s="12" t="str">
        <f>B918&amp;C918&amp;L918&amp;M918&amp;O918&amp;U918&amp;AL918&amp;AM918</f>
        <v>Costa RicaCoco's Island National ParkAetobatus narinarieagle raysdensity0.571428571428572White2015</v>
      </c>
    </row>
    <row r="919" spans="1:49" ht="14.25" customHeight="1" x14ac:dyDescent="0.35">
      <c r="A919" s="12">
        <v>918</v>
      </c>
      <c r="B919" s="15" t="s">
        <v>633</v>
      </c>
      <c r="C919" s="15" t="s">
        <v>634</v>
      </c>
      <c r="D919" s="15" t="s">
        <v>634</v>
      </c>
      <c r="E919" s="12" t="s">
        <v>635</v>
      </c>
      <c r="F919" s="13" t="s">
        <v>571</v>
      </c>
      <c r="G919" s="13" t="s">
        <v>51</v>
      </c>
      <c r="H919" s="16" t="s">
        <v>78</v>
      </c>
      <c r="I919" s="16" t="s">
        <v>156</v>
      </c>
      <c r="J919" s="17">
        <v>23.85</v>
      </c>
      <c r="K919" s="60"/>
      <c r="L919" s="17" t="s">
        <v>644</v>
      </c>
      <c r="M919" s="17" t="s">
        <v>645</v>
      </c>
      <c r="N919" s="14" t="s">
        <v>85</v>
      </c>
      <c r="O919" s="17" t="s">
        <v>86</v>
      </c>
      <c r="P919" s="17"/>
      <c r="Q919" s="17"/>
      <c r="R919" s="17">
        <v>14</v>
      </c>
      <c r="S919" s="17"/>
      <c r="T919" s="17">
        <v>5</v>
      </c>
      <c r="U919" s="19">
        <f t="shared" si="62"/>
        <v>0.35714285714285715</v>
      </c>
      <c r="V919" s="41">
        <f t="shared" si="65"/>
        <v>-64.285714285714278</v>
      </c>
      <c r="W919" s="14"/>
      <c r="X919" s="17" t="s">
        <v>56</v>
      </c>
      <c r="Z919" s="17" t="s">
        <v>56</v>
      </c>
      <c r="AA919" s="17"/>
      <c r="AB919" s="14" t="s">
        <v>192</v>
      </c>
      <c r="AC919" s="17">
        <v>1992</v>
      </c>
      <c r="AD919" s="17">
        <v>21</v>
      </c>
      <c r="AE919" s="17"/>
      <c r="AF919" s="17"/>
      <c r="AG919" s="14">
        <v>2001</v>
      </c>
      <c r="AH919" s="14">
        <f t="shared" si="63"/>
        <v>-9</v>
      </c>
      <c r="AI919" s="17">
        <f t="shared" si="64"/>
        <v>12</v>
      </c>
      <c r="AJ919" s="17"/>
      <c r="AK919" s="17" t="s">
        <v>58</v>
      </c>
      <c r="AL919" s="16" t="s">
        <v>638</v>
      </c>
      <c r="AM919" s="15">
        <v>2015</v>
      </c>
      <c r="AN919" s="15" t="s">
        <v>332</v>
      </c>
      <c r="AO919" s="15" t="s">
        <v>56</v>
      </c>
      <c r="AP919" s="15"/>
      <c r="AQ919" s="15" t="s">
        <v>56</v>
      </c>
      <c r="AR919" s="15" t="s">
        <v>58</v>
      </c>
      <c r="AS919" s="15" t="s">
        <v>258</v>
      </c>
      <c r="AT919" s="12"/>
      <c r="AU919" s="45" t="s">
        <v>639</v>
      </c>
      <c r="AV919" s="15"/>
      <c r="AW919" s="12" t="str">
        <f>B919&amp;C919&amp;L919&amp;M919&amp;O919&amp;U919&amp;AL919&amp;AM919</f>
        <v>Costa RicaCoco's Island National ParkTaeniura meyenimarble raysdensity0.357142857142857White2015</v>
      </c>
    </row>
    <row r="920" spans="1:49" ht="14.25" customHeight="1" x14ac:dyDescent="0.35">
      <c r="A920" s="12">
        <v>919</v>
      </c>
      <c r="B920" s="15" t="s">
        <v>633</v>
      </c>
      <c r="C920" s="15" t="s">
        <v>634</v>
      </c>
      <c r="D920" s="15" t="s">
        <v>634</v>
      </c>
      <c r="E920" s="15" t="s">
        <v>635</v>
      </c>
      <c r="F920" s="13" t="s">
        <v>571</v>
      </c>
      <c r="G920" s="13" t="s">
        <v>51</v>
      </c>
      <c r="H920" s="16" t="s">
        <v>78</v>
      </c>
      <c r="I920" s="16" t="s">
        <v>156</v>
      </c>
      <c r="J920" s="17">
        <v>23.85</v>
      </c>
      <c r="K920" s="60"/>
      <c r="L920" s="17" t="s">
        <v>2789</v>
      </c>
      <c r="M920" s="17" t="s">
        <v>646</v>
      </c>
      <c r="N920" s="14" t="s">
        <v>85</v>
      </c>
      <c r="O920" s="17" t="s">
        <v>86</v>
      </c>
      <c r="P920" s="17"/>
      <c r="Q920" s="17"/>
      <c r="R920" s="17">
        <v>0.22</v>
      </c>
      <c r="S920" s="17"/>
      <c r="T920" s="17">
        <v>0.15</v>
      </c>
      <c r="U920" s="20">
        <f t="shared" si="62"/>
        <v>0.68181818181818177</v>
      </c>
      <c r="V920" s="41">
        <f t="shared" si="65"/>
        <v>-31.818181818181824</v>
      </c>
      <c r="W920" s="17"/>
      <c r="X920" s="17" t="s">
        <v>56</v>
      </c>
      <c r="Z920" s="17" t="s">
        <v>56</v>
      </c>
      <c r="AA920" s="17"/>
      <c r="AB920" s="14" t="s">
        <v>192</v>
      </c>
      <c r="AC920" s="17">
        <v>1992</v>
      </c>
      <c r="AD920" s="17">
        <v>21</v>
      </c>
      <c r="AE920" s="17"/>
      <c r="AF920" s="17"/>
      <c r="AG920" s="14">
        <v>2001</v>
      </c>
      <c r="AH920" s="14">
        <f t="shared" si="63"/>
        <v>-9</v>
      </c>
      <c r="AI920" s="17">
        <f t="shared" si="64"/>
        <v>12</v>
      </c>
      <c r="AJ920" s="17"/>
      <c r="AK920" s="17" t="s">
        <v>58</v>
      </c>
      <c r="AL920" s="16" t="s">
        <v>638</v>
      </c>
      <c r="AM920" s="15">
        <v>2015</v>
      </c>
      <c r="AN920" s="15" t="s">
        <v>332</v>
      </c>
      <c r="AO920" s="15" t="s">
        <v>56</v>
      </c>
      <c r="AP920" s="15"/>
      <c r="AQ920" s="15" t="s">
        <v>56</v>
      </c>
      <c r="AR920" s="15" t="s">
        <v>58</v>
      </c>
      <c r="AS920" s="15" t="s">
        <v>258</v>
      </c>
      <c r="AT920" s="15"/>
      <c r="AU920" s="45" t="s">
        <v>639</v>
      </c>
      <c r="AV920" s="15"/>
      <c r="AW920" s="12" t="str">
        <f>B920&amp;C920&amp;L920&amp;M920&amp;O920&amp;U920&amp;AL920&amp;AM920</f>
        <v>Costa RicaCoco's Island National ParkMobulidaemobula raysdensity0.681818181818182White2015</v>
      </c>
    </row>
    <row r="921" spans="1:49" ht="14.25" customHeight="1" x14ac:dyDescent="0.35">
      <c r="A921" s="12">
        <v>920</v>
      </c>
      <c r="B921" s="15" t="s">
        <v>633</v>
      </c>
      <c r="C921" s="12" t="s">
        <v>634</v>
      </c>
      <c r="D921" s="12" t="s">
        <v>634</v>
      </c>
      <c r="E921" s="15" t="s">
        <v>635</v>
      </c>
      <c r="F921" s="13" t="s">
        <v>571</v>
      </c>
      <c r="G921" s="13" t="s">
        <v>51</v>
      </c>
      <c r="H921" s="16" t="s">
        <v>78</v>
      </c>
      <c r="I921" s="16" t="s">
        <v>156</v>
      </c>
      <c r="J921" s="17">
        <v>23.85</v>
      </c>
      <c r="K921" s="60"/>
      <c r="L921" s="17" t="s">
        <v>647</v>
      </c>
      <c r="M921" s="17" t="s">
        <v>648</v>
      </c>
      <c r="N921" s="17" t="s">
        <v>85</v>
      </c>
      <c r="O921" s="17" t="s">
        <v>86</v>
      </c>
      <c r="P921" s="17"/>
      <c r="Q921" s="17"/>
      <c r="R921" s="17">
        <v>5.2999999999999999E-2</v>
      </c>
      <c r="S921" s="17"/>
      <c r="T921" s="17">
        <v>3.7999999999999999E-2</v>
      </c>
      <c r="U921" s="20">
        <f t="shared" si="62"/>
        <v>0.71698113207547165</v>
      </c>
      <c r="V921" s="41">
        <f t="shared" si="65"/>
        <v>-28.301886792452834</v>
      </c>
      <c r="W921" s="17"/>
      <c r="X921" s="17" t="s">
        <v>56</v>
      </c>
      <c r="Z921" s="17" t="s">
        <v>56</v>
      </c>
      <c r="AA921" s="17"/>
      <c r="AB921" s="17" t="s">
        <v>192</v>
      </c>
      <c r="AC921" s="17">
        <v>1992</v>
      </c>
      <c r="AD921" s="17">
        <v>21</v>
      </c>
      <c r="AE921" s="17"/>
      <c r="AF921" s="17"/>
      <c r="AG921" s="17">
        <v>2001</v>
      </c>
      <c r="AH921" s="14">
        <f t="shared" si="63"/>
        <v>-9</v>
      </c>
      <c r="AI921" s="17">
        <f t="shared" si="64"/>
        <v>12</v>
      </c>
      <c r="AJ921" s="17"/>
      <c r="AK921" s="17" t="s">
        <v>58</v>
      </c>
      <c r="AL921" s="16" t="s">
        <v>638</v>
      </c>
      <c r="AM921" s="15">
        <v>2015</v>
      </c>
      <c r="AN921" s="15" t="s">
        <v>332</v>
      </c>
      <c r="AO921" s="15" t="s">
        <v>56</v>
      </c>
      <c r="AP921" s="15"/>
      <c r="AQ921" s="15" t="s">
        <v>56</v>
      </c>
      <c r="AR921" s="15" t="s">
        <v>58</v>
      </c>
      <c r="AS921" s="15" t="s">
        <v>258</v>
      </c>
      <c r="AT921" s="15"/>
      <c r="AU921" s="45" t="s">
        <v>639</v>
      </c>
      <c r="AV921" s="15"/>
      <c r="AW921" s="12" t="str">
        <f>B921&amp;C921&amp;L921&amp;M921&amp;O921&amp;U921&amp;AL921&amp;AM921</f>
        <v>Costa RicaCoco's Island National ParkManta birostrismanta raysdensity0.716981132075472White2015</v>
      </c>
    </row>
    <row r="922" spans="1:49" ht="14.25" customHeight="1" x14ac:dyDescent="0.35">
      <c r="A922" s="12">
        <v>921</v>
      </c>
      <c r="B922" s="15" t="s">
        <v>153</v>
      </c>
      <c r="C922" s="15" t="s">
        <v>2588</v>
      </c>
      <c r="D922" s="15" t="s">
        <v>2588</v>
      </c>
      <c r="E922" s="15" t="s">
        <v>417</v>
      </c>
      <c r="F922" s="13" t="s">
        <v>50</v>
      </c>
      <c r="G922" s="13" t="s">
        <v>51</v>
      </c>
      <c r="H922" s="16" t="s">
        <v>108</v>
      </c>
      <c r="I922" s="16" t="s">
        <v>156</v>
      </c>
      <c r="J922" s="17">
        <v>0.19500000000000001</v>
      </c>
      <c r="K922" s="17"/>
      <c r="L922" s="17" t="s">
        <v>418</v>
      </c>
      <c r="M922" s="17" t="s">
        <v>419</v>
      </c>
      <c r="N922" s="17" t="s">
        <v>170</v>
      </c>
      <c r="O922" s="17" t="s">
        <v>86</v>
      </c>
      <c r="P922" s="17"/>
      <c r="Q922" s="17"/>
      <c r="R922" s="17"/>
      <c r="S922" s="17">
        <v>0</v>
      </c>
      <c r="T922" s="17">
        <v>4</v>
      </c>
      <c r="U922" s="20" t="str">
        <f t="shared" si="62"/>
        <v>N/A</v>
      </c>
      <c r="V922" s="41" t="str">
        <f t="shared" si="65"/>
        <v>N/A</v>
      </c>
      <c r="W922" s="17"/>
      <c r="X922" s="17" t="s">
        <v>56</v>
      </c>
      <c r="Z922" s="17" t="s">
        <v>56</v>
      </c>
      <c r="AA922" s="17"/>
      <c r="AB922" s="17" t="s">
        <v>57</v>
      </c>
      <c r="AC922" s="17">
        <v>2001</v>
      </c>
      <c r="AD922" s="17">
        <v>7</v>
      </c>
      <c r="AE922" s="17"/>
      <c r="AF922" s="17"/>
      <c r="AG922" s="17">
        <v>1999</v>
      </c>
      <c r="AH922" s="14">
        <f t="shared" si="63"/>
        <v>2</v>
      </c>
      <c r="AI922" s="17">
        <f t="shared" si="64"/>
        <v>9</v>
      </c>
      <c r="AJ922" s="17"/>
      <c r="AK922" s="17" t="s">
        <v>58</v>
      </c>
      <c r="AL922" s="16" t="s">
        <v>420</v>
      </c>
      <c r="AM922" s="15">
        <v>2012</v>
      </c>
      <c r="AN922" s="15" t="s">
        <v>140</v>
      </c>
      <c r="AO922" s="15" t="s">
        <v>56</v>
      </c>
      <c r="AP922" s="15"/>
      <c r="AQ922" s="15" t="s">
        <v>56</v>
      </c>
      <c r="AR922" s="15" t="s">
        <v>58</v>
      </c>
      <c r="AS922" s="15" t="s">
        <v>258</v>
      </c>
      <c r="AT922" s="15"/>
      <c r="AU922" s="45" t="s">
        <v>421</v>
      </c>
      <c r="AV922" s="15"/>
      <c r="AW922" s="12" t="str">
        <f>B922&amp;C922&amp;L922&amp;M922&amp;O922&amp;U922&amp;AL922&amp;AM922</f>
        <v>PhilippinesBatasan marine reserveSyngnathidseshorsesdensityN/AYasue2012</v>
      </c>
    </row>
    <row r="923" spans="1:49" ht="14.25" customHeight="1" x14ac:dyDescent="0.35">
      <c r="A923" s="12">
        <v>922</v>
      </c>
      <c r="B923" s="15" t="s">
        <v>153</v>
      </c>
      <c r="C923" s="15" t="s">
        <v>416</v>
      </c>
      <c r="D923" s="15" t="s">
        <v>416</v>
      </c>
      <c r="E923" s="15" t="s">
        <v>417</v>
      </c>
      <c r="F923" s="13" t="s">
        <v>50</v>
      </c>
      <c r="G923" s="13" t="s">
        <v>51</v>
      </c>
      <c r="H923" s="16" t="s">
        <v>108</v>
      </c>
      <c r="I923" s="16" t="s">
        <v>156</v>
      </c>
      <c r="J923" s="17">
        <v>8.5999999999999993E-2</v>
      </c>
      <c r="K923" s="17"/>
      <c r="L923" s="17" t="s">
        <v>418</v>
      </c>
      <c r="M923" s="17" t="s">
        <v>419</v>
      </c>
      <c r="N923" s="17" t="s">
        <v>170</v>
      </c>
      <c r="O923" s="17" t="s">
        <v>86</v>
      </c>
      <c r="P923" s="17"/>
      <c r="Q923" s="17"/>
      <c r="R923" s="17"/>
      <c r="S923" s="17">
        <v>14.8</v>
      </c>
      <c r="T923" s="17">
        <v>12.8</v>
      </c>
      <c r="U923" s="20">
        <f t="shared" si="62"/>
        <v>0.86486486486486491</v>
      </c>
      <c r="V923" s="41">
        <f t="shared" si="65"/>
        <v>-13.513513513513509</v>
      </c>
      <c r="W923" s="17"/>
      <c r="X923" s="17" t="s">
        <v>56</v>
      </c>
      <c r="Z923" s="17" t="s">
        <v>56</v>
      </c>
      <c r="AA923" s="17"/>
      <c r="AB923" s="17" t="s">
        <v>57</v>
      </c>
      <c r="AC923" s="17">
        <v>2001</v>
      </c>
      <c r="AD923" s="17">
        <v>7</v>
      </c>
      <c r="AE923" s="17"/>
      <c r="AF923" s="17"/>
      <c r="AG923" s="17">
        <v>2004</v>
      </c>
      <c r="AH923" s="14">
        <f t="shared" si="63"/>
        <v>-3</v>
      </c>
      <c r="AI923" s="17">
        <f t="shared" si="64"/>
        <v>4</v>
      </c>
      <c r="AJ923" s="17"/>
      <c r="AK923" s="17" t="s">
        <v>58</v>
      </c>
      <c r="AL923" s="16" t="s">
        <v>420</v>
      </c>
      <c r="AM923" s="15">
        <v>2012</v>
      </c>
      <c r="AN923" s="15" t="s">
        <v>140</v>
      </c>
      <c r="AO923" s="15" t="s">
        <v>56</v>
      </c>
      <c r="AP923" s="15"/>
      <c r="AQ923" s="15" t="s">
        <v>56</v>
      </c>
      <c r="AR923" s="15" t="s">
        <v>58</v>
      </c>
      <c r="AS923" s="15" t="s">
        <v>258</v>
      </c>
      <c r="AT923" s="15"/>
      <c r="AU923" s="45" t="s">
        <v>421</v>
      </c>
      <c r="AV923" s="15"/>
      <c r="AW923" s="12" t="str">
        <f>B923&amp;C923&amp;L923&amp;M923&amp;O923&amp;U923&amp;AL923&amp;AM923</f>
        <v>PhilippinesBantigianSyngnathidseshorsesdensity0.864864864864865Yasue2012</v>
      </c>
    </row>
    <row r="924" spans="1:49" ht="14.25" customHeight="1" x14ac:dyDescent="0.35">
      <c r="A924" s="12">
        <v>923</v>
      </c>
      <c r="B924" s="12" t="s">
        <v>153</v>
      </c>
      <c r="C924" s="12" t="s">
        <v>1010</v>
      </c>
      <c r="D924" s="12" t="s">
        <v>1010</v>
      </c>
      <c r="E924" s="12" t="s">
        <v>417</v>
      </c>
      <c r="F924" s="13" t="s">
        <v>50</v>
      </c>
      <c r="G924" s="13" t="s">
        <v>51</v>
      </c>
      <c r="H924" s="13" t="s">
        <v>108</v>
      </c>
      <c r="I924" s="13" t="s">
        <v>156</v>
      </c>
      <c r="J924" s="14">
        <v>0.248</v>
      </c>
      <c r="K924" s="17"/>
      <c r="L924" s="14" t="s">
        <v>418</v>
      </c>
      <c r="M924" s="14" t="s">
        <v>419</v>
      </c>
      <c r="N924" s="14" t="s">
        <v>170</v>
      </c>
      <c r="O924" s="17" t="s">
        <v>86</v>
      </c>
      <c r="P924" s="14"/>
      <c r="Q924" s="14"/>
      <c r="R924" s="14"/>
      <c r="S924" s="14">
        <v>11</v>
      </c>
      <c r="T924" s="14">
        <v>3.7</v>
      </c>
      <c r="U924" s="19">
        <f t="shared" si="62"/>
        <v>0.33636363636363636</v>
      </c>
      <c r="V924" s="41">
        <f t="shared" si="65"/>
        <v>-66.36363636363636</v>
      </c>
      <c r="W924" s="14"/>
      <c r="X924" s="14" t="s">
        <v>56</v>
      </c>
      <c r="Z924" s="14" t="s">
        <v>56</v>
      </c>
      <c r="AA924" s="14"/>
      <c r="AB924" s="14" t="s">
        <v>57</v>
      </c>
      <c r="AC924" s="14">
        <v>2001</v>
      </c>
      <c r="AD924" s="14">
        <v>7</v>
      </c>
      <c r="AE924" s="14"/>
      <c r="AF924" s="14"/>
      <c r="AG924" s="14">
        <v>2002</v>
      </c>
      <c r="AH924" s="14">
        <f t="shared" si="63"/>
        <v>-1</v>
      </c>
      <c r="AI924" s="17">
        <f t="shared" si="64"/>
        <v>6</v>
      </c>
      <c r="AJ924" s="14"/>
      <c r="AK924" s="14" t="s">
        <v>58</v>
      </c>
      <c r="AL924" s="13" t="s">
        <v>420</v>
      </c>
      <c r="AM924" s="12">
        <v>2012</v>
      </c>
      <c r="AN924" s="12" t="s">
        <v>140</v>
      </c>
      <c r="AO924" s="12" t="s">
        <v>56</v>
      </c>
      <c r="AP924" s="12"/>
      <c r="AQ924" s="12" t="s">
        <v>56</v>
      </c>
      <c r="AR924" s="12" t="s">
        <v>58</v>
      </c>
      <c r="AS924" s="12" t="s">
        <v>258</v>
      </c>
      <c r="AT924" s="12"/>
      <c r="AU924" s="45" t="s">
        <v>421</v>
      </c>
      <c r="AV924" s="15"/>
      <c r="AW924" s="12" t="str">
        <f>B924&amp;C924&amp;L924&amp;M924&amp;O924&amp;U924&amp;AL924&amp;AM924</f>
        <v>PhilippinesJandayan NorteSyngnathidseshorsesdensity0.336363636363636Yasue2012</v>
      </c>
    </row>
    <row r="925" spans="1:49" ht="14.25" customHeight="1" x14ac:dyDescent="0.35">
      <c r="A925" s="12">
        <v>924</v>
      </c>
      <c r="B925" s="12" t="s">
        <v>1095</v>
      </c>
      <c r="C925" s="44" t="s">
        <v>1464</v>
      </c>
      <c r="D925" s="44" t="s">
        <v>1464</v>
      </c>
      <c r="E925" s="12" t="s">
        <v>171</v>
      </c>
      <c r="F925" s="13" t="s">
        <v>50</v>
      </c>
      <c r="G925" s="13" t="s">
        <v>51</v>
      </c>
      <c r="H925" s="13" t="s">
        <v>52</v>
      </c>
      <c r="I925" s="13" t="s">
        <v>156</v>
      </c>
      <c r="J925" s="14">
        <v>0.5</v>
      </c>
      <c r="K925" s="14"/>
      <c r="L925" s="14" t="s">
        <v>1476</v>
      </c>
      <c r="M925" s="14" t="s">
        <v>961</v>
      </c>
      <c r="N925" s="14" t="s">
        <v>170</v>
      </c>
      <c r="O925" s="17" t="s">
        <v>86</v>
      </c>
      <c r="P925" s="14"/>
      <c r="Q925" s="14"/>
      <c r="R925" s="14"/>
      <c r="S925" s="14">
        <v>1.4958</v>
      </c>
      <c r="T925" s="14">
        <v>3.6288</v>
      </c>
      <c r="U925" s="19">
        <f t="shared" si="62"/>
        <v>2.4259927797833933</v>
      </c>
      <c r="V925" s="41">
        <f t="shared" si="65"/>
        <v>142.59927797833933</v>
      </c>
      <c r="W925" s="14"/>
      <c r="X925" s="14" t="s">
        <v>56</v>
      </c>
      <c r="Z925" s="14" t="s">
        <v>56</v>
      </c>
      <c r="AA925" s="14"/>
      <c r="AB925" s="14" t="s">
        <v>57</v>
      </c>
      <c r="AC925" s="14">
        <v>2009</v>
      </c>
      <c r="AD925" s="14"/>
      <c r="AE925" s="14">
        <v>10</v>
      </c>
      <c r="AF925" s="14"/>
      <c r="AG925" s="14">
        <v>2003</v>
      </c>
      <c r="AH925" s="14">
        <f t="shared" si="63"/>
        <v>6</v>
      </c>
      <c r="AI925" s="17">
        <f t="shared" si="64"/>
        <v>6.833333333333333</v>
      </c>
      <c r="AJ925" s="14"/>
      <c r="AK925" s="14" t="s">
        <v>56</v>
      </c>
      <c r="AL925" s="13" t="s">
        <v>1467</v>
      </c>
      <c r="AM925" s="12">
        <v>2012</v>
      </c>
      <c r="AN925" s="12" t="s">
        <v>183</v>
      </c>
      <c r="AO925" s="12" t="s">
        <v>56</v>
      </c>
      <c r="AP925" s="12"/>
      <c r="AQ925" s="12" t="s">
        <v>56</v>
      </c>
      <c r="AR925" s="12" t="s">
        <v>58</v>
      </c>
      <c r="AS925" s="12" t="s">
        <v>94</v>
      </c>
      <c r="AT925" s="12"/>
      <c r="AU925" s="45"/>
      <c r="AV925" s="15"/>
      <c r="AW925" s="12" t="str">
        <f>B925&amp;C925&amp;L925&amp;M925&amp;O925&amp;U925&amp;AL925&amp;AM925</f>
        <v>FijiNamada marine protected areaEpinephelidaegroupersdensity2.42599277978339Clements2012</v>
      </c>
    </row>
    <row r="926" spans="1:49" ht="14.25" customHeight="1" x14ac:dyDescent="0.35">
      <c r="A926" s="12">
        <v>925</v>
      </c>
      <c r="B926" s="12" t="s">
        <v>1095</v>
      </c>
      <c r="C926" s="44" t="s">
        <v>2019</v>
      </c>
      <c r="D926" s="44" t="s">
        <v>2019</v>
      </c>
      <c r="E926" s="12" t="s">
        <v>171</v>
      </c>
      <c r="F926" s="13" t="s">
        <v>50</v>
      </c>
      <c r="G926" s="13" t="s">
        <v>51</v>
      </c>
      <c r="H926" s="13" t="s">
        <v>52</v>
      </c>
      <c r="I926" s="13" t="s">
        <v>156</v>
      </c>
      <c r="J926" s="14">
        <v>0.8</v>
      </c>
      <c r="K926" s="17"/>
      <c r="L926" s="14" t="s">
        <v>1476</v>
      </c>
      <c r="M926" s="14" t="s">
        <v>961</v>
      </c>
      <c r="N926" s="14" t="s">
        <v>170</v>
      </c>
      <c r="O926" s="17" t="s">
        <v>86</v>
      </c>
      <c r="P926" s="14"/>
      <c r="Q926" s="14"/>
      <c r="R926" s="14"/>
      <c r="S926" s="14">
        <v>0.63712000000000002</v>
      </c>
      <c r="T926" s="14">
        <v>2.4931000000000001</v>
      </c>
      <c r="U926" s="19">
        <f t="shared" si="62"/>
        <v>3.9130775991963835</v>
      </c>
      <c r="V926" s="41">
        <f t="shared" si="65"/>
        <v>291.30775991963833</v>
      </c>
      <c r="W926" s="14"/>
      <c r="X926" s="14" t="s">
        <v>56</v>
      </c>
      <c r="Z926" s="14" t="s">
        <v>56</v>
      </c>
      <c r="AA926" s="14"/>
      <c r="AB926" s="14" t="s">
        <v>57</v>
      </c>
      <c r="AC926" s="14">
        <v>2009</v>
      </c>
      <c r="AD926" s="14"/>
      <c r="AE926" s="14">
        <v>10</v>
      </c>
      <c r="AF926" s="14"/>
      <c r="AG926" s="14">
        <v>2004</v>
      </c>
      <c r="AH926" s="14">
        <f t="shared" si="63"/>
        <v>5</v>
      </c>
      <c r="AI926" s="17">
        <f t="shared" si="64"/>
        <v>5.833333333333333</v>
      </c>
      <c r="AJ926" s="14"/>
      <c r="AK926" s="14" t="s">
        <v>56</v>
      </c>
      <c r="AL926" s="13" t="s">
        <v>1467</v>
      </c>
      <c r="AM926" s="12">
        <v>2012</v>
      </c>
      <c r="AN926" s="12" t="s">
        <v>183</v>
      </c>
      <c r="AO926" s="12" t="s">
        <v>56</v>
      </c>
      <c r="AP926" s="12"/>
      <c r="AQ926" s="12" t="s">
        <v>56</v>
      </c>
      <c r="AR926" s="12" t="s">
        <v>58</v>
      </c>
      <c r="AS926" s="12" t="s">
        <v>94</v>
      </c>
      <c r="AT926" s="12"/>
      <c r="AU926" s="45"/>
      <c r="AV926" s="15"/>
      <c r="AW926" s="12" t="str">
        <f>B926&amp;C926&amp;L926&amp;M926&amp;O926&amp;U926&amp;AL926&amp;AM926</f>
        <v>FijiVotua marine protected areaEpinephelidaegroupersdensity3.91307759919638Clements2012</v>
      </c>
    </row>
    <row r="927" spans="1:49" ht="14.25" customHeight="1" x14ac:dyDescent="0.35">
      <c r="A927" s="12">
        <v>926</v>
      </c>
      <c r="B927" s="15" t="s">
        <v>1095</v>
      </c>
      <c r="C927" s="15" t="s">
        <v>1477</v>
      </c>
      <c r="D927" s="12" t="s">
        <v>1477</v>
      </c>
      <c r="E927" s="15" t="s">
        <v>171</v>
      </c>
      <c r="F927" s="16" t="s">
        <v>50</v>
      </c>
      <c r="G927" s="16" t="s">
        <v>51</v>
      </c>
      <c r="H927" s="16" t="s">
        <v>52</v>
      </c>
      <c r="I927" s="16" t="s">
        <v>156</v>
      </c>
      <c r="J927" s="14">
        <v>0.8</v>
      </c>
      <c r="K927" s="17"/>
      <c r="L927" s="14" t="s">
        <v>1476</v>
      </c>
      <c r="M927" s="14" t="s">
        <v>961</v>
      </c>
      <c r="N927" s="14" t="s">
        <v>170</v>
      </c>
      <c r="O927" s="17" t="s">
        <v>86</v>
      </c>
      <c r="P927" s="17"/>
      <c r="Q927" s="17"/>
      <c r="R927" s="17"/>
      <c r="S927" s="17">
        <v>1.1356999999999999</v>
      </c>
      <c r="T927" s="17">
        <v>3.2686999999999999</v>
      </c>
      <c r="U927" s="20">
        <f t="shared" si="62"/>
        <v>2.8781368319098353</v>
      </c>
      <c r="V927" s="41">
        <f t="shared" si="65"/>
        <v>187.81368319098354</v>
      </c>
      <c r="W927" s="17"/>
      <c r="X927" s="17" t="s">
        <v>56</v>
      </c>
      <c r="Z927" s="17" t="s">
        <v>56</v>
      </c>
      <c r="AA927" s="17"/>
      <c r="AB927" s="17" t="s">
        <v>57</v>
      </c>
      <c r="AC927" s="17">
        <v>2009</v>
      </c>
      <c r="AD927" s="17"/>
      <c r="AE927" s="17">
        <v>10</v>
      </c>
      <c r="AF927" s="17"/>
      <c r="AG927" s="17">
        <v>2005</v>
      </c>
      <c r="AH927" s="14">
        <f t="shared" si="63"/>
        <v>4</v>
      </c>
      <c r="AI927" s="17">
        <f t="shared" si="64"/>
        <v>4.833333333333333</v>
      </c>
      <c r="AJ927" s="17"/>
      <c r="AK927" s="17" t="s">
        <v>56</v>
      </c>
      <c r="AL927" s="16" t="s">
        <v>1467</v>
      </c>
      <c r="AM927" s="15">
        <v>2012</v>
      </c>
      <c r="AN927" s="15" t="s">
        <v>183</v>
      </c>
      <c r="AO927" s="15" t="s">
        <v>56</v>
      </c>
      <c r="AP927" s="15"/>
      <c r="AQ927" s="15" t="s">
        <v>56</v>
      </c>
      <c r="AR927" s="15" t="s">
        <v>58</v>
      </c>
      <c r="AS927" s="15" t="s">
        <v>94</v>
      </c>
      <c r="AT927" s="15"/>
      <c r="AU927" s="45"/>
      <c r="AV927" s="15"/>
      <c r="AW927" s="12" t="str">
        <f>B927&amp;C927&amp;L927&amp;M927&amp;O927&amp;U927&amp;AL927&amp;AM927</f>
        <v>FijiNamatakulaEpinephelidaegroupersdensity2.87813683190984Clements2012</v>
      </c>
    </row>
    <row r="928" spans="1:49" ht="14.25" customHeight="1" x14ac:dyDescent="0.35">
      <c r="A928" s="12">
        <v>927</v>
      </c>
      <c r="B928" s="15" t="s">
        <v>1095</v>
      </c>
      <c r="C928" s="43" t="s">
        <v>1464</v>
      </c>
      <c r="D928" s="44" t="s">
        <v>1464</v>
      </c>
      <c r="E928" s="15" t="s">
        <v>171</v>
      </c>
      <c r="F928" s="13" t="s">
        <v>50</v>
      </c>
      <c r="G928" s="13" t="s">
        <v>51</v>
      </c>
      <c r="H928" s="16" t="s">
        <v>52</v>
      </c>
      <c r="I928" s="16" t="s">
        <v>156</v>
      </c>
      <c r="J928" s="14">
        <v>0.5</v>
      </c>
      <c r="K928" s="17"/>
      <c r="L928" s="14" t="s">
        <v>1476</v>
      </c>
      <c r="M928" s="14" t="s">
        <v>961</v>
      </c>
      <c r="N928" s="14" t="s">
        <v>170</v>
      </c>
      <c r="O928" s="17" t="s">
        <v>70</v>
      </c>
      <c r="P928" s="17"/>
      <c r="Q928" s="17"/>
      <c r="R928" s="17"/>
      <c r="S928" s="17">
        <v>147.37</v>
      </c>
      <c r="T928" s="17">
        <v>329.64</v>
      </c>
      <c r="U928" s="20">
        <f t="shared" si="62"/>
        <v>2.2368188912261653</v>
      </c>
      <c r="V928" s="41">
        <f t="shared" si="65"/>
        <v>123.68188912261652</v>
      </c>
      <c r="W928" s="17"/>
      <c r="X928" s="17" t="s">
        <v>56</v>
      </c>
      <c r="Z928" s="17" t="s">
        <v>56</v>
      </c>
      <c r="AA928" s="17"/>
      <c r="AB928" s="17" t="s">
        <v>57</v>
      </c>
      <c r="AC928" s="17">
        <v>2009</v>
      </c>
      <c r="AD928" s="17"/>
      <c r="AE928" s="17">
        <v>10</v>
      </c>
      <c r="AF928" s="17"/>
      <c r="AG928" s="17">
        <v>2003</v>
      </c>
      <c r="AH928" s="14">
        <f t="shared" si="63"/>
        <v>6</v>
      </c>
      <c r="AI928" s="17">
        <f t="shared" si="64"/>
        <v>6.833333333333333</v>
      </c>
      <c r="AJ928" s="17"/>
      <c r="AK928" s="17" t="s">
        <v>56</v>
      </c>
      <c r="AL928" s="16" t="s">
        <v>1467</v>
      </c>
      <c r="AM928" s="15">
        <v>2012</v>
      </c>
      <c r="AN928" s="15" t="s">
        <v>183</v>
      </c>
      <c r="AO928" s="15" t="s">
        <v>56</v>
      </c>
      <c r="AP928" s="15"/>
      <c r="AQ928" s="15" t="s">
        <v>56</v>
      </c>
      <c r="AR928" s="15" t="s">
        <v>58</v>
      </c>
      <c r="AS928" s="15" t="s">
        <v>94</v>
      </c>
      <c r="AT928" s="15"/>
      <c r="AU928" s="45"/>
      <c r="AV928" s="15"/>
      <c r="AW928" s="12" t="str">
        <f>B928&amp;C928&amp;L928&amp;M928&amp;O928&amp;U928&amp;AL928&amp;AM928</f>
        <v>FijiNamada marine protected areaEpinephelidaegroupersbiomassden2.23681889122617Clements2012</v>
      </c>
    </row>
    <row r="929" spans="1:49" ht="14.25" customHeight="1" x14ac:dyDescent="0.35">
      <c r="A929" s="12">
        <v>928</v>
      </c>
      <c r="B929" s="12" t="s">
        <v>1095</v>
      </c>
      <c r="C929" s="44" t="s">
        <v>2019</v>
      </c>
      <c r="D929" s="44" t="s">
        <v>2019</v>
      </c>
      <c r="E929" s="12" t="s">
        <v>171</v>
      </c>
      <c r="F929" s="13" t="s">
        <v>50</v>
      </c>
      <c r="G929" s="13" t="s">
        <v>51</v>
      </c>
      <c r="H929" s="13" t="s">
        <v>52</v>
      </c>
      <c r="I929" s="13" t="s">
        <v>156</v>
      </c>
      <c r="J929" s="14">
        <v>0.8</v>
      </c>
      <c r="K929" s="17"/>
      <c r="L929" s="14" t="s">
        <v>1476</v>
      </c>
      <c r="M929" s="14" t="s">
        <v>961</v>
      </c>
      <c r="N929" s="14" t="s">
        <v>170</v>
      </c>
      <c r="O929" s="17" t="s">
        <v>70</v>
      </c>
      <c r="P929" s="14"/>
      <c r="Q929" s="14"/>
      <c r="R929" s="14"/>
      <c r="S929" s="14">
        <v>46.536999999999999</v>
      </c>
      <c r="T929" s="14">
        <v>290.86</v>
      </c>
      <c r="U929" s="19">
        <f t="shared" si="62"/>
        <v>6.2500805810430418</v>
      </c>
      <c r="V929" s="41">
        <f t="shared" si="65"/>
        <v>525.00805810430415</v>
      </c>
      <c r="W929" s="14"/>
      <c r="X929" s="14" t="s">
        <v>56</v>
      </c>
      <c r="Z929" s="14" t="s">
        <v>56</v>
      </c>
      <c r="AA929" s="14"/>
      <c r="AB929" s="14" t="s">
        <v>57</v>
      </c>
      <c r="AC929" s="14">
        <v>2009</v>
      </c>
      <c r="AD929" s="14"/>
      <c r="AE929" s="14">
        <v>10</v>
      </c>
      <c r="AF929" s="14"/>
      <c r="AG929" s="14">
        <v>2004</v>
      </c>
      <c r="AH929" s="14">
        <f t="shared" si="63"/>
        <v>5</v>
      </c>
      <c r="AI929" s="17">
        <f t="shared" si="64"/>
        <v>5.833333333333333</v>
      </c>
      <c r="AJ929" s="14"/>
      <c r="AK929" s="14" t="s">
        <v>56</v>
      </c>
      <c r="AL929" s="13" t="s">
        <v>1467</v>
      </c>
      <c r="AM929" s="12">
        <v>2012</v>
      </c>
      <c r="AN929" s="12" t="s">
        <v>183</v>
      </c>
      <c r="AO929" s="12" t="s">
        <v>56</v>
      </c>
      <c r="AP929" s="12"/>
      <c r="AQ929" s="12" t="s">
        <v>56</v>
      </c>
      <c r="AR929" s="12" t="s">
        <v>58</v>
      </c>
      <c r="AS929" s="12" t="s">
        <v>94</v>
      </c>
      <c r="AT929" s="12"/>
      <c r="AU929" s="45"/>
      <c r="AV929" s="15"/>
      <c r="AW929" s="12" t="str">
        <f>B929&amp;C929&amp;L929&amp;M929&amp;O929&amp;U929&amp;AL929&amp;AM929</f>
        <v>FijiVotua marine protected areaEpinephelidaegroupersbiomassden6.25008058104304Clements2012</v>
      </c>
    </row>
    <row r="930" spans="1:49" ht="14.25" customHeight="1" x14ac:dyDescent="0.35">
      <c r="A930" s="12">
        <v>929</v>
      </c>
      <c r="B930" s="15" t="s">
        <v>1095</v>
      </c>
      <c r="C930" s="15" t="s">
        <v>1477</v>
      </c>
      <c r="D930" s="12" t="s">
        <v>1477</v>
      </c>
      <c r="E930" s="15" t="s">
        <v>171</v>
      </c>
      <c r="F930" s="16" t="s">
        <v>50</v>
      </c>
      <c r="G930" s="16" t="s">
        <v>51</v>
      </c>
      <c r="H930" s="16" t="s">
        <v>52</v>
      </c>
      <c r="I930" s="16" t="s">
        <v>156</v>
      </c>
      <c r="J930" s="14">
        <v>0.8</v>
      </c>
      <c r="K930" s="17"/>
      <c r="L930" s="14" t="s">
        <v>1476</v>
      </c>
      <c r="M930" s="14" t="s">
        <v>961</v>
      </c>
      <c r="N930" s="14" t="s">
        <v>170</v>
      </c>
      <c r="O930" s="17" t="s">
        <v>70</v>
      </c>
      <c r="P930" s="17"/>
      <c r="Q930" s="17"/>
      <c r="R930" s="17"/>
      <c r="S930" s="17">
        <v>139.61000000000001</v>
      </c>
      <c r="T930" s="17">
        <v>546.80999999999995</v>
      </c>
      <c r="U930" s="20">
        <f t="shared" si="62"/>
        <v>3.9166965117111947</v>
      </c>
      <c r="V930" s="41">
        <f t="shared" si="65"/>
        <v>291.66965117111948</v>
      </c>
      <c r="W930" s="17"/>
      <c r="X930" s="17" t="s">
        <v>56</v>
      </c>
      <c r="Z930" s="17" t="s">
        <v>56</v>
      </c>
      <c r="AA930" s="17"/>
      <c r="AB930" s="17" t="s">
        <v>57</v>
      </c>
      <c r="AC930" s="17">
        <v>2009</v>
      </c>
      <c r="AD930" s="17"/>
      <c r="AE930" s="17">
        <v>10</v>
      </c>
      <c r="AF930" s="17"/>
      <c r="AG930" s="17">
        <v>2005</v>
      </c>
      <c r="AH930" s="14">
        <f t="shared" si="63"/>
        <v>4</v>
      </c>
      <c r="AI930" s="17">
        <f t="shared" si="64"/>
        <v>4.833333333333333</v>
      </c>
      <c r="AJ930" s="17"/>
      <c r="AK930" s="17" t="s">
        <v>56</v>
      </c>
      <c r="AL930" s="16" t="s">
        <v>1467</v>
      </c>
      <c r="AM930" s="15">
        <v>2012</v>
      </c>
      <c r="AN930" s="15" t="s">
        <v>183</v>
      </c>
      <c r="AO930" s="15" t="s">
        <v>56</v>
      </c>
      <c r="AP930" s="15"/>
      <c r="AQ930" s="15" t="s">
        <v>56</v>
      </c>
      <c r="AR930" s="15" t="s">
        <v>58</v>
      </c>
      <c r="AS930" s="15" t="s">
        <v>94</v>
      </c>
      <c r="AT930" s="15"/>
      <c r="AU930" s="45"/>
      <c r="AV930" s="15"/>
      <c r="AW930" s="12" t="str">
        <f>B930&amp;C930&amp;L930&amp;M930&amp;O930&amp;U930&amp;AL930&amp;AM930</f>
        <v>FijiNamatakulaEpinephelidaegroupersbiomassden3.91669651171119Clements2012</v>
      </c>
    </row>
    <row r="931" spans="1:49" ht="14.25" customHeight="1" x14ac:dyDescent="0.35">
      <c r="A931" s="12">
        <v>930</v>
      </c>
      <c r="B931" s="12" t="s">
        <v>1095</v>
      </c>
      <c r="C931" s="44" t="s">
        <v>1464</v>
      </c>
      <c r="D931" s="44" t="s">
        <v>1464</v>
      </c>
      <c r="E931" s="12" t="s">
        <v>171</v>
      </c>
      <c r="F931" s="13" t="s">
        <v>50</v>
      </c>
      <c r="G931" s="13" t="s">
        <v>51</v>
      </c>
      <c r="H931" s="13" t="s">
        <v>52</v>
      </c>
      <c r="I931" s="13" t="s">
        <v>156</v>
      </c>
      <c r="J931" s="14">
        <v>0.5</v>
      </c>
      <c r="K931" s="17"/>
      <c r="L931" s="14" t="s">
        <v>1476</v>
      </c>
      <c r="M931" s="14" t="s">
        <v>961</v>
      </c>
      <c r="N931" s="14" t="s">
        <v>170</v>
      </c>
      <c r="O931" s="17" t="s">
        <v>70</v>
      </c>
      <c r="P931" s="14"/>
      <c r="Q931" s="14"/>
      <c r="R931" s="14"/>
      <c r="S931" s="14">
        <v>42.430999999999997</v>
      </c>
      <c r="T931" s="14">
        <v>57.017000000000003</v>
      </c>
      <c r="U931" s="19">
        <f t="shared" si="62"/>
        <v>1.3437581013881361</v>
      </c>
      <c r="V931" s="41">
        <f t="shared" si="65"/>
        <v>34.375810138813613</v>
      </c>
      <c r="W931" s="14"/>
      <c r="X931" s="14" t="s">
        <v>56</v>
      </c>
      <c r="Z931" s="14" t="s">
        <v>56</v>
      </c>
      <c r="AA931" s="14"/>
      <c r="AB931" s="14" t="s">
        <v>57</v>
      </c>
      <c r="AC931" s="14">
        <v>2009</v>
      </c>
      <c r="AD931" s="14"/>
      <c r="AE931" s="14">
        <v>10</v>
      </c>
      <c r="AF931" s="14"/>
      <c r="AG931" s="14">
        <v>2003</v>
      </c>
      <c r="AH931" s="14">
        <f t="shared" si="63"/>
        <v>6</v>
      </c>
      <c r="AI931" s="17">
        <f t="shared" si="64"/>
        <v>6.833333333333333</v>
      </c>
      <c r="AJ931" s="14"/>
      <c r="AK931" s="14" t="s">
        <v>56</v>
      </c>
      <c r="AL931" s="13" t="s">
        <v>1467</v>
      </c>
      <c r="AM931" s="12">
        <v>2012</v>
      </c>
      <c r="AN931" s="12" t="s">
        <v>183</v>
      </c>
      <c r="AO931" s="12" t="s">
        <v>56</v>
      </c>
      <c r="AP931" s="12"/>
      <c r="AQ931" s="12" t="s">
        <v>56</v>
      </c>
      <c r="AR931" s="12" t="s">
        <v>58</v>
      </c>
      <c r="AS931" s="12" t="s">
        <v>94</v>
      </c>
      <c r="AT931" s="12"/>
      <c r="AU931" s="45" t="s">
        <v>2862</v>
      </c>
      <c r="AV931" s="15"/>
      <c r="AW931" s="12" t="str">
        <f>B931&amp;C931&amp;L931&amp;M931&amp;O931&amp;U931&amp;AL931&amp;AM931</f>
        <v>FijiNamada marine protected areaEpinephelidaegroupersbiomassden1.34375810138814Clements2012</v>
      </c>
    </row>
    <row r="932" spans="1:49" ht="14.25" customHeight="1" x14ac:dyDescent="0.35">
      <c r="A932" s="12">
        <v>931</v>
      </c>
      <c r="B932" s="15" t="s">
        <v>1095</v>
      </c>
      <c r="C932" s="43" t="s">
        <v>2019</v>
      </c>
      <c r="D932" s="44" t="s">
        <v>2019</v>
      </c>
      <c r="E932" s="15" t="s">
        <v>171</v>
      </c>
      <c r="F932" s="13" t="s">
        <v>50</v>
      </c>
      <c r="G932" s="13" t="s">
        <v>51</v>
      </c>
      <c r="H932" s="16" t="s">
        <v>52</v>
      </c>
      <c r="I932" s="16" t="s">
        <v>156</v>
      </c>
      <c r="J932" s="14">
        <v>0.8</v>
      </c>
      <c r="K932" s="17"/>
      <c r="L932" s="14" t="s">
        <v>1476</v>
      </c>
      <c r="M932" s="14" t="s">
        <v>961</v>
      </c>
      <c r="N932" s="14" t="s">
        <v>170</v>
      </c>
      <c r="O932" s="17" t="s">
        <v>70</v>
      </c>
      <c r="P932" s="17"/>
      <c r="Q932" s="17"/>
      <c r="R932" s="17"/>
      <c r="S932" s="17">
        <v>46.408999999999999</v>
      </c>
      <c r="T932" s="17">
        <v>66.960999999999999</v>
      </c>
      <c r="U932" s="20">
        <f t="shared" si="62"/>
        <v>1.4428451377965481</v>
      </c>
      <c r="V932" s="41">
        <f t="shared" si="65"/>
        <v>44.284513779654809</v>
      </c>
      <c r="W932" s="17"/>
      <c r="X932" s="17" t="s">
        <v>56</v>
      </c>
      <c r="Z932" s="17" t="s">
        <v>56</v>
      </c>
      <c r="AA932" s="17"/>
      <c r="AB932" s="17" t="s">
        <v>57</v>
      </c>
      <c r="AC932" s="17">
        <v>2009</v>
      </c>
      <c r="AD932" s="17"/>
      <c r="AE932" s="17">
        <v>10</v>
      </c>
      <c r="AF932" s="17"/>
      <c r="AG932" s="17">
        <v>2004</v>
      </c>
      <c r="AH932" s="14">
        <f t="shared" si="63"/>
        <v>5</v>
      </c>
      <c r="AI932" s="17">
        <f t="shared" si="64"/>
        <v>5.833333333333333</v>
      </c>
      <c r="AJ932" s="17"/>
      <c r="AK932" s="17" t="s">
        <v>56</v>
      </c>
      <c r="AL932" s="16" t="s">
        <v>1467</v>
      </c>
      <c r="AM932" s="15">
        <v>2012</v>
      </c>
      <c r="AN932" s="15" t="s">
        <v>183</v>
      </c>
      <c r="AO932" s="15" t="s">
        <v>56</v>
      </c>
      <c r="AP932" s="15"/>
      <c r="AQ932" s="15" t="s">
        <v>56</v>
      </c>
      <c r="AR932" s="15" t="s">
        <v>58</v>
      </c>
      <c r="AS932" s="15" t="s">
        <v>94</v>
      </c>
      <c r="AT932" s="15"/>
      <c r="AU932" s="45" t="s">
        <v>2862</v>
      </c>
      <c r="AV932" s="15"/>
      <c r="AW932" s="12" t="str">
        <f>B932&amp;C932&amp;L932&amp;M932&amp;O932&amp;U932&amp;AL932&amp;AM932</f>
        <v>FijiVotua marine protected areaEpinephelidaegroupersbiomassden1.44284513779655Clements2012</v>
      </c>
    </row>
    <row r="933" spans="1:49" ht="14.25" customHeight="1" x14ac:dyDescent="0.35">
      <c r="A933" s="12">
        <v>932</v>
      </c>
      <c r="B933" s="12" t="s">
        <v>1095</v>
      </c>
      <c r="C933" s="12" t="s">
        <v>1477</v>
      </c>
      <c r="D933" s="12" t="s">
        <v>1477</v>
      </c>
      <c r="E933" s="12" t="s">
        <v>171</v>
      </c>
      <c r="F933" s="13" t="s">
        <v>50</v>
      </c>
      <c r="G933" s="13" t="s">
        <v>51</v>
      </c>
      <c r="H933" s="13" t="s">
        <v>52</v>
      </c>
      <c r="I933" s="13" t="s">
        <v>156</v>
      </c>
      <c r="J933" s="14">
        <v>0.8</v>
      </c>
      <c r="K933" s="17"/>
      <c r="L933" s="14" t="s">
        <v>1476</v>
      </c>
      <c r="M933" s="14" t="s">
        <v>961</v>
      </c>
      <c r="N933" s="14" t="s">
        <v>170</v>
      </c>
      <c r="O933" s="17" t="s">
        <v>70</v>
      </c>
      <c r="P933" s="14"/>
      <c r="Q933" s="14"/>
      <c r="R933" s="14"/>
      <c r="S933" s="14">
        <v>55.027999999999999</v>
      </c>
      <c r="T933" s="14">
        <v>104.09</v>
      </c>
      <c r="U933" s="19">
        <f t="shared" si="62"/>
        <v>1.8915824671076544</v>
      </c>
      <c r="V933" s="41">
        <f t="shared" si="65"/>
        <v>89.15824671076544</v>
      </c>
      <c r="W933" s="14"/>
      <c r="X933" s="14" t="s">
        <v>56</v>
      </c>
      <c r="Z933" s="14" t="s">
        <v>56</v>
      </c>
      <c r="AA933" s="14"/>
      <c r="AB933" s="14" t="s">
        <v>57</v>
      </c>
      <c r="AC933" s="14">
        <v>2009</v>
      </c>
      <c r="AD933" s="14"/>
      <c r="AE933" s="14">
        <v>10</v>
      </c>
      <c r="AF933" s="14"/>
      <c r="AG933" s="14">
        <v>2005</v>
      </c>
      <c r="AH933" s="14">
        <f t="shared" si="63"/>
        <v>4</v>
      </c>
      <c r="AI933" s="17">
        <f t="shared" si="64"/>
        <v>4.833333333333333</v>
      </c>
      <c r="AJ933" s="14"/>
      <c r="AK933" s="14" t="s">
        <v>56</v>
      </c>
      <c r="AL933" s="13" t="s">
        <v>1467</v>
      </c>
      <c r="AM933" s="12">
        <v>2012</v>
      </c>
      <c r="AN933" s="12" t="s">
        <v>183</v>
      </c>
      <c r="AO933" s="12" t="s">
        <v>56</v>
      </c>
      <c r="AP933" s="12"/>
      <c r="AQ933" s="12" t="s">
        <v>56</v>
      </c>
      <c r="AR933" s="12" t="s">
        <v>58</v>
      </c>
      <c r="AS933" s="12" t="s">
        <v>94</v>
      </c>
      <c r="AT933" s="12"/>
      <c r="AU933" s="45" t="s">
        <v>2862</v>
      </c>
      <c r="AV933" s="15"/>
      <c r="AW933" s="12" t="str">
        <f>B933&amp;C933&amp;L933&amp;M933&amp;O933&amp;U933&amp;AL933&amp;AM933</f>
        <v>FijiNamatakulaEpinephelidaegroupersbiomassden1.89158246710765Clements2012</v>
      </c>
    </row>
    <row r="934" spans="1:49" ht="14.25" customHeight="1" x14ac:dyDescent="0.35">
      <c r="A934" s="12">
        <v>933</v>
      </c>
      <c r="B934" s="15" t="s">
        <v>551</v>
      </c>
      <c r="C934" s="15" t="s">
        <v>2560</v>
      </c>
      <c r="D934" s="12" t="s">
        <v>2559</v>
      </c>
      <c r="E934" s="15" t="s">
        <v>768</v>
      </c>
      <c r="F934" s="16" t="s">
        <v>50</v>
      </c>
      <c r="G934" s="16" t="s">
        <v>51</v>
      </c>
      <c r="H934" s="16" t="s">
        <v>329</v>
      </c>
      <c r="I934" s="16" t="s">
        <v>53</v>
      </c>
      <c r="J934" s="14">
        <v>420</v>
      </c>
      <c r="K934" s="17"/>
      <c r="L934" s="17"/>
      <c r="M934" s="17" t="s">
        <v>769</v>
      </c>
      <c r="N934" s="17" t="s">
        <v>1070</v>
      </c>
      <c r="O934" s="17" t="s">
        <v>55</v>
      </c>
      <c r="P934" s="17"/>
      <c r="Q934" s="17"/>
      <c r="R934" s="17"/>
      <c r="S934" s="17">
        <v>1.01</v>
      </c>
      <c r="T934" s="17">
        <v>2.4</v>
      </c>
      <c r="U934" s="20">
        <f t="shared" si="62"/>
        <v>2.3762376237623761</v>
      </c>
      <c r="V934" s="41">
        <f t="shared" si="65"/>
        <v>137.62376237623761</v>
      </c>
      <c r="W934" s="17"/>
      <c r="X934" s="17" t="s">
        <v>58</v>
      </c>
      <c r="Z934" s="17" t="s">
        <v>56</v>
      </c>
      <c r="AA934" s="17"/>
      <c r="AB934" s="17" t="s">
        <v>57</v>
      </c>
      <c r="AC934" s="17">
        <v>2002</v>
      </c>
      <c r="AD934" s="17">
        <v>3</v>
      </c>
      <c r="AE934" s="17"/>
      <c r="AF934" s="17"/>
      <c r="AG934" s="17">
        <v>2005</v>
      </c>
      <c r="AH934" s="14">
        <f t="shared" si="63"/>
        <v>-3</v>
      </c>
      <c r="AI934" s="17">
        <f t="shared" si="64"/>
        <v>0</v>
      </c>
      <c r="AJ934" s="17"/>
      <c r="AK934" s="17" t="s">
        <v>58</v>
      </c>
      <c r="AL934" s="16" t="s">
        <v>770</v>
      </c>
      <c r="AM934" s="15">
        <v>2013</v>
      </c>
      <c r="AN934" s="15" t="s">
        <v>771</v>
      </c>
      <c r="AO934" s="15" t="s">
        <v>56</v>
      </c>
      <c r="AP934" s="15"/>
      <c r="AQ934" s="15" t="s">
        <v>56</v>
      </c>
      <c r="AR934" s="15" t="s">
        <v>58</v>
      </c>
      <c r="AS934" s="15" t="s">
        <v>258</v>
      </c>
      <c r="AT934" s="15"/>
      <c r="AU934" s="45" t="s">
        <v>772</v>
      </c>
      <c r="AV934" s="15"/>
      <c r="AW934" s="12" t="str">
        <f>B934&amp;C934&amp;L934&amp;M934&amp;O934&amp;U934&amp;AL934&amp;AM934</f>
        <v>New ZealandFiordland Marine Area (Te Moana o Atawhenua) NetworkTargeted fishrichness2.37623762376238Wing2013</v>
      </c>
    </row>
    <row r="935" spans="1:49" ht="14.25" customHeight="1" x14ac:dyDescent="0.35">
      <c r="A935" s="12">
        <v>934</v>
      </c>
      <c r="B935" s="12" t="s">
        <v>551</v>
      </c>
      <c r="C935" s="12" t="s">
        <v>2560</v>
      </c>
      <c r="D935" s="12" t="s">
        <v>2559</v>
      </c>
      <c r="E935" s="12" t="s">
        <v>768</v>
      </c>
      <c r="F935" s="13" t="s">
        <v>50</v>
      </c>
      <c r="G935" s="13" t="s">
        <v>51</v>
      </c>
      <c r="H935" s="13" t="s">
        <v>329</v>
      </c>
      <c r="I935" s="13" t="s">
        <v>53</v>
      </c>
      <c r="J935" s="14">
        <v>420</v>
      </c>
      <c r="K935" s="17"/>
      <c r="L935" s="14"/>
      <c r="M935" s="14" t="s">
        <v>773</v>
      </c>
      <c r="N935" s="14" t="s">
        <v>1070</v>
      </c>
      <c r="O935" s="17" t="s">
        <v>55</v>
      </c>
      <c r="P935" s="14"/>
      <c r="Q935" s="14"/>
      <c r="R935" s="14"/>
      <c r="S935" s="14">
        <v>6</v>
      </c>
      <c r="T935" s="14">
        <v>4.7</v>
      </c>
      <c r="U935" s="19">
        <f t="shared" si="62"/>
        <v>0.78333333333333333</v>
      </c>
      <c r="V935" s="41">
        <f t="shared" si="65"/>
        <v>-21.666666666666668</v>
      </c>
      <c r="W935" s="14"/>
      <c r="X935" s="14" t="s">
        <v>58</v>
      </c>
      <c r="Z935" s="14" t="s">
        <v>56</v>
      </c>
      <c r="AA935" s="14"/>
      <c r="AB935" s="14" t="s">
        <v>57</v>
      </c>
      <c r="AC935" s="14">
        <v>2002</v>
      </c>
      <c r="AD935" s="14">
        <v>3</v>
      </c>
      <c r="AE935" s="14"/>
      <c r="AF935" s="14"/>
      <c r="AG935" s="14">
        <v>2005</v>
      </c>
      <c r="AH935" s="14">
        <f t="shared" si="63"/>
        <v>-3</v>
      </c>
      <c r="AI935" s="17">
        <f t="shared" si="64"/>
        <v>0</v>
      </c>
      <c r="AJ935" s="14"/>
      <c r="AK935" s="14" t="s">
        <v>58</v>
      </c>
      <c r="AL935" s="13" t="s">
        <v>770</v>
      </c>
      <c r="AM935" s="12">
        <v>2013</v>
      </c>
      <c r="AN935" s="12" t="s">
        <v>771</v>
      </c>
      <c r="AO935" s="12" t="s">
        <v>56</v>
      </c>
      <c r="AP935" s="12"/>
      <c r="AQ935" s="12" t="s">
        <v>56</v>
      </c>
      <c r="AR935" s="12" t="s">
        <v>58</v>
      </c>
      <c r="AS935" s="12" t="s">
        <v>258</v>
      </c>
      <c r="AT935" s="12"/>
      <c r="AU935" s="45" t="s">
        <v>774</v>
      </c>
      <c r="AV935" s="15"/>
      <c r="AW935" s="12" t="str">
        <f>B935&amp;C935&amp;L935&amp;M935&amp;O935&amp;U935&amp;AL935&amp;AM935</f>
        <v>New ZealandFiordland Marine Area (Te Moana o Atawhenua) NetworkNon-targeted fishrichness0.783333333333333Wing2013</v>
      </c>
    </row>
    <row r="936" spans="1:49" ht="14.25" customHeight="1" x14ac:dyDescent="0.35">
      <c r="A936" s="12">
        <v>935</v>
      </c>
      <c r="B936" s="12" t="s">
        <v>326</v>
      </c>
      <c r="C936" s="12" t="s">
        <v>658</v>
      </c>
      <c r="D936" s="12" t="s">
        <v>658</v>
      </c>
      <c r="E936" s="12" t="s">
        <v>171</v>
      </c>
      <c r="F936" s="13" t="s">
        <v>50</v>
      </c>
      <c r="G936" s="13" t="s">
        <v>51</v>
      </c>
      <c r="H936" s="13" t="s">
        <v>329</v>
      </c>
      <c r="I936" s="13" t="s">
        <v>156</v>
      </c>
      <c r="J936" s="14">
        <v>1.2</v>
      </c>
      <c r="K936" s="17"/>
      <c r="L936" s="14"/>
      <c r="M936" s="14" t="s">
        <v>330</v>
      </c>
      <c r="N936" s="14" t="s">
        <v>1867</v>
      </c>
      <c r="O936" s="17" t="s">
        <v>101</v>
      </c>
      <c r="P936" s="14"/>
      <c r="Q936" s="14"/>
      <c r="R936" s="14"/>
      <c r="S936" s="14">
        <f>SUM(0,17.6,3.4)/3</f>
        <v>7</v>
      </c>
      <c r="T936" s="14">
        <f>SUM(0,3.4,1.8)/3</f>
        <v>1.7333333333333334</v>
      </c>
      <c r="U936" s="19">
        <f t="shared" si="62"/>
        <v>0.24761904761904763</v>
      </c>
      <c r="V936" s="41">
        <f t="shared" si="65"/>
        <v>-75.238095238095241</v>
      </c>
      <c r="W936" s="14"/>
      <c r="X936" s="14" t="s">
        <v>56</v>
      </c>
      <c r="Z936" s="14" t="s">
        <v>56</v>
      </c>
      <c r="AA936" s="14"/>
      <c r="AB936" s="14" t="s">
        <v>57</v>
      </c>
      <c r="AC936" s="14">
        <v>1994</v>
      </c>
      <c r="AD936" s="14">
        <f t="shared" ref="AD936:AD944" si="66">2011-1994</f>
        <v>17</v>
      </c>
      <c r="AE936" s="14"/>
      <c r="AF936" s="14"/>
      <c r="AG936" s="14">
        <v>1975</v>
      </c>
      <c r="AH936" s="14">
        <f t="shared" si="63"/>
        <v>19</v>
      </c>
      <c r="AI936" s="17">
        <f t="shared" si="64"/>
        <v>36</v>
      </c>
      <c r="AJ936" s="14"/>
      <c r="AK936" s="14" t="s">
        <v>58</v>
      </c>
      <c r="AL936" s="13" t="s">
        <v>331</v>
      </c>
      <c r="AM936" s="12">
        <v>2012</v>
      </c>
      <c r="AN936" s="12" t="s">
        <v>332</v>
      </c>
      <c r="AO936" s="12" t="s">
        <v>56</v>
      </c>
      <c r="AP936" s="12"/>
      <c r="AQ936" s="12" t="s">
        <v>56</v>
      </c>
      <c r="AR936" s="12" t="s">
        <v>58</v>
      </c>
      <c r="AS936" s="12" t="s">
        <v>258</v>
      </c>
      <c r="AT936" s="12"/>
      <c r="AU936" s="45" t="s">
        <v>333</v>
      </c>
      <c r="AV936" s="15"/>
      <c r="AW936" s="12" t="str">
        <f>B936&amp;C936&amp;L936&amp;M936&amp;O936&amp;U936&amp;AL936&amp;AM936</f>
        <v>SeychellesCousin Island ReserveEncrusting coralcover0.247619047619048Wilson2012</v>
      </c>
    </row>
    <row r="937" spans="1:49" ht="14.25" customHeight="1" x14ac:dyDescent="0.35">
      <c r="A937" s="12">
        <v>936</v>
      </c>
      <c r="B937" s="15" t="s">
        <v>326</v>
      </c>
      <c r="C937" s="15" t="s">
        <v>658</v>
      </c>
      <c r="D937" s="12" t="s">
        <v>658</v>
      </c>
      <c r="E937" s="15" t="s">
        <v>171</v>
      </c>
      <c r="F937" s="16" t="s">
        <v>50</v>
      </c>
      <c r="G937" s="16" t="s">
        <v>51</v>
      </c>
      <c r="H937" s="16" t="s">
        <v>329</v>
      </c>
      <c r="I937" s="16" t="s">
        <v>156</v>
      </c>
      <c r="J937" s="14">
        <v>1.2</v>
      </c>
      <c r="K937" s="17"/>
      <c r="L937" s="17"/>
      <c r="M937" s="17" t="s">
        <v>334</v>
      </c>
      <c r="N937" s="14" t="s">
        <v>1867</v>
      </c>
      <c r="O937" s="17" t="s">
        <v>101</v>
      </c>
      <c r="P937" s="17"/>
      <c r="Q937" s="17"/>
      <c r="R937" s="17"/>
      <c r="S937" s="17">
        <f>SUM(0,13.5,1.9)/3</f>
        <v>5.1333333333333337</v>
      </c>
      <c r="T937" s="17">
        <f>SUM(0,2.3,3)/3</f>
        <v>1.7666666666666666</v>
      </c>
      <c r="U937" s="20">
        <f t="shared" si="62"/>
        <v>0.3441558441558441</v>
      </c>
      <c r="V937" s="41">
        <f t="shared" si="65"/>
        <v>-65.584415584415595</v>
      </c>
      <c r="W937" s="17"/>
      <c r="X937" s="17" t="s">
        <v>56</v>
      </c>
      <c r="Z937" s="17" t="s">
        <v>56</v>
      </c>
      <c r="AA937" s="17"/>
      <c r="AB937" s="17" t="s">
        <v>57</v>
      </c>
      <c r="AC937" s="17">
        <v>1994</v>
      </c>
      <c r="AD937" s="17">
        <f t="shared" si="66"/>
        <v>17</v>
      </c>
      <c r="AE937" s="17"/>
      <c r="AF937" s="17"/>
      <c r="AG937" s="17">
        <v>1975</v>
      </c>
      <c r="AH937" s="14">
        <f t="shared" si="63"/>
        <v>19</v>
      </c>
      <c r="AI937" s="17">
        <f t="shared" si="64"/>
        <v>36</v>
      </c>
      <c r="AJ937" s="17"/>
      <c r="AK937" s="17" t="s">
        <v>58</v>
      </c>
      <c r="AL937" s="16" t="s">
        <v>331</v>
      </c>
      <c r="AM937" s="15">
        <v>2012</v>
      </c>
      <c r="AN937" s="15" t="s">
        <v>332</v>
      </c>
      <c r="AO937" s="15" t="s">
        <v>56</v>
      </c>
      <c r="AP937" s="15"/>
      <c r="AQ937" s="15" t="s">
        <v>56</v>
      </c>
      <c r="AR937" s="15" t="s">
        <v>58</v>
      </c>
      <c r="AS937" s="15" t="s">
        <v>258</v>
      </c>
      <c r="AT937" s="15"/>
      <c r="AU937" s="45" t="s">
        <v>333</v>
      </c>
      <c r="AV937" s="15"/>
      <c r="AW937" s="12" t="str">
        <f>B937&amp;C937&amp;L937&amp;M937&amp;O937&amp;U937&amp;AL937&amp;AM937</f>
        <v>SeychellesCousin Island ReserveBranching coralcover0.344155844155844Wilson2012</v>
      </c>
    </row>
    <row r="938" spans="1:49" ht="14.25" customHeight="1" x14ac:dyDescent="0.35">
      <c r="A938" s="12">
        <v>937</v>
      </c>
      <c r="B938" s="12" t="s">
        <v>326</v>
      </c>
      <c r="C938" s="12" t="s">
        <v>658</v>
      </c>
      <c r="D938" s="12" t="s">
        <v>658</v>
      </c>
      <c r="E938" s="12" t="s">
        <v>171</v>
      </c>
      <c r="F938" s="13" t="s">
        <v>50</v>
      </c>
      <c r="G938" s="13" t="s">
        <v>51</v>
      </c>
      <c r="H938" s="13" t="s">
        <v>329</v>
      </c>
      <c r="I938" s="13" t="s">
        <v>156</v>
      </c>
      <c r="J938" s="14">
        <v>1.2</v>
      </c>
      <c r="K938" s="17"/>
      <c r="L938" s="14"/>
      <c r="M938" s="14" t="s">
        <v>335</v>
      </c>
      <c r="N938" s="14" t="s">
        <v>1867</v>
      </c>
      <c r="O938" s="17" t="s">
        <v>101</v>
      </c>
      <c r="P938" s="14"/>
      <c r="Q938" s="14"/>
      <c r="R938" s="14"/>
      <c r="S938" s="14">
        <f>SUM(0,2.7,0.4)/3</f>
        <v>1.0333333333333334</v>
      </c>
      <c r="T938" s="14">
        <f>SUM(0,1.5,0)/3</f>
        <v>0.5</v>
      </c>
      <c r="U938" s="19">
        <f t="shared" si="62"/>
        <v>0.48387096774193544</v>
      </c>
      <c r="V938" s="41">
        <f t="shared" si="65"/>
        <v>-51.612903225806448</v>
      </c>
      <c r="W938" s="14"/>
      <c r="X938" s="14" t="s">
        <v>56</v>
      </c>
      <c r="Z938" s="14" t="s">
        <v>56</v>
      </c>
      <c r="AA938" s="14"/>
      <c r="AB938" s="14" t="s">
        <v>57</v>
      </c>
      <c r="AC938" s="14">
        <v>1994</v>
      </c>
      <c r="AD938" s="14">
        <f t="shared" si="66"/>
        <v>17</v>
      </c>
      <c r="AE938" s="14"/>
      <c r="AF938" s="14"/>
      <c r="AG938" s="14">
        <v>1975</v>
      </c>
      <c r="AH938" s="14">
        <f t="shared" si="63"/>
        <v>19</v>
      </c>
      <c r="AI938" s="17">
        <f t="shared" si="64"/>
        <v>36</v>
      </c>
      <c r="AJ938" s="14"/>
      <c r="AK938" s="14" t="s">
        <v>58</v>
      </c>
      <c r="AL938" s="13" t="s">
        <v>331</v>
      </c>
      <c r="AM938" s="12">
        <v>2012</v>
      </c>
      <c r="AN938" s="12" t="s">
        <v>332</v>
      </c>
      <c r="AO938" s="12" t="s">
        <v>56</v>
      </c>
      <c r="AP938" s="12"/>
      <c r="AQ938" s="12" t="s">
        <v>56</v>
      </c>
      <c r="AR938" s="12" t="s">
        <v>58</v>
      </c>
      <c r="AS938" s="12" t="s">
        <v>258</v>
      </c>
      <c r="AT938" s="12"/>
      <c r="AU938" s="45" t="s">
        <v>333</v>
      </c>
      <c r="AV938" s="15"/>
      <c r="AW938" s="12" t="str">
        <f>B938&amp;C938&amp;L938&amp;M938&amp;O938&amp;U938&amp;AL938&amp;AM938</f>
        <v>SeychellesCousin Island ReserveMassive coralcover0.483870967741935Wilson2012</v>
      </c>
    </row>
    <row r="939" spans="1:49" ht="14.25" customHeight="1" x14ac:dyDescent="0.35">
      <c r="A939" s="12">
        <v>938</v>
      </c>
      <c r="B939" s="15" t="s">
        <v>326</v>
      </c>
      <c r="C939" s="15" t="s">
        <v>327</v>
      </c>
      <c r="D939" s="12" t="s">
        <v>328</v>
      </c>
      <c r="E939" s="15" t="s">
        <v>171</v>
      </c>
      <c r="F939" s="16" t="s">
        <v>50</v>
      </c>
      <c r="G939" s="16" t="s">
        <v>51</v>
      </c>
      <c r="H939" s="16" t="s">
        <v>329</v>
      </c>
      <c r="I939" s="16" t="s">
        <v>156</v>
      </c>
      <c r="J939" s="14">
        <v>0.8</v>
      </c>
      <c r="K939" s="17"/>
      <c r="L939" s="17"/>
      <c r="M939" s="17" t="s">
        <v>330</v>
      </c>
      <c r="N939" s="14" t="s">
        <v>1867</v>
      </c>
      <c r="O939" s="17" t="s">
        <v>101</v>
      </c>
      <c r="P939" s="17"/>
      <c r="Q939" s="17"/>
      <c r="R939" s="17"/>
      <c r="S939" s="17">
        <f>SUM(23.9,33,47.1)/3</f>
        <v>34.666666666666664</v>
      </c>
      <c r="T939" s="17">
        <f>SUM(26.9,19.1,21.1)/3</f>
        <v>22.366666666666664</v>
      </c>
      <c r="U939" s="20">
        <f t="shared" si="62"/>
        <v>0.64519230769230762</v>
      </c>
      <c r="V939" s="41">
        <f t="shared" si="65"/>
        <v>-35.480769230769241</v>
      </c>
      <c r="W939" s="17"/>
      <c r="X939" s="17" t="s">
        <v>56</v>
      </c>
      <c r="Z939" s="17" t="s">
        <v>56</v>
      </c>
      <c r="AA939" s="17"/>
      <c r="AB939" s="17" t="s">
        <v>57</v>
      </c>
      <c r="AC939" s="17">
        <v>1994</v>
      </c>
      <c r="AD939" s="17">
        <f t="shared" si="66"/>
        <v>17</v>
      </c>
      <c r="AE939" s="17"/>
      <c r="AF939" s="17"/>
      <c r="AG939" s="17">
        <v>1979</v>
      </c>
      <c r="AH939" s="14">
        <f t="shared" si="63"/>
        <v>15</v>
      </c>
      <c r="AI939" s="17">
        <f t="shared" si="64"/>
        <v>32</v>
      </c>
      <c r="AJ939" s="17"/>
      <c r="AK939" s="17" t="s">
        <v>58</v>
      </c>
      <c r="AL939" s="16" t="s">
        <v>331</v>
      </c>
      <c r="AM939" s="15">
        <v>2012</v>
      </c>
      <c r="AN939" s="15" t="s">
        <v>332</v>
      </c>
      <c r="AO939" s="15" t="s">
        <v>56</v>
      </c>
      <c r="AP939" s="15"/>
      <c r="AQ939" s="15" t="s">
        <v>56</v>
      </c>
      <c r="AR939" s="15" t="s">
        <v>58</v>
      </c>
      <c r="AS939" s="15" t="s">
        <v>258</v>
      </c>
      <c r="AT939" s="15"/>
      <c r="AU939" s="45" t="s">
        <v>333</v>
      </c>
      <c r="AV939" s="15"/>
      <c r="AW939" s="12" t="str">
        <f>B939&amp;C939&amp;L939&amp;M939&amp;O939&amp;U939&amp;AL939&amp;AM939</f>
        <v>SeychellesBaie Ternary Marine National ParkEncrusting coralcover0.645192307692308Wilson2012</v>
      </c>
    </row>
    <row r="940" spans="1:49" ht="14.25" customHeight="1" x14ac:dyDescent="0.35">
      <c r="A940" s="12">
        <v>939</v>
      </c>
      <c r="B940" s="12" t="s">
        <v>326</v>
      </c>
      <c r="C940" s="12" t="s">
        <v>327</v>
      </c>
      <c r="D940" s="12" t="s">
        <v>328</v>
      </c>
      <c r="E940" s="12" t="s">
        <v>171</v>
      </c>
      <c r="F940" s="13" t="s">
        <v>50</v>
      </c>
      <c r="G940" s="13" t="s">
        <v>51</v>
      </c>
      <c r="H940" s="13" t="s">
        <v>329</v>
      </c>
      <c r="I940" s="13" t="s">
        <v>156</v>
      </c>
      <c r="J940" s="14">
        <v>0.8</v>
      </c>
      <c r="K940" s="17"/>
      <c r="L940" s="14"/>
      <c r="M940" s="14" t="s">
        <v>334</v>
      </c>
      <c r="N940" s="14" t="s">
        <v>1867</v>
      </c>
      <c r="O940" s="14" t="s">
        <v>101</v>
      </c>
      <c r="P940" s="14"/>
      <c r="Q940" s="14"/>
      <c r="R940" s="14"/>
      <c r="S940" s="14">
        <f>SUM(22.9,12.4,47.2)/3</f>
        <v>27.5</v>
      </c>
      <c r="T940" s="14">
        <f>SUM(26.1,4.9,19.6)/3</f>
        <v>16.866666666666667</v>
      </c>
      <c r="U940" s="19">
        <f t="shared" si="62"/>
        <v>0.6133333333333334</v>
      </c>
      <c r="V940" s="41">
        <f t="shared" si="65"/>
        <v>-38.666666666666657</v>
      </c>
      <c r="W940" s="14"/>
      <c r="X940" s="14" t="s">
        <v>56</v>
      </c>
      <c r="Z940" s="14" t="s">
        <v>56</v>
      </c>
      <c r="AA940" s="14"/>
      <c r="AB940" s="14" t="s">
        <v>57</v>
      </c>
      <c r="AC940" s="14">
        <v>1994</v>
      </c>
      <c r="AD940" s="14">
        <f t="shared" si="66"/>
        <v>17</v>
      </c>
      <c r="AE940" s="14"/>
      <c r="AF940" s="14"/>
      <c r="AG940" s="14">
        <v>1979</v>
      </c>
      <c r="AH940" s="14">
        <f t="shared" si="63"/>
        <v>15</v>
      </c>
      <c r="AI940" s="17">
        <f t="shared" si="64"/>
        <v>32</v>
      </c>
      <c r="AJ940" s="14"/>
      <c r="AK940" s="14" t="s">
        <v>58</v>
      </c>
      <c r="AL940" s="13" t="s">
        <v>331</v>
      </c>
      <c r="AM940" s="12">
        <v>2012</v>
      </c>
      <c r="AN940" s="12" t="s">
        <v>332</v>
      </c>
      <c r="AO940" s="12" t="s">
        <v>56</v>
      </c>
      <c r="AP940" s="12"/>
      <c r="AQ940" s="12" t="s">
        <v>56</v>
      </c>
      <c r="AR940" s="12" t="s">
        <v>58</v>
      </c>
      <c r="AS940" s="12" t="s">
        <v>258</v>
      </c>
      <c r="AT940" s="12"/>
      <c r="AU940" s="45" t="s">
        <v>333</v>
      </c>
      <c r="AV940" s="15"/>
      <c r="AW940" s="12" t="str">
        <f>B940&amp;C940&amp;L940&amp;M940&amp;O940&amp;U940&amp;AL940&amp;AM940</f>
        <v>SeychellesBaie Ternary Marine National ParkBranching coralcover0.613333333333333Wilson2012</v>
      </c>
    </row>
    <row r="941" spans="1:49" ht="14.25" customHeight="1" x14ac:dyDescent="0.35">
      <c r="A941" s="12">
        <v>940</v>
      </c>
      <c r="B941" s="15" t="s">
        <v>326</v>
      </c>
      <c r="C941" s="15" t="s">
        <v>327</v>
      </c>
      <c r="D941" s="12" t="s">
        <v>328</v>
      </c>
      <c r="E941" s="15" t="s">
        <v>171</v>
      </c>
      <c r="F941" s="16" t="s">
        <v>50</v>
      </c>
      <c r="G941" s="16" t="s">
        <v>51</v>
      </c>
      <c r="H941" s="16" t="s">
        <v>329</v>
      </c>
      <c r="I941" s="16" t="s">
        <v>156</v>
      </c>
      <c r="J941" s="14">
        <v>0.8</v>
      </c>
      <c r="K941" s="17"/>
      <c r="L941" s="17"/>
      <c r="M941" s="17" t="s">
        <v>335</v>
      </c>
      <c r="N941" s="14" t="s">
        <v>1867</v>
      </c>
      <c r="O941" s="17" t="s">
        <v>101</v>
      </c>
      <c r="P941" s="17"/>
      <c r="Q941" s="17"/>
      <c r="R941" s="17"/>
      <c r="S941" s="17">
        <f>SUM(16.4,3,16.6)/3</f>
        <v>12</v>
      </c>
      <c r="T941" s="17">
        <f>SUM(9.3,1.9,10.2)/3</f>
        <v>7.1333333333333329</v>
      </c>
      <c r="U941" s="20">
        <f t="shared" si="62"/>
        <v>0.59444444444444444</v>
      </c>
      <c r="V941" s="41">
        <f t="shared" si="65"/>
        <v>-40.555555555555557</v>
      </c>
      <c r="W941" s="17"/>
      <c r="X941" s="17" t="s">
        <v>56</v>
      </c>
      <c r="Z941" s="17" t="s">
        <v>56</v>
      </c>
      <c r="AA941" s="17"/>
      <c r="AB941" s="17" t="s">
        <v>57</v>
      </c>
      <c r="AC941" s="17">
        <v>1994</v>
      </c>
      <c r="AD941" s="17">
        <f t="shared" si="66"/>
        <v>17</v>
      </c>
      <c r="AE941" s="17"/>
      <c r="AF941" s="17"/>
      <c r="AG941" s="17">
        <v>1979</v>
      </c>
      <c r="AH941" s="14">
        <f t="shared" si="63"/>
        <v>15</v>
      </c>
      <c r="AI941" s="17">
        <f t="shared" si="64"/>
        <v>32</v>
      </c>
      <c r="AJ941" s="17"/>
      <c r="AK941" s="17" t="s">
        <v>58</v>
      </c>
      <c r="AL941" s="16" t="s">
        <v>331</v>
      </c>
      <c r="AM941" s="15">
        <v>2012</v>
      </c>
      <c r="AN941" s="12" t="s">
        <v>332</v>
      </c>
      <c r="AO941" s="15" t="s">
        <v>56</v>
      </c>
      <c r="AP941" s="15"/>
      <c r="AQ941" s="15" t="s">
        <v>56</v>
      </c>
      <c r="AR941" s="15" t="s">
        <v>58</v>
      </c>
      <c r="AS941" s="15" t="s">
        <v>258</v>
      </c>
      <c r="AT941" s="15"/>
      <c r="AU941" s="45" t="s">
        <v>333</v>
      </c>
      <c r="AV941" s="15"/>
      <c r="AW941" s="12" t="str">
        <f>B941&amp;C941&amp;L941&amp;M941&amp;O941&amp;U941&amp;AL941&amp;AM941</f>
        <v>SeychellesBaie Ternary Marine National ParkMassive coralcover0.594444444444444Wilson2012</v>
      </c>
    </row>
    <row r="942" spans="1:49" ht="14.25" customHeight="1" x14ac:dyDescent="0.35">
      <c r="A942" s="12">
        <v>941</v>
      </c>
      <c r="B942" s="12" t="s">
        <v>326</v>
      </c>
      <c r="C942" s="12" t="s">
        <v>2726</v>
      </c>
      <c r="D942" s="12" t="s">
        <v>2726</v>
      </c>
      <c r="E942" s="12" t="s">
        <v>171</v>
      </c>
      <c r="F942" s="13" t="s">
        <v>50</v>
      </c>
      <c r="G942" s="13" t="s">
        <v>51</v>
      </c>
      <c r="H942" s="13" t="s">
        <v>329</v>
      </c>
      <c r="I942" s="13" t="s">
        <v>156</v>
      </c>
      <c r="J942" s="14">
        <v>10</v>
      </c>
      <c r="K942" s="17"/>
      <c r="L942" s="14"/>
      <c r="M942" s="14" t="s">
        <v>330</v>
      </c>
      <c r="N942" s="14" t="s">
        <v>1867</v>
      </c>
      <c r="O942" s="17" t="s">
        <v>101</v>
      </c>
      <c r="P942" s="14"/>
      <c r="Q942" s="14"/>
      <c r="R942" s="14"/>
      <c r="S942" s="14">
        <f>SUM(0,0,12.4)/3</f>
        <v>4.1333333333333337</v>
      </c>
      <c r="T942" s="14">
        <f>SUM(0,20.6,19.2)/3</f>
        <v>13.266666666666666</v>
      </c>
      <c r="U942" s="19">
        <f t="shared" si="62"/>
        <v>3.2096774193548381</v>
      </c>
      <c r="V942" s="41">
        <f t="shared" si="65"/>
        <v>220.96774193548382</v>
      </c>
      <c r="W942" s="14"/>
      <c r="X942" s="14" t="s">
        <v>56</v>
      </c>
      <c r="Z942" s="14" t="s">
        <v>56</v>
      </c>
      <c r="AA942" s="14"/>
      <c r="AB942" s="14" t="s">
        <v>57</v>
      </c>
      <c r="AC942" s="14">
        <v>1994</v>
      </c>
      <c r="AD942" s="14">
        <f t="shared" si="66"/>
        <v>17</v>
      </c>
      <c r="AE942" s="14"/>
      <c r="AF942" s="14"/>
      <c r="AG942" s="14">
        <v>1975</v>
      </c>
      <c r="AH942" s="14">
        <f t="shared" si="63"/>
        <v>19</v>
      </c>
      <c r="AI942" s="17">
        <f t="shared" si="64"/>
        <v>36</v>
      </c>
      <c r="AJ942" s="14"/>
      <c r="AK942" s="14" t="s">
        <v>58</v>
      </c>
      <c r="AL942" s="13" t="s">
        <v>331</v>
      </c>
      <c r="AM942" s="12">
        <v>2012</v>
      </c>
      <c r="AN942" s="12" t="s">
        <v>332</v>
      </c>
      <c r="AO942" s="12" t="s">
        <v>56</v>
      </c>
      <c r="AP942" s="12"/>
      <c r="AQ942" s="12" t="s">
        <v>56</v>
      </c>
      <c r="AR942" s="12" t="s">
        <v>58</v>
      </c>
      <c r="AS942" s="12" t="s">
        <v>258</v>
      </c>
      <c r="AT942" s="12"/>
      <c r="AU942" s="45" t="s">
        <v>333</v>
      </c>
      <c r="AV942" s="15"/>
      <c r="AW942" s="12" t="str">
        <f>B942&amp;C942&amp;L942&amp;M942&amp;O942&amp;U942&amp;AL942&amp;AM942</f>
        <v>SeychellesSte Anne Marine National ParkEncrusting coralcover3.20967741935484Wilson2012</v>
      </c>
    </row>
    <row r="943" spans="1:49" ht="14.25" customHeight="1" x14ac:dyDescent="0.35">
      <c r="A943" s="12">
        <v>942</v>
      </c>
      <c r="B943" s="15" t="s">
        <v>326</v>
      </c>
      <c r="C943" s="15" t="s">
        <v>2726</v>
      </c>
      <c r="D943" s="12" t="s">
        <v>2726</v>
      </c>
      <c r="E943" s="15" t="s">
        <v>171</v>
      </c>
      <c r="F943" s="16" t="s">
        <v>50</v>
      </c>
      <c r="G943" s="16" t="s">
        <v>51</v>
      </c>
      <c r="H943" s="16" t="s">
        <v>329</v>
      </c>
      <c r="I943" s="16" t="s">
        <v>156</v>
      </c>
      <c r="J943" s="14">
        <v>10</v>
      </c>
      <c r="K943" s="17"/>
      <c r="L943" s="17"/>
      <c r="M943" s="17" t="s">
        <v>334</v>
      </c>
      <c r="N943" s="14" t="s">
        <v>1867</v>
      </c>
      <c r="O943" s="17" t="s">
        <v>101</v>
      </c>
      <c r="P943" s="17"/>
      <c r="Q943" s="17"/>
      <c r="R943" s="17"/>
      <c r="S943" s="17">
        <f>SUM(2.1,1.1,6.4)/3</f>
        <v>3.2000000000000006</v>
      </c>
      <c r="T943" s="17">
        <f>SUM(14.6,5.25,17.7)/3</f>
        <v>12.516666666666666</v>
      </c>
      <c r="U943" s="20">
        <f t="shared" si="62"/>
        <v>3.9114583333333321</v>
      </c>
      <c r="V943" s="41">
        <f t="shared" si="65"/>
        <v>291.1458333333332</v>
      </c>
      <c r="W943" s="17"/>
      <c r="X943" s="17" t="s">
        <v>56</v>
      </c>
      <c r="Z943" s="17" t="s">
        <v>56</v>
      </c>
      <c r="AA943" s="17"/>
      <c r="AB943" s="17" t="s">
        <v>57</v>
      </c>
      <c r="AC943" s="17">
        <v>1994</v>
      </c>
      <c r="AD943" s="17">
        <f t="shared" si="66"/>
        <v>17</v>
      </c>
      <c r="AE943" s="17"/>
      <c r="AF943" s="17"/>
      <c r="AG943" s="17">
        <v>1975</v>
      </c>
      <c r="AH943" s="14">
        <f t="shared" si="63"/>
        <v>19</v>
      </c>
      <c r="AI943" s="17">
        <f t="shared" si="64"/>
        <v>36</v>
      </c>
      <c r="AJ943" s="17"/>
      <c r="AK943" s="17" t="s">
        <v>58</v>
      </c>
      <c r="AL943" s="16" t="s">
        <v>331</v>
      </c>
      <c r="AM943" s="15">
        <v>2012</v>
      </c>
      <c r="AN943" s="15" t="s">
        <v>332</v>
      </c>
      <c r="AO943" s="15" t="s">
        <v>56</v>
      </c>
      <c r="AP943" s="15"/>
      <c r="AQ943" s="15" t="s">
        <v>56</v>
      </c>
      <c r="AR943" s="15" t="s">
        <v>58</v>
      </c>
      <c r="AS943" s="15" t="s">
        <v>258</v>
      </c>
      <c r="AT943" s="15"/>
      <c r="AU943" s="45" t="s">
        <v>333</v>
      </c>
      <c r="AV943" s="15"/>
      <c r="AW943" s="12" t="str">
        <f>B943&amp;C943&amp;L943&amp;M943&amp;O943&amp;U943&amp;AL943&amp;AM943</f>
        <v>SeychellesSte Anne Marine National ParkBranching coralcover3.91145833333333Wilson2012</v>
      </c>
    </row>
    <row r="944" spans="1:49" ht="14.25" customHeight="1" x14ac:dyDescent="0.35">
      <c r="A944" s="12">
        <v>943</v>
      </c>
      <c r="B944" s="15" t="s">
        <v>326</v>
      </c>
      <c r="C944" s="15" t="s">
        <v>2726</v>
      </c>
      <c r="D944" s="15" t="s">
        <v>2726</v>
      </c>
      <c r="E944" s="15" t="s">
        <v>171</v>
      </c>
      <c r="F944" s="16" t="s">
        <v>50</v>
      </c>
      <c r="G944" s="16" t="s">
        <v>51</v>
      </c>
      <c r="H944" s="16" t="s">
        <v>329</v>
      </c>
      <c r="I944" s="16" t="s">
        <v>156</v>
      </c>
      <c r="J944" s="14">
        <v>10</v>
      </c>
      <c r="K944" s="17"/>
      <c r="L944" s="17"/>
      <c r="M944" s="17" t="s">
        <v>335</v>
      </c>
      <c r="N944" s="17" t="s">
        <v>1867</v>
      </c>
      <c r="O944" s="17" t="s">
        <v>101</v>
      </c>
      <c r="P944" s="17"/>
      <c r="Q944" s="17"/>
      <c r="R944" s="17"/>
      <c r="S944" s="17">
        <f>SUM(0,0,4.9)/3</f>
        <v>1.6333333333333335</v>
      </c>
      <c r="T944" s="17">
        <f>SUM(8.9,1.5,2.3)/3</f>
        <v>4.2333333333333334</v>
      </c>
      <c r="U944" s="20">
        <f t="shared" si="62"/>
        <v>2.5918367346938771</v>
      </c>
      <c r="V944" s="41">
        <f t="shared" si="65"/>
        <v>159.18367346938771</v>
      </c>
      <c r="W944" s="17"/>
      <c r="X944" s="17" t="s">
        <v>56</v>
      </c>
      <c r="Y944" s="17"/>
      <c r="Z944" s="17" t="s">
        <v>56</v>
      </c>
      <c r="AA944" s="17"/>
      <c r="AB944" s="17" t="s">
        <v>57</v>
      </c>
      <c r="AC944" s="17">
        <v>1994</v>
      </c>
      <c r="AD944" s="17">
        <f t="shared" si="66"/>
        <v>17</v>
      </c>
      <c r="AE944" s="17"/>
      <c r="AF944" s="17"/>
      <c r="AG944" s="17">
        <v>1975</v>
      </c>
      <c r="AH944" s="14">
        <f t="shared" si="63"/>
        <v>19</v>
      </c>
      <c r="AI944" s="17">
        <f t="shared" si="64"/>
        <v>36</v>
      </c>
      <c r="AJ944" s="17"/>
      <c r="AK944" s="17" t="s">
        <v>58</v>
      </c>
      <c r="AL944" s="16" t="s">
        <v>331</v>
      </c>
      <c r="AM944" s="15">
        <v>2012</v>
      </c>
      <c r="AN944" s="15" t="s">
        <v>332</v>
      </c>
      <c r="AO944" s="15" t="s">
        <v>56</v>
      </c>
      <c r="AP944" s="15"/>
      <c r="AQ944" s="15" t="s">
        <v>56</v>
      </c>
      <c r="AR944" s="15" t="s">
        <v>58</v>
      </c>
      <c r="AS944" s="15" t="s">
        <v>258</v>
      </c>
      <c r="AT944" s="15"/>
      <c r="AU944" s="45" t="s">
        <v>333</v>
      </c>
      <c r="AV944" s="15"/>
      <c r="AW944" s="12" t="str">
        <f>B944&amp;C944&amp;L944&amp;M944&amp;O944&amp;U944&amp;AL944&amp;AM944</f>
        <v>SeychellesSte Anne Marine National ParkMassive coralcover2.59183673469388Wilson2012</v>
      </c>
    </row>
    <row r="945" spans="1:49" ht="14.25" customHeight="1" x14ac:dyDescent="0.35">
      <c r="A945" s="12">
        <v>944</v>
      </c>
      <c r="B945" s="15" t="s">
        <v>66</v>
      </c>
      <c r="C945" s="15" t="s">
        <v>1081</v>
      </c>
      <c r="D945" s="12" t="s">
        <v>2826</v>
      </c>
      <c r="E945" s="15" t="s">
        <v>255</v>
      </c>
      <c r="F945" s="13" t="s">
        <v>50</v>
      </c>
      <c r="G945" s="13" t="s">
        <v>51</v>
      </c>
      <c r="H945" s="16" t="s">
        <v>329</v>
      </c>
      <c r="I945" s="16" t="s">
        <v>53</v>
      </c>
      <c r="J945" s="14">
        <v>1.26</v>
      </c>
      <c r="K945" s="17"/>
      <c r="L945" s="17"/>
      <c r="M945" s="17" t="s">
        <v>69</v>
      </c>
      <c r="N945" s="17" t="s">
        <v>1070</v>
      </c>
      <c r="O945" s="17" t="s">
        <v>55</v>
      </c>
      <c r="P945" s="17"/>
      <c r="Q945" s="17"/>
      <c r="R945" s="17"/>
      <c r="S945" s="17">
        <v>5.8</v>
      </c>
      <c r="T945" s="17">
        <v>8.6</v>
      </c>
      <c r="U945" s="20">
        <f t="shared" si="62"/>
        <v>1.4827586206896552</v>
      </c>
      <c r="V945" s="41">
        <f t="shared" si="65"/>
        <v>48.275862068965523</v>
      </c>
      <c r="W945" s="17"/>
      <c r="X945" s="17" t="s">
        <v>56</v>
      </c>
      <c r="Y945" s="17"/>
      <c r="Z945" s="17" t="s">
        <v>56</v>
      </c>
      <c r="AA945" s="17"/>
      <c r="AB945" s="17" t="s">
        <v>57</v>
      </c>
      <c r="AC945" s="17">
        <v>2003</v>
      </c>
      <c r="AD945" s="17">
        <f>2010-2003</f>
        <v>7</v>
      </c>
      <c r="AE945" s="17"/>
      <c r="AF945" s="17"/>
      <c r="AG945" s="17">
        <v>1988</v>
      </c>
      <c r="AH945" s="14">
        <f t="shared" si="63"/>
        <v>15</v>
      </c>
      <c r="AI945" s="17">
        <f t="shared" si="64"/>
        <v>22</v>
      </c>
      <c r="AJ945" s="17"/>
      <c r="AK945" s="17" t="s">
        <v>58</v>
      </c>
      <c r="AL945" s="16" t="s">
        <v>1082</v>
      </c>
      <c r="AM945" s="15">
        <v>2013</v>
      </c>
      <c r="AN945" s="15" t="s">
        <v>1083</v>
      </c>
      <c r="AO945" s="15" t="s">
        <v>56</v>
      </c>
      <c r="AP945" s="15"/>
      <c r="AQ945" s="15" t="s">
        <v>56</v>
      </c>
      <c r="AR945" s="15" t="s">
        <v>58</v>
      </c>
      <c r="AS945" s="15" t="s">
        <v>258</v>
      </c>
      <c r="AT945" s="15"/>
      <c r="AU945" s="45" t="s">
        <v>2632</v>
      </c>
      <c r="AV945" s="15"/>
      <c r="AW945" s="12" t="str">
        <f>B945&amp;C945&amp;L945&amp;M945&amp;O945&amp;U945&amp;AL945&amp;AM945</f>
        <v>AustraliaKingston Reef Marine Sanctuaryfishrichness1.48275862068966Vanderklift2013</v>
      </c>
    </row>
    <row r="946" spans="1:49" ht="14.25" customHeight="1" x14ac:dyDescent="0.35">
      <c r="A946" s="12">
        <v>945</v>
      </c>
      <c r="B946" s="15" t="s">
        <v>66</v>
      </c>
      <c r="C946" s="15" t="s">
        <v>2664</v>
      </c>
      <c r="D946" s="12" t="s">
        <v>1280</v>
      </c>
      <c r="E946" s="15" t="s">
        <v>1281</v>
      </c>
      <c r="F946" s="13" t="s">
        <v>50</v>
      </c>
      <c r="G946" s="13" t="s">
        <v>51</v>
      </c>
      <c r="H946" s="16" t="s">
        <v>329</v>
      </c>
      <c r="I946" s="16" t="s">
        <v>53</v>
      </c>
      <c r="J946" s="14">
        <v>13.49</v>
      </c>
      <c r="K946" s="17"/>
      <c r="L946" s="17"/>
      <c r="M946" s="17" t="s">
        <v>69</v>
      </c>
      <c r="N946" s="14" t="s">
        <v>1070</v>
      </c>
      <c r="O946" s="17" t="s">
        <v>55</v>
      </c>
      <c r="P946" s="17"/>
      <c r="Q946" s="17"/>
      <c r="R946" s="17"/>
      <c r="S946" s="17">
        <v>17</v>
      </c>
      <c r="T946" s="17">
        <v>21.1</v>
      </c>
      <c r="U946" s="20">
        <f t="shared" si="62"/>
        <v>1.2411764705882353</v>
      </c>
      <c r="V946" s="41">
        <f t="shared" si="65"/>
        <v>24.117647058823533</v>
      </c>
      <c r="W946" s="17"/>
      <c r="X946" s="17" t="s">
        <v>56</v>
      </c>
      <c r="Y946" s="17"/>
      <c r="Z946" s="17" t="s">
        <v>56</v>
      </c>
      <c r="AA946" s="17"/>
      <c r="AB946" s="17" t="s">
        <v>57</v>
      </c>
      <c r="AC946" s="17">
        <v>2003</v>
      </c>
      <c r="AD946" s="17">
        <f>2010-2003</f>
        <v>7</v>
      </c>
      <c r="AE946" s="17"/>
      <c r="AF946" s="17"/>
      <c r="AG946" s="17">
        <v>2005</v>
      </c>
      <c r="AH946" s="14">
        <f t="shared" si="63"/>
        <v>-2</v>
      </c>
      <c r="AI946" s="17">
        <f t="shared" si="64"/>
        <v>5</v>
      </c>
      <c r="AJ946" s="17"/>
      <c r="AK946" s="17" t="s">
        <v>58</v>
      </c>
      <c r="AL946" s="16" t="s">
        <v>1082</v>
      </c>
      <c r="AM946" s="15">
        <v>2013</v>
      </c>
      <c r="AN946" s="15" t="s">
        <v>1083</v>
      </c>
      <c r="AO946" s="15" t="s">
        <v>56</v>
      </c>
      <c r="AP946" s="15"/>
      <c r="AQ946" s="15" t="s">
        <v>56</v>
      </c>
      <c r="AR946" s="15" t="s">
        <v>58</v>
      </c>
      <c r="AS946" s="15" t="s">
        <v>258</v>
      </c>
      <c r="AT946" s="15"/>
      <c r="AU946" s="45"/>
      <c r="AV946" s="15"/>
      <c r="AW946" s="12" t="str">
        <f>B946&amp;C946&amp;L946&amp;M946&amp;O946&amp;U946&amp;AL946&amp;AM946</f>
        <v>AustraliaMandu Marine Sanctuaryfishrichness1.24117647058824Vanderklift2013</v>
      </c>
    </row>
    <row r="947" spans="1:49" ht="14.25" customHeight="1" x14ac:dyDescent="0.35">
      <c r="A947" s="12">
        <v>946</v>
      </c>
      <c r="B947" s="15" t="s">
        <v>153</v>
      </c>
      <c r="C947" s="43" t="s">
        <v>1765</v>
      </c>
      <c r="D947" s="44" t="s">
        <v>2715</v>
      </c>
      <c r="E947" s="15" t="s">
        <v>1281</v>
      </c>
      <c r="F947" s="13" t="s">
        <v>50</v>
      </c>
      <c r="G947" s="13" t="s">
        <v>51</v>
      </c>
      <c r="H947" s="16" t="s">
        <v>52</v>
      </c>
      <c r="I947" s="16" t="s">
        <v>156</v>
      </c>
      <c r="J947" s="14">
        <v>1</v>
      </c>
      <c r="K947" s="17"/>
      <c r="L947" s="17"/>
      <c r="M947" s="17" t="s">
        <v>1766</v>
      </c>
      <c r="N947" s="14" t="s">
        <v>1867</v>
      </c>
      <c r="O947" s="17" t="s">
        <v>101</v>
      </c>
      <c r="P947" s="17"/>
      <c r="Q947" s="17"/>
      <c r="R947" s="17"/>
      <c r="S947" s="17">
        <v>52.53</v>
      </c>
      <c r="T947" s="17">
        <v>53.47</v>
      </c>
      <c r="U947" s="20">
        <f t="shared" ref="U947:U1010" si="67">IFERROR(IF(AND(Q947="",R947="",S947="",T947=""),"",IF(AND(Q947&lt;&gt;"",R947&lt;&gt;"",S947&lt;&gt;"",T947&lt;&gt;""),(T947/R947)/(S947/Q947),IF(AND(Q947&lt;&gt;"",R947&lt;&gt;""),R947/Q947,IF(AND(S947&lt;&gt;"",T947&lt;&gt;""),T947/S947,IF(AND(Q947&lt;&gt;"",S947&lt;&gt;""),Q947/S947,IF(AND(R947&lt;&gt;"",T947&lt;&gt;""),T947/R947)))))), "N/A")</f>
        <v>1.0178945364553589</v>
      </c>
      <c r="V947" s="41">
        <f t="shared" si="65"/>
        <v>1.7894536455358878</v>
      </c>
      <c r="W947" s="17"/>
      <c r="X947" s="17" t="s">
        <v>56</v>
      </c>
      <c r="Y947" s="12"/>
      <c r="Z947" s="17" t="s">
        <v>56</v>
      </c>
      <c r="AA947" s="17"/>
      <c r="AB947" s="17" t="s">
        <v>57</v>
      </c>
      <c r="AC947" s="17">
        <v>2009</v>
      </c>
      <c r="AD947" s="17">
        <v>5</v>
      </c>
      <c r="AE947" s="17"/>
      <c r="AF947" s="17"/>
      <c r="AG947" s="17">
        <v>1998</v>
      </c>
      <c r="AH947" s="14">
        <f t="shared" si="63"/>
        <v>11</v>
      </c>
      <c r="AI947" s="17">
        <f t="shared" si="64"/>
        <v>16</v>
      </c>
      <c r="AJ947" s="17"/>
      <c r="AK947" s="17" t="s">
        <v>56</v>
      </c>
      <c r="AL947" s="16" t="s">
        <v>1767</v>
      </c>
      <c r="AM947" s="15">
        <v>2016</v>
      </c>
      <c r="AN947" s="15" t="s">
        <v>304</v>
      </c>
      <c r="AO947" s="15" t="s">
        <v>56</v>
      </c>
      <c r="AP947" s="15"/>
      <c r="AQ947" s="15" t="s">
        <v>56</v>
      </c>
      <c r="AR947" s="15" t="s">
        <v>58</v>
      </c>
      <c r="AS947" s="15" t="s">
        <v>163</v>
      </c>
      <c r="AT947" s="15"/>
      <c r="AU947" s="45"/>
      <c r="AV947" s="15"/>
      <c r="AW947" s="12" t="str">
        <f>B947&amp;C947&amp;L947&amp;M947&amp;O947&amp;U947&amp;AL947&amp;AM947</f>
        <v>PhilippinesSan Miguel Island SanctuaryLive coral cover1.01789453645536Bobiles2016</v>
      </c>
    </row>
    <row r="948" spans="1:49" ht="14.25" customHeight="1" x14ac:dyDescent="0.35">
      <c r="A948" s="12">
        <v>947</v>
      </c>
      <c r="B948" s="15" t="s">
        <v>153</v>
      </c>
      <c r="C948" s="43" t="s">
        <v>1765</v>
      </c>
      <c r="D948" s="44" t="s">
        <v>2715</v>
      </c>
      <c r="E948" s="15" t="s">
        <v>1281</v>
      </c>
      <c r="F948" s="16" t="s">
        <v>50</v>
      </c>
      <c r="G948" s="16" t="s">
        <v>51</v>
      </c>
      <c r="H948" s="16" t="s">
        <v>52</v>
      </c>
      <c r="I948" s="16" t="s">
        <v>156</v>
      </c>
      <c r="J948" s="14">
        <v>1</v>
      </c>
      <c r="K948" s="17"/>
      <c r="L948" s="17"/>
      <c r="M948" s="17" t="s">
        <v>1768</v>
      </c>
      <c r="N948" s="14" t="s">
        <v>1867</v>
      </c>
      <c r="O948" s="17" t="s">
        <v>101</v>
      </c>
      <c r="P948" s="17"/>
      <c r="Q948" s="17"/>
      <c r="R948" s="17"/>
      <c r="S948" s="17">
        <v>27.77</v>
      </c>
      <c r="T948" s="17">
        <v>22.89</v>
      </c>
      <c r="U948" s="20">
        <f t="shared" si="67"/>
        <v>0.82427079582283047</v>
      </c>
      <c r="V948" s="41">
        <f t="shared" si="65"/>
        <v>-17.572920417716954</v>
      </c>
      <c r="W948" s="17"/>
      <c r="X948" s="17" t="s">
        <v>56</v>
      </c>
      <c r="Y948" s="12"/>
      <c r="Z948" s="17" t="s">
        <v>56</v>
      </c>
      <c r="AA948" s="17"/>
      <c r="AB948" s="17" t="s">
        <v>57</v>
      </c>
      <c r="AC948" s="17">
        <v>2009</v>
      </c>
      <c r="AD948" s="17">
        <v>5</v>
      </c>
      <c r="AE948" s="17"/>
      <c r="AF948" s="17"/>
      <c r="AG948" s="17">
        <v>1998</v>
      </c>
      <c r="AH948" s="14">
        <f t="shared" si="63"/>
        <v>11</v>
      </c>
      <c r="AI948" s="17">
        <f t="shared" si="64"/>
        <v>16</v>
      </c>
      <c r="AJ948" s="17"/>
      <c r="AK948" s="17" t="s">
        <v>56</v>
      </c>
      <c r="AL948" s="16" t="s">
        <v>1767</v>
      </c>
      <c r="AM948" s="15">
        <v>2016</v>
      </c>
      <c r="AN948" s="15" t="s">
        <v>304</v>
      </c>
      <c r="AO948" s="15" t="s">
        <v>56</v>
      </c>
      <c r="AP948" s="15"/>
      <c r="AQ948" s="15" t="s">
        <v>56</v>
      </c>
      <c r="AR948" s="15" t="s">
        <v>58</v>
      </c>
      <c r="AS948" s="15" t="s">
        <v>163</v>
      </c>
      <c r="AT948" s="15"/>
      <c r="AU948" s="45"/>
      <c r="AV948" s="15"/>
      <c r="AW948" s="12" t="str">
        <f>B948&amp;C948&amp;L948&amp;M948&amp;O948&amp;U948&amp;AL948&amp;AM948</f>
        <v>PhilippinesSan Miguel Island SanctuaryDead coralcover0.82427079582283Bobiles2016</v>
      </c>
    </row>
    <row r="949" spans="1:49" ht="14.25" customHeight="1" x14ac:dyDescent="0.35">
      <c r="A949" s="12">
        <v>948</v>
      </c>
      <c r="B949" s="12" t="s">
        <v>153</v>
      </c>
      <c r="C949" s="44" t="s">
        <v>1765</v>
      </c>
      <c r="D949" s="44" t="s">
        <v>2715</v>
      </c>
      <c r="E949" s="12" t="s">
        <v>1281</v>
      </c>
      <c r="F949" s="13" t="s">
        <v>50</v>
      </c>
      <c r="G949" s="13" t="s">
        <v>51</v>
      </c>
      <c r="H949" s="13" t="s">
        <v>52</v>
      </c>
      <c r="I949" s="13" t="s">
        <v>156</v>
      </c>
      <c r="J949" s="14">
        <v>1</v>
      </c>
      <c r="K949" s="17"/>
      <c r="L949" s="14"/>
      <c r="M949" s="14" t="s">
        <v>1769</v>
      </c>
      <c r="N949" s="14" t="s">
        <v>1867</v>
      </c>
      <c r="O949" s="17" t="s">
        <v>101</v>
      </c>
      <c r="P949" s="14"/>
      <c r="Q949" s="14"/>
      <c r="R949" s="14"/>
      <c r="S949" s="14">
        <v>13.13</v>
      </c>
      <c r="T949" s="14">
        <v>10.51</v>
      </c>
      <c r="U949" s="19">
        <f t="shared" si="67"/>
        <v>0.80045696877380035</v>
      </c>
      <c r="V949" s="41">
        <f t="shared" si="65"/>
        <v>-19.954303122619965</v>
      </c>
      <c r="W949" s="14"/>
      <c r="X949" s="14" t="s">
        <v>56</v>
      </c>
      <c r="Y949" s="12"/>
      <c r="Z949" s="14" t="s">
        <v>56</v>
      </c>
      <c r="AA949" s="14"/>
      <c r="AB949" s="14" t="s">
        <v>57</v>
      </c>
      <c r="AC949" s="14">
        <v>2009</v>
      </c>
      <c r="AD949" s="14">
        <v>5</v>
      </c>
      <c r="AE949" s="14"/>
      <c r="AF949" s="14"/>
      <c r="AG949" s="14">
        <v>1998</v>
      </c>
      <c r="AH949" s="14">
        <f t="shared" si="63"/>
        <v>11</v>
      </c>
      <c r="AI949" s="17">
        <f t="shared" si="64"/>
        <v>16</v>
      </c>
      <c r="AJ949" s="14"/>
      <c r="AK949" s="14" t="s">
        <v>56</v>
      </c>
      <c r="AL949" s="13" t="s">
        <v>1767</v>
      </c>
      <c r="AM949" s="12">
        <v>2016</v>
      </c>
      <c r="AN949" s="12" t="s">
        <v>304</v>
      </c>
      <c r="AO949" s="12" t="s">
        <v>56</v>
      </c>
      <c r="AP949" s="12"/>
      <c r="AQ949" s="12" t="s">
        <v>56</v>
      </c>
      <c r="AR949" s="12" t="s">
        <v>58</v>
      </c>
      <c r="AS949" s="12" t="s">
        <v>163</v>
      </c>
      <c r="AT949" s="12"/>
      <c r="AU949" s="45"/>
      <c r="AV949" s="15"/>
      <c r="AW949" s="12" t="str">
        <f>B949&amp;C949&amp;L949&amp;M949&amp;O949&amp;U949&amp;AL949&amp;AM949</f>
        <v>PhilippinesSan Miguel Island SanctuaryCoral rubblecover0.8004569687738Bobiles2016</v>
      </c>
    </row>
    <row r="950" spans="1:49" ht="14.25" customHeight="1" x14ac:dyDescent="0.35">
      <c r="A950" s="12">
        <v>949</v>
      </c>
      <c r="B950" s="15" t="s">
        <v>153</v>
      </c>
      <c r="C950" s="43" t="s">
        <v>1765</v>
      </c>
      <c r="D950" s="44" t="s">
        <v>2715</v>
      </c>
      <c r="E950" s="15" t="s">
        <v>1281</v>
      </c>
      <c r="F950" s="13" t="s">
        <v>50</v>
      </c>
      <c r="G950" s="13" t="s">
        <v>51</v>
      </c>
      <c r="H950" s="16" t="s">
        <v>52</v>
      </c>
      <c r="I950" s="16" t="s">
        <v>156</v>
      </c>
      <c r="J950" s="14">
        <v>1</v>
      </c>
      <c r="K950" s="17"/>
      <c r="L950" s="17"/>
      <c r="M950" s="17" t="s">
        <v>1094</v>
      </c>
      <c r="N950" s="14" t="s">
        <v>1867</v>
      </c>
      <c r="O950" s="17" t="s">
        <v>101</v>
      </c>
      <c r="P950" s="17"/>
      <c r="Q950" s="17"/>
      <c r="R950" s="17"/>
      <c r="S950" s="17">
        <v>0</v>
      </c>
      <c r="T950" s="17">
        <v>0.94</v>
      </c>
      <c r="U950" s="20" t="str">
        <f t="shared" si="67"/>
        <v>N/A</v>
      </c>
      <c r="V950" s="41" t="str">
        <f t="shared" si="65"/>
        <v>N/A</v>
      </c>
      <c r="W950" s="17"/>
      <c r="X950" s="17" t="s">
        <v>56</v>
      </c>
      <c r="Y950" s="15"/>
      <c r="Z950" s="17" t="s">
        <v>56</v>
      </c>
      <c r="AA950" s="17"/>
      <c r="AB950" s="17" t="s">
        <v>57</v>
      </c>
      <c r="AC950" s="17">
        <v>2009</v>
      </c>
      <c r="AD950" s="17">
        <v>5</v>
      </c>
      <c r="AE950" s="17"/>
      <c r="AF950" s="17"/>
      <c r="AG950" s="17">
        <v>1998</v>
      </c>
      <c r="AH950" s="14">
        <f t="shared" si="63"/>
        <v>11</v>
      </c>
      <c r="AI950" s="17">
        <f t="shared" si="64"/>
        <v>16</v>
      </c>
      <c r="AJ950" s="17"/>
      <c r="AK950" s="17" t="s">
        <v>56</v>
      </c>
      <c r="AL950" s="16" t="s">
        <v>1767</v>
      </c>
      <c r="AM950" s="15">
        <v>2016</v>
      </c>
      <c r="AN950" s="15" t="s">
        <v>304</v>
      </c>
      <c r="AO950" s="15" t="s">
        <v>56</v>
      </c>
      <c r="AP950" s="15"/>
      <c r="AQ950" s="15" t="s">
        <v>56</v>
      </c>
      <c r="AR950" s="15" t="s">
        <v>58</v>
      </c>
      <c r="AS950" s="15" t="s">
        <v>163</v>
      </c>
      <c r="AT950" s="15"/>
      <c r="AU950" s="45"/>
      <c r="AV950" s="15"/>
      <c r="AW950" s="12" t="str">
        <f>B950&amp;C950&amp;L950&amp;M950&amp;O950&amp;U950&amp;AL950&amp;AM950</f>
        <v>PhilippinesSan Miguel Island SanctuarySeagrasscoverN/ABobiles2016</v>
      </c>
    </row>
    <row r="951" spans="1:49" ht="14.25" customHeight="1" x14ac:dyDescent="0.35">
      <c r="A951" s="12">
        <v>950</v>
      </c>
      <c r="B951" s="15" t="s">
        <v>153</v>
      </c>
      <c r="C951" s="43" t="s">
        <v>1765</v>
      </c>
      <c r="D951" s="44" t="s">
        <v>2715</v>
      </c>
      <c r="E951" s="15" t="s">
        <v>1281</v>
      </c>
      <c r="F951" s="16" t="s">
        <v>50</v>
      </c>
      <c r="G951" s="16" t="s">
        <v>51</v>
      </c>
      <c r="H951" s="16" t="s">
        <v>52</v>
      </c>
      <c r="I951" s="16" t="s">
        <v>156</v>
      </c>
      <c r="J951" s="14">
        <v>1</v>
      </c>
      <c r="K951" s="17"/>
      <c r="L951" s="17"/>
      <c r="M951" s="17" t="s">
        <v>448</v>
      </c>
      <c r="N951" s="14" t="s">
        <v>1867</v>
      </c>
      <c r="O951" s="17" t="s">
        <v>101</v>
      </c>
      <c r="P951" s="17"/>
      <c r="Q951" s="17"/>
      <c r="R951" s="17"/>
      <c r="S951" s="17">
        <v>0</v>
      </c>
      <c r="T951" s="17">
        <v>0</v>
      </c>
      <c r="U951" s="20" t="str">
        <f t="shared" si="67"/>
        <v>N/A</v>
      </c>
      <c r="V951" s="41" t="str">
        <f t="shared" si="65"/>
        <v>N/A</v>
      </c>
      <c r="W951" s="17"/>
      <c r="X951" s="17" t="s">
        <v>56</v>
      </c>
      <c r="Y951" s="15"/>
      <c r="Z951" s="17" t="s">
        <v>56</v>
      </c>
      <c r="AA951" s="17"/>
      <c r="AB951" s="17" t="s">
        <v>57</v>
      </c>
      <c r="AC951" s="17">
        <v>2009</v>
      </c>
      <c r="AD951" s="17">
        <v>5</v>
      </c>
      <c r="AE951" s="17"/>
      <c r="AF951" s="17"/>
      <c r="AG951" s="17">
        <v>1998</v>
      </c>
      <c r="AH951" s="14">
        <f t="shared" si="63"/>
        <v>11</v>
      </c>
      <c r="AI951" s="17">
        <f t="shared" si="64"/>
        <v>16</v>
      </c>
      <c r="AJ951" s="17"/>
      <c r="AK951" s="17" t="s">
        <v>56</v>
      </c>
      <c r="AL951" s="16" t="s">
        <v>1767</v>
      </c>
      <c r="AM951" s="15">
        <v>2016</v>
      </c>
      <c r="AN951" s="15" t="s">
        <v>304</v>
      </c>
      <c r="AO951" s="15" t="s">
        <v>56</v>
      </c>
      <c r="AP951" s="15"/>
      <c r="AQ951" s="15" t="s">
        <v>56</v>
      </c>
      <c r="AR951" s="15" t="s">
        <v>58</v>
      </c>
      <c r="AS951" s="15" t="s">
        <v>163</v>
      </c>
      <c r="AT951" s="15"/>
      <c r="AU951" s="45"/>
      <c r="AV951" s="15"/>
      <c r="AW951" s="12" t="str">
        <f>B951&amp;C951&amp;L951&amp;M951&amp;O951&amp;U951&amp;AL951&amp;AM951</f>
        <v>PhilippinesSan Miguel Island SanctuarySargassumcoverN/ABobiles2016</v>
      </c>
    </row>
    <row r="952" spans="1:49" ht="14.25" customHeight="1" x14ac:dyDescent="0.35">
      <c r="A952" s="12">
        <v>951</v>
      </c>
      <c r="B952" s="15" t="s">
        <v>153</v>
      </c>
      <c r="C952" s="43" t="s">
        <v>1765</v>
      </c>
      <c r="D952" s="44" t="s">
        <v>2715</v>
      </c>
      <c r="E952" s="15" t="s">
        <v>1281</v>
      </c>
      <c r="F952" s="16" t="s">
        <v>50</v>
      </c>
      <c r="G952" s="16" t="s">
        <v>51</v>
      </c>
      <c r="H952" s="16" t="s">
        <v>52</v>
      </c>
      <c r="I952" s="16" t="s">
        <v>156</v>
      </c>
      <c r="J952" s="14">
        <v>1</v>
      </c>
      <c r="K952" s="17"/>
      <c r="L952" s="17"/>
      <c r="M952" s="17" t="s">
        <v>689</v>
      </c>
      <c r="N952" s="17" t="s">
        <v>1867</v>
      </c>
      <c r="O952" s="17" t="s">
        <v>101</v>
      </c>
      <c r="P952" s="17"/>
      <c r="Q952" s="17"/>
      <c r="R952" s="17"/>
      <c r="S952" s="17">
        <v>5.25</v>
      </c>
      <c r="T952" s="17">
        <v>11.07</v>
      </c>
      <c r="U952" s="20">
        <f t="shared" si="67"/>
        <v>2.1085714285714285</v>
      </c>
      <c r="V952" s="41">
        <f t="shared" si="65"/>
        <v>110.85714285714286</v>
      </c>
      <c r="W952" s="17"/>
      <c r="X952" s="17" t="s">
        <v>56</v>
      </c>
      <c r="Y952" s="15"/>
      <c r="Z952" s="17" t="s">
        <v>56</v>
      </c>
      <c r="AA952" s="17"/>
      <c r="AB952" s="17" t="s">
        <v>57</v>
      </c>
      <c r="AC952" s="17">
        <v>2009</v>
      </c>
      <c r="AD952" s="17">
        <v>5</v>
      </c>
      <c r="AE952" s="17"/>
      <c r="AF952" s="17"/>
      <c r="AG952" s="17">
        <v>1998</v>
      </c>
      <c r="AH952" s="14">
        <f t="shared" si="63"/>
        <v>11</v>
      </c>
      <c r="AI952" s="17">
        <f t="shared" si="64"/>
        <v>16</v>
      </c>
      <c r="AJ952" s="17"/>
      <c r="AK952" s="17" t="s">
        <v>56</v>
      </c>
      <c r="AL952" s="16" t="s">
        <v>1767</v>
      </c>
      <c r="AM952" s="15">
        <v>2016</v>
      </c>
      <c r="AN952" s="15" t="s">
        <v>304</v>
      </c>
      <c r="AO952" s="15" t="s">
        <v>56</v>
      </c>
      <c r="AP952" s="15"/>
      <c r="AQ952" s="15" t="s">
        <v>56</v>
      </c>
      <c r="AR952" s="15" t="s">
        <v>58</v>
      </c>
      <c r="AS952" s="15" t="s">
        <v>163</v>
      </c>
      <c r="AT952" s="15"/>
      <c r="AU952" s="45"/>
      <c r="AV952" s="15"/>
      <c r="AW952" s="12" t="str">
        <f>B952&amp;C952&amp;L952&amp;M952&amp;O952&amp;U952&amp;AL952&amp;AM952</f>
        <v>PhilippinesSan Miguel Island SanctuarySandcover2.10857142857143Bobiles2016</v>
      </c>
    </row>
    <row r="953" spans="1:49" ht="14.25" customHeight="1" x14ac:dyDescent="0.35">
      <c r="A953" s="12">
        <v>952</v>
      </c>
      <c r="B953" s="12" t="s">
        <v>153</v>
      </c>
      <c r="C953" s="44" t="s">
        <v>1765</v>
      </c>
      <c r="D953" s="44" t="s">
        <v>2715</v>
      </c>
      <c r="E953" s="12" t="s">
        <v>1281</v>
      </c>
      <c r="F953" s="13" t="s">
        <v>50</v>
      </c>
      <c r="G953" s="13" t="s">
        <v>51</v>
      </c>
      <c r="H953" s="13" t="s">
        <v>52</v>
      </c>
      <c r="I953" s="13" t="s">
        <v>156</v>
      </c>
      <c r="J953" s="14">
        <v>1</v>
      </c>
      <c r="K953" s="17"/>
      <c r="L953" s="14"/>
      <c r="M953" s="14" t="s">
        <v>1500</v>
      </c>
      <c r="N953" s="53" t="s">
        <v>98</v>
      </c>
      <c r="O953" s="17" t="s">
        <v>55</v>
      </c>
      <c r="P953" s="14"/>
      <c r="Q953" s="14"/>
      <c r="R953" s="14"/>
      <c r="S953" s="14">
        <v>6.86</v>
      </c>
      <c r="T953" s="14">
        <v>10.93</v>
      </c>
      <c r="U953" s="19">
        <f t="shared" si="67"/>
        <v>1.5932944606413992</v>
      </c>
      <c r="V953" s="41">
        <f t="shared" si="65"/>
        <v>59.329446064139923</v>
      </c>
      <c r="W953" s="14"/>
      <c r="X953" s="14" t="s">
        <v>56</v>
      </c>
      <c r="Y953" s="12"/>
      <c r="Z953" s="14" t="s">
        <v>56</v>
      </c>
      <c r="AA953" s="14"/>
      <c r="AB953" s="14" t="s">
        <v>57</v>
      </c>
      <c r="AC953" s="14">
        <v>2009</v>
      </c>
      <c r="AD953" s="14">
        <v>5</v>
      </c>
      <c r="AE953" s="14"/>
      <c r="AF953" s="14"/>
      <c r="AG953" s="14">
        <v>1998</v>
      </c>
      <c r="AH953" s="14">
        <f t="shared" si="63"/>
        <v>11</v>
      </c>
      <c r="AI953" s="17">
        <f t="shared" si="64"/>
        <v>16</v>
      </c>
      <c r="AJ953" s="14"/>
      <c r="AK953" s="14" t="s">
        <v>56</v>
      </c>
      <c r="AL953" s="13" t="s">
        <v>1767</v>
      </c>
      <c r="AM953" s="12">
        <v>2016</v>
      </c>
      <c r="AN953" s="12" t="s">
        <v>304</v>
      </c>
      <c r="AO953" s="12" t="s">
        <v>56</v>
      </c>
      <c r="AP953" s="12"/>
      <c r="AQ953" s="12" t="s">
        <v>56</v>
      </c>
      <c r="AR953" s="12" t="s">
        <v>58</v>
      </c>
      <c r="AS953" s="12" t="s">
        <v>163</v>
      </c>
      <c r="AT953" s="12"/>
      <c r="AU953" s="45"/>
      <c r="AV953" s="15"/>
      <c r="AW953" s="12" t="str">
        <f>B953&amp;C953&amp;L953&amp;M953&amp;O953&amp;U953&amp;AL953&amp;AM953</f>
        <v>PhilippinesSan Miguel Island Sanctuarycommercial fishrichness1.5932944606414Bobiles2016</v>
      </c>
    </row>
    <row r="954" spans="1:49" ht="14.25" customHeight="1" x14ac:dyDescent="0.35">
      <c r="A954" s="12">
        <v>953</v>
      </c>
      <c r="B954" s="12" t="s">
        <v>153</v>
      </c>
      <c r="C954" s="44" t="s">
        <v>1765</v>
      </c>
      <c r="D954" s="44" t="s">
        <v>2715</v>
      </c>
      <c r="E954" s="12" t="s">
        <v>1281</v>
      </c>
      <c r="F954" s="13" t="s">
        <v>50</v>
      </c>
      <c r="G954" s="13" t="s">
        <v>51</v>
      </c>
      <c r="H954" s="13" t="s">
        <v>52</v>
      </c>
      <c r="I954" s="13" t="s">
        <v>156</v>
      </c>
      <c r="J954" s="14">
        <v>1</v>
      </c>
      <c r="K954" s="17"/>
      <c r="L954" s="14"/>
      <c r="M954" s="14" t="s">
        <v>1500</v>
      </c>
      <c r="N954" s="42" t="s">
        <v>98</v>
      </c>
      <c r="O954" s="17" t="s">
        <v>86</v>
      </c>
      <c r="P954" s="14"/>
      <c r="Q954" s="14"/>
      <c r="R954" s="14"/>
      <c r="S954" s="14">
        <v>14.7</v>
      </c>
      <c r="T954" s="14">
        <v>40.9</v>
      </c>
      <c r="U954" s="19">
        <f t="shared" si="67"/>
        <v>2.7823129251700682</v>
      </c>
      <c r="V954" s="41">
        <f t="shared" si="65"/>
        <v>178.23129251700684</v>
      </c>
      <c r="W954" s="14"/>
      <c r="X954" s="14" t="s">
        <v>56</v>
      </c>
      <c r="Z954" s="14" t="s">
        <v>56</v>
      </c>
      <c r="AA954" s="14"/>
      <c r="AB954" s="14" t="s">
        <v>57</v>
      </c>
      <c r="AC954" s="14">
        <v>2009</v>
      </c>
      <c r="AD954" s="14">
        <v>5</v>
      </c>
      <c r="AE954" s="14"/>
      <c r="AF954" s="14"/>
      <c r="AG954" s="14">
        <v>1998</v>
      </c>
      <c r="AH954" s="14">
        <f t="shared" si="63"/>
        <v>11</v>
      </c>
      <c r="AI954" s="17">
        <f t="shared" si="64"/>
        <v>16</v>
      </c>
      <c r="AJ954" s="14"/>
      <c r="AK954" s="14" t="s">
        <v>56</v>
      </c>
      <c r="AL954" s="13" t="s">
        <v>1767</v>
      </c>
      <c r="AM954" s="12">
        <v>2016</v>
      </c>
      <c r="AN954" s="12" t="s">
        <v>304</v>
      </c>
      <c r="AO954" s="12" t="s">
        <v>56</v>
      </c>
      <c r="AP954" s="12"/>
      <c r="AQ954" s="12" t="s">
        <v>56</v>
      </c>
      <c r="AR954" s="12" t="s">
        <v>58</v>
      </c>
      <c r="AS954" s="12" t="s">
        <v>163</v>
      </c>
      <c r="AT954" s="12"/>
      <c r="AU954" s="45"/>
      <c r="AV954" s="15"/>
      <c r="AW954" s="12" t="str">
        <f>B954&amp;C954&amp;L954&amp;M954&amp;O954&amp;U954&amp;AL954&amp;AM954</f>
        <v>PhilippinesSan Miguel Island Sanctuarycommercial fishdensity2.78231292517007Bobiles2016</v>
      </c>
    </row>
    <row r="955" spans="1:49" ht="14.25" customHeight="1" x14ac:dyDescent="0.35">
      <c r="A955" s="12">
        <v>954</v>
      </c>
      <c r="B955" s="15" t="s">
        <v>153</v>
      </c>
      <c r="C955" s="43" t="s">
        <v>1765</v>
      </c>
      <c r="D955" s="44" t="s">
        <v>2715</v>
      </c>
      <c r="E955" s="15" t="s">
        <v>1281</v>
      </c>
      <c r="F955" s="16" t="s">
        <v>50</v>
      </c>
      <c r="G955" s="16" t="s">
        <v>51</v>
      </c>
      <c r="H955" s="16" t="s">
        <v>52</v>
      </c>
      <c r="I955" s="16" t="s">
        <v>156</v>
      </c>
      <c r="J955" s="14">
        <v>1</v>
      </c>
      <c r="K955" s="17"/>
      <c r="L955" s="17" t="s">
        <v>697</v>
      </c>
      <c r="M955" s="17" t="s">
        <v>1770</v>
      </c>
      <c r="N955" s="17" t="s">
        <v>170</v>
      </c>
      <c r="O955" s="17" t="s">
        <v>86</v>
      </c>
      <c r="P955" s="17"/>
      <c r="Q955" s="17"/>
      <c r="R955" s="17"/>
      <c r="S955" s="17">
        <v>0.08</v>
      </c>
      <c r="T955" s="17">
        <v>0.53</v>
      </c>
      <c r="U955" s="20">
        <f t="shared" si="67"/>
        <v>6.625</v>
      </c>
      <c r="V955" s="41">
        <f t="shared" si="65"/>
        <v>562.5</v>
      </c>
      <c r="W955" s="17"/>
      <c r="X955" s="17" t="s">
        <v>56</v>
      </c>
      <c r="Y955" s="17"/>
      <c r="Z955" s="17" t="s">
        <v>56</v>
      </c>
      <c r="AA955" s="17"/>
      <c r="AB955" s="17" t="s">
        <v>57</v>
      </c>
      <c r="AC955" s="17">
        <v>2009</v>
      </c>
      <c r="AD955" s="17">
        <v>5</v>
      </c>
      <c r="AE955" s="17"/>
      <c r="AF955" s="17"/>
      <c r="AG955" s="17">
        <v>1998</v>
      </c>
      <c r="AH955" s="14">
        <f t="shared" si="63"/>
        <v>11</v>
      </c>
      <c r="AI955" s="17">
        <f t="shared" si="64"/>
        <v>16</v>
      </c>
      <c r="AJ955" s="17"/>
      <c r="AK955" s="17" t="s">
        <v>56</v>
      </c>
      <c r="AL955" s="16" t="s">
        <v>1767</v>
      </c>
      <c r="AM955" s="15">
        <v>2016</v>
      </c>
      <c r="AN955" s="15" t="s">
        <v>304</v>
      </c>
      <c r="AO955" s="15" t="s">
        <v>56</v>
      </c>
      <c r="AP955" s="15"/>
      <c r="AQ955" s="15" t="s">
        <v>56</v>
      </c>
      <c r="AR955" s="15" t="s">
        <v>58</v>
      </c>
      <c r="AS955" s="15" t="s">
        <v>163</v>
      </c>
      <c r="AT955" s="15"/>
      <c r="AU955" s="45"/>
      <c r="AV955" s="15"/>
      <c r="AW955" s="12" t="str">
        <f>B955&amp;C955&amp;L955&amp;M955&amp;O955&amp;U955&amp;AL955&amp;AM955</f>
        <v>PhilippinesSan Miguel Island SanctuaryLethrinidaeEmperorsdensity6.625Bobiles2016</v>
      </c>
    </row>
    <row r="956" spans="1:49" ht="14.25" customHeight="1" x14ac:dyDescent="0.35">
      <c r="A956" s="12">
        <v>955</v>
      </c>
      <c r="B956" s="15" t="s">
        <v>153</v>
      </c>
      <c r="C956" s="43" t="s">
        <v>1765</v>
      </c>
      <c r="D956" s="44" t="s">
        <v>2715</v>
      </c>
      <c r="E956" s="15" t="s">
        <v>1281</v>
      </c>
      <c r="F956" s="16" t="s">
        <v>50</v>
      </c>
      <c r="G956" s="16" t="s">
        <v>51</v>
      </c>
      <c r="H956" s="16" t="s">
        <v>52</v>
      </c>
      <c r="I956" s="16" t="s">
        <v>156</v>
      </c>
      <c r="J956" s="14">
        <v>1</v>
      </c>
      <c r="K956" s="17"/>
      <c r="L956" s="17" t="s">
        <v>631</v>
      </c>
      <c r="M956" s="17" t="s">
        <v>1411</v>
      </c>
      <c r="N956" s="17" t="s">
        <v>170</v>
      </c>
      <c r="O956" s="17" t="s">
        <v>86</v>
      </c>
      <c r="P956" s="17"/>
      <c r="Q956" s="17"/>
      <c r="R956" s="17"/>
      <c r="S956" s="17">
        <v>1.89</v>
      </c>
      <c r="T956" s="17">
        <v>4.1900000000000004</v>
      </c>
      <c r="U956" s="20">
        <f t="shared" si="67"/>
        <v>2.2169312169312172</v>
      </c>
      <c r="V956" s="41">
        <f t="shared" si="65"/>
        <v>121.69312169312173</v>
      </c>
      <c r="W956" s="17"/>
      <c r="X956" s="17" t="s">
        <v>56</v>
      </c>
      <c r="Y956" s="17"/>
      <c r="Z956" s="17" t="s">
        <v>56</v>
      </c>
      <c r="AA956" s="17"/>
      <c r="AB956" s="17" t="s">
        <v>57</v>
      </c>
      <c r="AC956" s="17">
        <v>2009</v>
      </c>
      <c r="AD956" s="17">
        <v>5</v>
      </c>
      <c r="AE956" s="17"/>
      <c r="AF956" s="17"/>
      <c r="AG956" s="17">
        <v>1998</v>
      </c>
      <c r="AH956" s="14">
        <f t="shared" si="63"/>
        <v>11</v>
      </c>
      <c r="AI956" s="17">
        <f t="shared" si="64"/>
        <v>16</v>
      </c>
      <c r="AJ956" s="17"/>
      <c r="AK956" s="17" t="s">
        <v>56</v>
      </c>
      <c r="AL956" s="16" t="s">
        <v>1767</v>
      </c>
      <c r="AM956" s="15">
        <v>2016</v>
      </c>
      <c r="AN956" s="15" t="s">
        <v>304</v>
      </c>
      <c r="AO956" s="15" t="s">
        <v>56</v>
      </c>
      <c r="AP956" s="15"/>
      <c r="AQ956" s="15" t="s">
        <v>56</v>
      </c>
      <c r="AR956" s="15" t="s">
        <v>58</v>
      </c>
      <c r="AS956" s="15" t="s">
        <v>163</v>
      </c>
      <c r="AT956" s="15"/>
      <c r="AU956" s="45"/>
      <c r="AV956" s="15"/>
      <c r="AW956" s="12" t="str">
        <f>B956&amp;C956&amp;L956&amp;M956&amp;O956&amp;U956&amp;AL956&amp;AM956</f>
        <v>PhilippinesSan Miguel Island SanctuarySiganidaerabbitfishdensity2.21693121693122Bobiles2016</v>
      </c>
    </row>
    <row r="957" spans="1:49" ht="14.25" customHeight="1" x14ac:dyDescent="0.35">
      <c r="A957" s="12">
        <v>956</v>
      </c>
      <c r="B957" s="15" t="s">
        <v>153</v>
      </c>
      <c r="C957" s="43" t="s">
        <v>1765</v>
      </c>
      <c r="D957" s="44" t="s">
        <v>2715</v>
      </c>
      <c r="E957" s="12" t="s">
        <v>1281</v>
      </c>
      <c r="F957" s="13" t="s">
        <v>50</v>
      </c>
      <c r="G957" s="13" t="s">
        <v>51</v>
      </c>
      <c r="H957" s="16" t="s">
        <v>52</v>
      </c>
      <c r="I957" s="16" t="s">
        <v>156</v>
      </c>
      <c r="J957" s="14">
        <v>1</v>
      </c>
      <c r="K957" s="17"/>
      <c r="L957" s="17" t="s">
        <v>168</v>
      </c>
      <c r="M957" s="17" t="s">
        <v>545</v>
      </c>
      <c r="N957" s="17" t="s">
        <v>170</v>
      </c>
      <c r="O957" s="17" t="s">
        <v>86</v>
      </c>
      <c r="P957" s="17"/>
      <c r="Q957" s="17"/>
      <c r="R957" s="17"/>
      <c r="S957" s="17">
        <v>0.16</v>
      </c>
      <c r="T957" s="17">
        <v>0.89</v>
      </c>
      <c r="U957" s="19">
        <f t="shared" si="67"/>
        <v>5.5625</v>
      </c>
      <c r="V957" s="41">
        <f t="shared" si="65"/>
        <v>456.25</v>
      </c>
      <c r="W957" s="14"/>
      <c r="X957" s="17" t="s">
        <v>56</v>
      </c>
      <c r="Y957" s="17"/>
      <c r="Z957" s="17" t="s">
        <v>56</v>
      </c>
      <c r="AA957" s="17"/>
      <c r="AB957" s="17" t="s">
        <v>57</v>
      </c>
      <c r="AC957" s="17">
        <v>2009</v>
      </c>
      <c r="AD957" s="17">
        <v>5</v>
      </c>
      <c r="AE957" s="17"/>
      <c r="AF957" s="17"/>
      <c r="AG957" s="17">
        <v>1998</v>
      </c>
      <c r="AH957" s="14">
        <f t="shared" si="63"/>
        <v>11</v>
      </c>
      <c r="AI957" s="17">
        <f t="shared" si="64"/>
        <v>16</v>
      </c>
      <c r="AJ957" s="17"/>
      <c r="AK957" s="17" t="s">
        <v>56</v>
      </c>
      <c r="AL957" s="16" t="s">
        <v>1767</v>
      </c>
      <c r="AM957" s="15">
        <v>2016</v>
      </c>
      <c r="AN957" s="15" t="s">
        <v>304</v>
      </c>
      <c r="AO957" s="15" t="s">
        <v>56</v>
      </c>
      <c r="AP957" s="15"/>
      <c r="AQ957" s="15" t="s">
        <v>56</v>
      </c>
      <c r="AR957" s="15" t="s">
        <v>58</v>
      </c>
      <c r="AS957" s="15" t="s">
        <v>163</v>
      </c>
      <c r="AT957" s="12"/>
      <c r="AU957" s="45"/>
      <c r="AV957" s="15"/>
      <c r="AW957" s="12" t="str">
        <f>B957&amp;C957&amp;L957&amp;M957&amp;O957&amp;U957&amp;AL957&amp;AM957</f>
        <v>PhilippinesSan Miguel Island SanctuaryMullidaegoatfishesdensity5.5625Bobiles2016</v>
      </c>
    </row>
    <row r="958" spans="1:49" ht="14.25" customHeight="1" x14ac:dyDescent="0.35">
      <c r="A958" s="12">
        <v>957</v>
      </c>
      <c r="B958" s="15" t="s">
        <v>153</v>
      </c>
      <c r="C958" s="43" t="s">
        <v>1765</v>
      </c>
      <c r="D958" s="44" t="s">
        <v>2715</v>
      </c>
      <c r="E958" s="15" t="s">
        <v>1281</v>
      </c>
      <c r="F958" s="16" t="s">
        <v>50</v>
      </c>
      <c r="G958" s="16" t="s">
        <v>51</v>
      </c>
      <c r="H958" s="16" t="s">
        <v>52</v>
      </c>
      <c r="I958" s="16" t="s">
        <v>156</v>
      </c>
      <c r="J958" s="14">
        <v>1</v>
      </c>
      <c r="K958" s="17"/>
      <c r="L958" s="17" t="s">
        <v>627</v>
      </c>
      <c r="M958" s="17" t="s">
        <v>1771</v>
      </c>
      <c r="N958" s="17" t="s">
        <v>170</v>
      </c>
      <c r="O958" s="17" t="s">
        <v>86</v>
      </c>
      <c r="P958" s="17"/>
      <c r="Q958" s="17"/>
      <c r="R958" s="17"/>
      <c r="S958" s="17">
        <v>0</v>
      </c>
      <c r="T958" s="17">
        <v>3.67</v>
      </c>
      <c r="U958" s="20" t="str">
        <f t="shared" si="67"/>
        <v>N/A</v>
      </c>
      <c r="V958" s="41" t="str">
        <f t="shared" si="65"/>
        <v>N/A</v>
      </c>
      <c r="W958" s="17"/>
      <c r="X958" s="17" t="s">
        <v>56</v>
      </c>
      <c r="Y958" s="17"/>
      <c r="Z958" s="17" t="s">
        <v>56</v>
      </c>
      <c r="AA958" s="17"/>
      <c r="AB958" s="17" t="s">
        <v>57</v>
      </c>
      <c r="AC958" s="17">
        <v>2009</v>
      </c>
      <c r="AD958" s="17">
        <v>5</v>
      </c>
      <c r="AE958" s="17"/>
      <c r="AF958" s="17"/>
      <c r="AG958" s="17">
        <v>1998</v>
      </c>
      <c r="AH958" s="14">
        <f t="shared" si="63"/>
        <v>11</v>
      </c>
      <c r="AI958" s="17">
        <f t="shared" si="64"/>
        <v>16</v>
      </c>
      <c r="AJ958" s="17"/>
      <c r="AK958" s="17" t="s">
        <v>56</v>
      </c>
      <c r="AL958" s="16" t="s">
        <v>1767</v>
      </c>
      <c r="AM958" s="15">
        <v>2016</v>
      </c>
      <c r="AN958" s="15" t="s">
        <v>304</v>
      </c>
      <c r="AO958" s="15" t="s">
        <v>56</v>
      </c>
      <c r="AP958" s="15"/>
      <c r="AQ958" s="15" t="s">
        <v>56</v>
      </c>
      <c r="AR958" s="15" t="s">
        <v>58</v>
      </c>
      <c r="AS958" s="15" t="s">
        <v>163</v>
      </c>
      <c r="AT958" s="15"/>
      <c r="AU958" s="45"/>
      <c r="AV958" s="15"/>
      <c r="AW958" s="12" t="str">
        <f>B958&amp;C958&amp;L958&amp;M958&amp;O958&amp;U958&amp;AL958&amp;AM958</f>
        <v>PhilippinesSan Miguel Island SanctuaryLutjanidaeSnappersdensityN/ABobiles2016</v>
      </c>
    </row>
    <row r="959" spans="1:49" ht="14.25" customHeight="1" x14ac:dyDescent="0.35">
      <c r="A959" s="12">
        <v>958</v>
      </c>
      <c r="B959" s="15" t="s">
        <v>153</v>
      </c>
      <c r="C959" s="43" t="s">
        <v>1765</v>
      </c>
      <c r="D959" s="44" t="s">
        <v>2715</v>
      </c>
      <c r="E959" s="15" t="s">
        <v>1281</v>
      </c>
      <c r="F959" s="13" t="s">
        <v>50</v>
      </c>
      <c r="G959" s="13" t="s">
        <v>51</v>
      </c>
      <c r="H959" s="16" t="s">
        <v>52</v>
      </c>
      <c r="I959" s="16" t="s">
        <v>156</v>
      </c>
      <c r="J959" s="14">
        <v>1</v>
      </c>
      <c r="K959" s="17"/>
      <c r="L959" s="17" t="s">
        <v>625</v>
      </c>
      <c r="M959" s="17" t="s">
        <v>1772</v>
      </c>
      <c r="N959" s="17" t="s">
        <v>170</v>
      </c>
      <c r="O959" s="17" t="s">
        <v>86</v>
      </c>
      <c r="P959" s="17"/>
      <c r="Q959" s="17"/>
      <c r="R959" s="17"/>
      <c r="S959" s="17">
        <v>3.25</v>
      </c>
      <c r="T959" s="17">
        <v>5.57</v>
      </c>
      <c r="U959" s="20">
        <f t="shared" si="67"/>
        <v>1.713846153846154</v>
      </c>
      <c r="V959" s="41">
        <f t="shared" si="65"/>
        <v>71.384615384615401</v>
      </c>
      <c r="W959" s="17"/>
      <c r="X959" s="17" t="s">
        <v>56</v>
      </c>
      <c r="Y959" s="17"/>
      <c r="Z959" s="17" t="s">
        <v>56</v>
      </c>
      <c r="AA959" s="17"/>
      <c r="AB959" s="17" t="s">
        <v>57</v>
      </c>
      <c r="AC959" s="17">
        <v>2009</v>
      </c>
      <c r="AD959" s="17">
        <v>5</v>
      </c>
      <c r="AE959" s="17"/>
      <c r="AF959" s="17"/>
      <c r="AG959" s="17">
        <v>1998</v>
      </c>
      <c r="AH959" s="14">
        <f t="shared" si="63"/>
        <v>11</v>
      </c>
      <c r="AI959" s="17">
        <f t="shared" si="64"/>
        <v>16</v>
      </c>
      <c r="AJ959" s="17"/>
      <c r="AK959" s="17" t="s">
        <v>56</v>
      </c>
      <c r="AL959" s="16" t="s">
        <v>1767</v>
      </c>
      <c r="AM959" s="15">
        <v>2016</v>
      </c>
      <c r="AN959" s="15" t="s">
        <v>304</v>
      </c>
      <c r="AO959" s="15" t="s">
        <v>56</v>
      </c>
      <c r="AP959" s="15"/>
      <c r="AQ959" s="15" t="s">
        <v>56</v>
      </c>
      <c r="AR959" s="15" t="s">
        <v>58</v>
      </c>
      <c r="AS959" s="15" t="s">
        <v>163</v>
      </c>
      <c r="AT959" s="15"/>
      <c r="AU959" s="45"/>
      <c r="AV959" s="15"/>
      <c r="AW959" s="12" t="str">
        <f>B959&amp;C959&amp;L959&amp;M959&amp;O959&amp;U959&amp;AL959&amp;AM959</f>
        <v>PhilippinesSan Miguel Island SanctuaryAcanthuridaesurgeonfishesdensity1.71384615384615Bobiles2016</v>
      </c>
    </row>
    <row r="960" spans="1:49" ht="14.25" customHeight="1" x14ac:dyDescent="0.35">
      <c r="A960" s="12">
        <v>959</v>
      </c>
      <c r="B960" s="15" t="s">
        <v>153</v>
      </c>
      <c r="C960" s="43" t="s">
        <v>1765</v>
      </c>
      <c r="D960" s="44" t="s">
        <v>2715</v>
      </c>
      <c r="E960" s="15" t="s">
        <v>1281</v>
      </c>
      <c r="F960" s="13" t="s">
        <v>50</v>
      </c>
      <c r="G960" s="13" t="s">
        <v>51</v>
      </c>
      <c r="H960" s="16" t="s">
        <v>52</v>
      </c>
      <c r="I960" s="16" t="s">
        <v>156</v>
      </c>
      <c r="J960" s="14">
        <v>1</v>
      </c>
      <c r="K960" s="17"/>
      <c r="L960" s="17" t="s">
        <v>267</v>
      </c>
      <c r="M960" s="17" t="s">
        <v>1245</v>
      </c>
      <c r="N960" s="14" t="s">
        <v>170</v>
      </c>
      <c r="O960" s="17" t="s">
        <v>86</v>
      </c>
      <c r="P960" s="17"/>
      <c r="Q960" s="17"/>
      <c r="R960" s="17"/>
      <c r="S960" s="17">
        <v>2.81</v>
      </c>
      <c r="T960" s="17">
        <v>8.58</v>
      </c>
      <c r="U960" s="20">
        <f t="shared" si="67"/>
        <v>3.0533807829181496</v>
      </c>
      <c r="V960" s="41">
        <f t="shared" si="65"/>
        <v>205.33807829181495</v>
      </c>
      <c r="W960" s="17"/>
      <c r="X960" s="17" t="s">
        <v>56</v>
      </c>
      <c r="Y960" s="17"/>
      <c r="Z960" s="17" t="s">
        <v>56</v>
      </c>
      <c r="AA960" s="17"/>
      <c r="AB960" s="17" t="s">
        <v>57</v>
      </c>
      <c r="AC960" s="17">
        <v>2009</v>
      </c>
      <c r="AD960" s="17">
        <v>5</v>
      </c>
      <c r="AE960" s="17"/>
      <c r="AF960" s="17"/>
      <c r="AG960" s="17">
        <v>1998</v>
      </c>
      <c r="AH960" s="14">
        <f t="shared" ref="AH960:AH1023" si="68">IF(OR(AG960="NA",AC960="NA"),"NA",IF(OR(AC960="",AG960=""), "", AC960-AG960))</f>
        <v>11</v>
      </c>
      <c r="AI960" s="17">
        <f t="shared" ref="AI960:AI1023" si="69">IF(AH960="NA", "NA",IF(OR(AH960="",AND(AD960="",AE960="")), "",AH960+AD960+AE960/12))</f>
        <v>16</v>
      </c>
      <c r="AJ960" s="17"/>
      <c r="AK960" s="17" t="s">
        <v>56</v>
      </c>
      <c r="AL960" s="16" t="s">
        <v>1767</v>
      </c>
      <c r="AM960" s="15">
        <v>2016</v>
      </c>
      <c r="AN960" s="15" t="s">
        <v>304</v>
      </c>
      <c r="AO960" s="15" t="s">
        <v>56</v>
      </c>
      <c r="AP960" s="15"/>
      <c r="AQ960" s="15" t="s">
        <v>56</v>
      </c>
      <c r="AR960" s="15" t="s">
        <v>58</v>
      </c>
      <c r="AS960" s="15" t="s">
        <v>163</v>
      </c>
      <c r="AT960" s="15"/>
      <c r="AU960" s="45"/>
      <c r="AV960" s="15"/>
      <c r="AW960" s="12" t="str">
        <f>B960&amp;C960&amp;L960&amp;M960&amp;O960&amp;U960&amp;AL960&amp;AM960</f>
        <v>PhilippinesSan Miguel Island SanctuaryScaridaeparrotfishdensity3.05338078291815Bobiles2016</v>
      </c>
    </row>
    <row r="961" spans="1:49" ht="14.25" customHeight="1" x14ac:dyDescent="0.35">
      <c r="A961" s="12">
        <v>960</v>
      </c>
      <c r="B961" s="15" t="s">
        <v>1507</v>
      </c>
      <c r="C961" s="15" t="s">
        <v>1501</v>
      </c>
      <c r="D961" s="12" t="s">
        <v>888</v>
      </c>
      <c r="E961" s="12" t="s">
        <v>171</v>
      </c>
      <c r="F961" s="13" t="s">
        <v>50</v>
      </c>
      <c r="G961" s="13" t="s">
        <v>51</v>
      </c>
      <c r="H961" s="16" t="s">
        <v>52</v>
      </c>
      <c r="I961" s="16" t="s">
        <v>156</v>
      </c>
      <c r="K961" s="17">
        <v>46</v>
      </c>
      <c r="L961" s="17" t="s">
        <v>1508</v>
      </c>
      <c r="M961" s="17" t="s">
        <v>1509</v>
      </c>
      <c r="N961" s="17" t="s">
        <v>85</v>
      </c>
      <c r="O961" s="17" t="s">
        <v>86</v>
      </c>
      <c r="P961" s="17"/>
      <c r="Q961" s="17"/>
      <c r="R961" s="17"/>
      <c r="S961" s="17">
        <v>4480</v>
      </c>
      <c r="T961" s="17">
        <v>7680</v>
      </c>
      <c r="U961" s="19">
        <f t="shared" si="67"/>
        <v>1.7142857142857142</v>
      </c>
      <c r="V961" s="41">
        <f t="shared" si="65"/>
        <v>71.428571428571416</v>
      </c>
      <c r="W961" s="14"/>
      <c r="X961" s="17" t="s">
        <v>56</v>
      </c>
      <c r="Y961" s="17"/>
      <c r="Z961" s="17" t="s">
        <v>56</v>
      </c>
      <c r="AA961" s="17"/>
      <c r="AB961" s="17" t="s">
        <v>57</v>
      </c>
      <c r="AC961" s="17">
        <v>2012</v>
      </c>
      <c r="AD961" s="17">
        <v>0</v>
      </c>
      <c r="AE961" s="17"/>
      <c r="AF961" s="17"/>
      <c r="AG961" s="17">
        <v>1987</v>
      </c>
      <c r="AH961" s="14">
        <f t="shared" si="68"/>
        <v>25</v>
      </c>
      <c r="AI961" s="17">
        <f t="shared" si="69"/>
        <v>25</v>
      </c>
      <c r="AJ961" s="17"/>
      <c r="AK961" s="17" t="s">
        <v>56</v>
      </c>
      <c r="AL961" s="16" t="s">
        <v>1510</v>
      </c>
      <c r="AM961" s="15">
        <v>2016</v>
      </c>
      <c r="AN961" s="15" t="s">
        <v>160</v>
      </c>
      <c r="AO961" s="15" t="s">
        <v>56</v>
      </c>
      <c r="AP961" s="15"/>
      <c r="AQ961" s="15" t="s">
        <v>56</v>
      </c>
      <c r="AR961" s="15" t="s">
        <v>58</v>
      </c>
      <c r="AS961" s="15" t="s">
        <v>757</v>
      </c>
      <c r="AT961" s="12"/>
      <c r="AU961" s="45" t="s">
        <v>2691</v>
      </c>
      <c r="AV961" s="15"/>
      <c r="AW961" s="12" t="str">
        <f>B961&amp;C961&amp;L961&amp;M961&amp;O961&amp;U961&amp;AL961&amp;AM961</f>
        <v>Australia Orpheus Island Marine National ParkScolopsis bilineatusbridled monocle breamdensity1.71428571428571Hall and Kingsford2016</v>
      </c>
    </row>
    <row r="962" spans="1:49" ht="14.25" customHeight="1" x14ac:dyDescent="0.35">
      <c r="A962" s="12">
        <v>961</v>
      </c>
      <c r="B962" s="15" t="s">
        <v>1507</v>
      </c>
      <c r="C962" s="15" t="s">
        <v>1501</v>
      </c>
      <c r="D962" s="12" t="s">
        <v>888</v>
      </c>
      <c r="E962" s="15" t="s">
        <v>171</v>
      </c>
      <c r="F962" s="16" t="s">
        <v>50</v>
      </c>
      <c r="G962" s="16" t="s">
        <v>51</v>
      </c>
      <c r="H962" s="16" t="s">
        <v>52</v>
      </c>
      <c r="I962" s="16" t="s">
        <v>156</v>
      </c>
      <c r="K962" s="17">
        <v>46</v>
      </c>
      <c r="L962" s="17"/>
      <c r="M962" s="17" t="s">
        <v>1511</v>
      </c>
      <c r="N962" s="42" t="s">
        <v>98</v>
      </c>
      <c r="O962" s="17" t="s">
        <v>86</v>
      </c>
      <c r="P962" s="17"/>
      <c r="Q962" s="17"/>
      <c r="R962" s="17"/>
      <c r="S962" s="17">
        <v>15360</v>
      </c>
      <c r="T962" s="17">
        <v>44800</v>
      </c>
      <c r="U962" s="20">
        <f t="shared" si="67"/>
        <v>2.9166666666666665</v>
      </c>
      <c r="V962" s="41">
        <f t="shared" ref="V962:V1025" si="70">IFERROR(IF(U962 = "", "",(U962-1)*100),"N/A")</f>
        <v>191.66666666666666</v>
      </c>
      <c r="W962" s="17"/>
      <c r="X962" s="17" t="s">
        <v>56</v>
      </c>
      <c r="Z962" s="17" t="s">
        <v>56</v>
      </c>
      <c r="AA962" s="17"/>
      <c r="AB962" s="17" t="s">
        <v>57</v>
      </c>
      <c r="AC962" s="17">
        <v>2012</v>
      </c>
      <c r="AD962" s="17">
        <v>0</v>
      </c>
      <c r="AE962" s="17"/>
      <c r="AF962" s="17"/>
      <c r="AG962" s="17">
        <v>1987</v>
      </c>
      <c r="AH962" s="14">
        <f t="shared" si="68"/>
        <v>25</v>
      </c>
      <c r="AI962" s="17">
        <f t="shared" si="69"/>
        <v>25</v>
      </c>
      <c r="AJ962" s="17"/>
      <c r="AK962" s="17" t="s">
        <v>56</v>
      </c>
      <c r="AL962" s="16" t="s">
        <v>1510</v>
      </c>
      <c r="AM962" s="15">
        <v>2016</v>
      </c>
      <c r="AN962" s="15" t="s">
        <v>160</v>
      </c>
      <c r="AO962" s="15" t="s">
        <v>56</v>
      </c>
      <c r="AP962" s="15"/>
      <c r="AQ962" s="15" t="s">
        <v>56</v>
      </c>
      <c r="AR962" s="15" t="s">
        <v>58</v>
      </c>
      <c r="AS962" s="15" t="s">
        <v>757</v>
      </c>
      <c r="AT962" s="15"/>
      <c r="AU962" s="45" t="s">
        <v>2691</v>
      </c>
      <c r="AV962" s="15"/>
      <c r="AW962" s="12" t="str">
        <f>B962&amp;C962&amp;L962&amp;M962&amp;O962&amp;U962&amp;AL962&amp;AM962</f>
        <v>Australia Orpheus Island Marine National Parktargeted predatorsdensity2.91666666666667Hall and Kingsford2016</v>
      </c>
    </row>
    <row r="963" spans="1:49" ht="14.25" customHeight="1" x14ac:dyDescent="0.35">
      <c r="A963" s="12">
        <v>962</v>
      </c>
      <c r="B963" s="15" t="s">
        <v>1507</v>
      </c>
      <c r="C963" s="15" t="s">
        <v>1501</v>
      </c>
      <c r="D963" s="12" t="s">
        <v>888</v>
      </c>
      <c r="E963" s="15" t="s">
        <v>171</v>
      </c>
      <c r="F963" s="16" t="s">
        <v>50</v>
      </c>
      <c r="G963" s="16" t="s">
        <v>51</v>
      </c>
      <c r="H963" s="16" t="s">
        <v>52</v>
      </c>
      <c r="I963" s="16" t="s">
        <v>156</v>
      </c>
      <c r="K963" s="17">
        <v>46</v>
      </c>
      <c r="L963" s="17" t="s">
        <v>1508</v>
      </c>
      <c r="M963" s="17" t="s">
        <v>1509</v>
      </c>
      <c r="N963" s="17" t="s">
        <v>85</v>
      </c>
      <c r="O963" s="17" t="s">
        <v>70</v>
      </c>
      <c r="P963" s="17"/>
      <c r="Q963" s="17"/>
      <c r="R963" s="17"/>
      <c r="S963" s="17">
        <v>347.2</v>
      </c>
      <c r="T963" s="51">
        <v>442</v>
      </c>
      <c r="U963" s="20">
        <f t="shared" si="67"/>
        <v>1.2730414746543779</v>
      </c>
      <c r="V963" s="41">
        <f t="shared" si="70"/>
        <v>27.30414746543779</v>
      </c>
      <c r="W963" s="17"/>
      <c r="X963" s="17" t="s">
        <v>56</v>
      </c>
      <c r="Y963" s="17"/>
      <c r="Z963" s="17" t="s">
        <v>56</v>
      </c>
      <c r="AA963" s="17"/>
      <c r="AB963" s="17" t="s">
        <v>57</v>
      </c>
      <c r="AC963" s="17">
        <v>2012</v>
      </c>
      <c r="AD963" s="17">
        <v>0</v>
      </c>
      <c r="AE963" s="17"/>
      <c r="AF963" s="17"/>
      <c r="AG963" s="17">
        <v>1987</v>
      </c>
      <c r="AH963" s="14">
        <f t="shared" si="68"/>
        <v>25</v>
      </c>
      <c r="AI963" s="17">
        <f t="shared" si="69"/>
        <v>25</v>
      </c>
      <c r="AJ963" s="17"/>
      <c r="AK963" s="17" t="s">
        <v>56</v>
      </c>
      <c r="AL963" s="16" t="s">
        <v>1510</v>
      </c>
      <c r="AM963" s="15">
        <v>2016</v>
      </c>
      <c r="AN963" s="15" t="s">
        <v>160</v>
      </c>
      <c r="AO963" s="15" t="s">
        <v>56</v>
      </c>
      <c r="AP963" s="15"/>
      <c r="AQ963" s="15" t="s">
        <v>56</v>
      </c>
      <c r="AR963" s="15" t="s">
        <v>58</v>
      </c>
      <c r="AS963" s="15" t="s">
        <v>757</v>
      </c>
      <c r="AT963" s="15"/>
      <c r="AU963" s="45" t="s">
        <v>2691</v>
      </c>
      <c r="AV963" s="15"/>
      <c r="AW963" s="12" t="str">
        <f>B963&amp;C963&amp;L963&amp;M963&amp;O963&amp;U963&amp;AL963&amp;AM963</f>
        <v>Australia Orpheus Island Marine National ParkScolopsis bilineatusbridled monocle breambiomassden1.27304147465438Hall and Kingsford2016</v>
      </c>
    </row>
    <row r="964" spans="1:49" ht="14.25" customHeight="1" x14ac:dyDescent="0.35">
      <c r="A964" s="12">
        <v>963</v>
      </c>
      <c r="B964" s="15" t="s">
        <v>1507</v>
      </c>
      <c r="C964" s="15" t="s">
        <v>1501</v>
      </c>
      <c r="D964" s="12" t="s">
        <v>888</v>
      </c>
      <c r="E964" s="15" t="s">
        <v>171</v>
      </c>
      <c r="F964" s="13" t="s">
        <v>50</v>
      </c>
      <c r="G964" s="13" t="s">
        <v>51</v>
      </c>
      <c r="H964" s="16" t="s">
        <v>52</v>
      </c>
      <c r="I964" s="16" t="s">
        <v>156</v>
      </c>
      <c r="K964" s="17">
        <v>46</v>
      </c>
      <c r="L964" s="17"/>
      <c r="M964" s="17" t="s">
        <v>1511</v>
      </c>
      <c r="N964" s="53" t="s">
        <v>98</v>
      </c>
      <c r="O964" s="17" t="s">
        <v>70</v>
      </c>
      <c r="P964" s="17"/>
      <c r="Q964" s="17"/>
      <c r="R964" s="17"/>
      <c r="S964" s="51">
        <v>11389.28</v>
      </c>
      <c r="T964" s="51">
        <v>51914.16</v>
      </c>
      <c r="U964" s="20">
        <f t="shared" si="67"/>
        <v>4.5581599539215825</v>
      </c>
      <c r="V964" s="41">
        <f t="shared" si="70"/>
        <v>355.81599539215824</v>
      </c>
      <c r="W964" s="17"/>
      <c r="X964" s="17" t="s">
        <v>56</v>
      </c>
      <c r="Z964" s="17" t="s">
        <v>56</v>
      </c>
      <c r="AA964" s="17"/>
      <c r="AB964" s="17" t="s">
        <v>57</v>
      </c>
      <c r="AC964" s="17">
        <v>2012</v>
      </c>
      <c r="AD964" s="17">
        <v>0</v>
      </c>
      <c r="AE964" s="17"/>
      <c r="AF964" s="17"/>
      <c r="AG964" s="17">
        <v>1987</v>
      </c>
      <c r="AH964" s="14">
        <f t="shared" si="68"/>
        <v>25</v>
      </c>
      <c r="AI964" s="17">
        <f t="shared" si="69"/>
        <v>25</v>
      </c>
      <c r="AJ964" s="17"/>
      <c r="AK964" s="17" t="s">
        <v>56</v>
      </c>
      <c r="AL964" s="16" t="s">
        <v>1510</v>
      </c>
      <c r="AM964" s="15">
        <v>2016</v>
      </c>
      <c r="AN964" s="15" t="s">
        <v>160</v>
      </c>
      <c r="AO964" s="15" t="s">
        <v>56</v>
      </c>
      <c r="AP964" s="15"/>
      <c r="AQ964" s="15" t="s">
        <v>56</v>
      </c>
      <c r="AR964" s="15" t="s">
        <v>58</v>
      </c>
      <c r="AS964" s="15" t="s">
        <v>757</v>
      </c>
      <c r="AT964" s="15"/>
      <c r="AU964" s="45" t="s">
        <v>2691</v>
      </c>
      <c r="AV964" s="15"/>
      <c r="AW964" s="12" t="str">
        <f>B964&amp;C964&amp;L964&amp;M964&amp;O964&amp;U964&amp;AL964&amp;AM964</f>
        <v>Australia Orpheus Island Marine National Parktargeted predatorsbiomassden4.55815995392158Hall and Kingsford2016</v>
      </c>
    </row>
    <row r="965" spans="1:49" ht="14.25" customHeight="1" x14ac:dyDescent="0.35">
      <c r="A965" s="12">
        <v>964</v>
      </c>
      <c r="B965" s="15" t="s">
        <v>1507</v>
      </c>
      <c r="C965" s="15" t="s">
        <v>1501</v>
      </c>
      <c r="D965" s="12" t="s">
        <v>888</v>
      </c>
      <c r="E965" s="15" t="s">
        <v>171</v>
      </c>
      <c r="F965" s="13" t="s">
        <v>50</v>
      </c>
      <c r="G965" s="13" t="s">
        <v>51</v>
      </c>
      <c r="H965" s="16" t="s">
        <v>52</v>
      </c>
      <c r="I965" s="16" t="s">
        <v>156</v>
      </c>
      <c r="K965" s="17">
        <v>46</v>
      </c>
      <c r="L965" s="17"/>
      <c r="M965" s="17" t="s">
        <v>1512</v>
      </c>
      <c r="N965" s="53" t="s">
        <v>98</v>
      </c>
      <c r="O965" s="17" t="s">
        <v>101</v>
      </c>
      <c r="P965" s="17"/>
      <c r="Q965" s="17"/>
      <c r="R965" s="17"/>
      <c r="S965" s="17">
        <v>52.87</v>
      </c>
      <c r="T965" s="17">
        <v>50.75</v>
      </c>
      <c r="U965" s="20">
        <f t="shared" si="67"/>
        <v>0.95990164554567814</v>
      </c>
      <c r="V965" s="41">
        <f t="shared" si="70"/>
        <v>-4.0098354454321861</v>
      </c>
      <c r="W965" s="17"/>
      <c r="X965" s="17" t="s">
        <v>56</v>
      </c>
      <c r="Z965" s="17" t="s">
        <v>56</v>
      </c>
      <c r="AA965" s="17"/>
      <c r="AB965" s="17" t="s">
        <v>57</v>
      </c>
      <c r="AC965" s="17">
        <v>2012</v>
      </c>
      <c r="AD965" s="17">
        <v>0</v>
      </c>
      <c r="AE965" s="17"/>
      <c r="AF965" s="17"/>
      <c r="AG965" s="17">
        <v>1987</v>
      </c>
      <c r="AH965" s="14">
        <f t="shared" si="68"/>
        <v>25</v>
      </c>
      <c r="AI965" s="17">
        <f t="shared" si="69"/>
        <v>25</v>
      </c>
      <c r="AJ965" s="17"/>
      <c r="AK965" s="17" t="s">
        <v>56</v>
      </c>
      <c r="AL965" s="16" t="s">
        <v>1510</v>
      </c>
      <c r="AM965" s="15">
        <v>2016</v>
      </c>
      <c r="AN965" s="15" t="s">
        <v>160</v>
      </c>
      <c r="AO965" s="15" t="s">
        <v>56</v>
      </c>
      <c r="AP965" s="15"/>
      <c r="AQ965" s="15" t="s">
        <v>56</v>
      </c>
      <c r="AR965" s="15" t="s">
        <v>58</v>
      </c>
      <c r="AS965" s="15" t="s">
        <v>757</v>
      </c>
      <c r="AT965" s="15"/>
      <c r="AU965" s="45" t="s">
        <v>2691</v>
      </c>
      <c r="AV965" s="15"/>
      <c r="AW965" s="12" t="str">
        <f>B965&amp;C965&amp;L965&amp;M965&amp;O965&amp;U965&amp;AL965&amp;AM965</f>
        <v>Australia Orpheus Island Marine National Parklive coralcover0.959901645545678Hall and Kingsford2016</v>
      </c>
    </row>
    <row r="966" spans="1:49" ht="14.25" customHeight="1" x14ac:dyDescent="0.35">
      <c r="A966" s="12">
        <v>965</v>
      </c>
      <c r="B966" s="15" t="s">
        <v>1507</v>
      </c>
      <c r="C966" s="15" t="s">
        <v>1501</v>
      </c>
      <c r="D966" s="12" t="s">
        <v>888</v>
      </c>
      <c r="E966" s="15" t="s">
        <v>171</v>
      </c>
      <c r="F966" s="13" t="s">
        <v>50</v>
      </c>
      <c r="G966" s="13" t="s">
        <v>51</v>
      </c>
      <c r="H966" s="16" t="s">
        <v>52</v>
      </c>
      <c r="I966" s="16" t="s">
        <v>156</v>
      </c>
      <c r="K966" s="17">
        <v>46</v>
      </c>
      <c r="L966" s="17"/>
      <c r="M966" s="17" t="s">
        <v>1513</v>
      </c>
      <c r="N966" s="53" t="s">
        <v>98</v>
      </c>
      <c r="O966" s="17" t="s">
        <v>101</v>
      </c>
      <c r="P966" s="17"/>
      <c r="Q966" s="17"/>
      <c r="R966" s="17"/>
      <c r="S966" s="17">
        <v>21.77</v>
      </c>
      <c r="T966" s="17">
        <v>17.16</v>
      </c>
      <c r="U966" s="20">
        <f t="shared" si="67"/>
        <v>0.78824069820854392</v>
      </c>
      <c r="V966" s="41">
        <f t="shared" si="70"/>
        <v>-21.17593017914561</v>
      </c>
      <c r="W966" s="17"/>
      <c r="X966" s="17" t="s">
        <v>56</v>
      </c>
      <c r="Z966" s="17" t="s">
        <v>56</v>
      </c>
      <c r="AA966" s="17"/>
      <c r="AB966" s="17" t="s">
        <v>57</v>
      </c>
      <c r="AC966" s="17">
        <v>2012</v>
      </c>
      <c r="AD966" s="17">
        <v>0</v>
      </c>
      <c r="AE966" s="17"/>
      <c r="AF966" s="17"/>
      <c r="AG966" s="17">
        <v>1987</v>
      </c>
      <c r="AH966" s="14">
        <f t="shared" si="68"/>
        <v>25</v>
      </c>
      <c r="AI966" s="17">
        <f t="shared" si="69"/>
        <v>25</v>
      </c>
      <c r="AJ966" s="17"/>
      <c r="AK966" s="17" t="s">
        <v>56</v>
      </c>
      <c r="AL966" s="16" t="s">
        <v>1510</v>
      </c>
      <c r="AM966" s="15">
        <v>2016</v>
      </c>
      <c r="AN966" s="15" t="s">
        <v>160</v>
      </c>
      <c r="AO966" s="15" t="s">
        <v>56</v>
      </c>
      <c r="AP966" s="15"/>
      <c r="AQ966" s="15" t="s">
        <v>56</v>
      </c>
      <c r="AR966" s="15" t="s">
        <v>58</v>
      </c>
      <c r="AS966" s="15" t="s">
        <v>757</v>
      </c>
      <c r="AT966" s="15"/>
      <c r="AU966" s="45" t="s">
        <v>2691</v>
      </c>
      <c r="AV966" s="15"/>
      <c r="AW966" s="12" t="str">
        <f>B966&amp;C966&amp;L966&amp;M966&amp;O966&amp;U966&amp;AL966&amp;AM966</f>
        <v>Australia Orpheus Island Marine National Parkdead coralcover0.788240698208544Hall and Kingsford2016</v>
      </c>
    </row>
    <row r="967" spans="1:49" ht="14.25" customHeight="1" x14ac:dyDescent="0.35">
      <c r="A967" s="12">
        <v>966</v>
      </c>
      <c r="B967" s="15" t="s">
        <v>1507</v>
      </c>
      <c r="C967" s="15" t="s">
        <v>1501</v>
      </c>
      <c r="D967" s="12" t="s">
        <v>888</v>
      </c>
      <c r="E967" s="15" t="s">
        <v>171</v>
      </c>
      <c r="F967" s="13" t="s">
        <v>50</v>
      </c>
      <c r="G967" s="13" t="s">
        <v>51</v>
      </c>
      <c r="H967" s="16" t="s">
        <v>52</v>
      </c>
      <c r="I967" s="16" t="s">
        <v>156</v>
      </c>
      <c r="K967" s="17">
        <v>46</v>
      </c>
      <c r="L967" s="17"/>
      <c r="M967" s="17" t="s">
        <v>1514</v>
      </c>
      <c r="N967" s="42" t="s">
        <v>98</v>
      </c>
      <c r="O967" s="17" t="s">
        <v>101</v>
      </c>
      <c r="P967" s="17"/>
      <c r="Q967" s="17"/>
      <c r="R967" s="17"/>
      <c r="S967" s="17">
        <v>23.71</v>
      </c>
      <c r="T967" s="17">
        <v>19.22</v>
      </c>
      <c r="U967" s="20">
        <f t="shared" si="67"/>
        <v>0.81062842682412473</v>
      </c>
      <c r="V967" s="41">
        <f t="shared" si="70"/>
        <v>-18.937157317587527</v>
      </c>
      <c r="W967" s="17"/>
      <c r="X967" s="17" t="s">
        <v>56</v>
      </c>
      <c r="Z967" s="17" t="s">
        <v>56</v>
      </c>
      <c r="AA967" s="17"/>
      <c r="AB967" s="17" t="s">
        <v>57</v>
      </c>
      <c r="AC967" s="17">
        <v>2012</v>
      </c>
      <c r="AD967" s="17">
        <v>0</v>
      </c>
      <c r="AE967" s="17"/>
      <c r="AF967" s="17"/>
      <c r="AG967" s="17">
        <v>1987</v>
      </c>
      <c r="AH967" s="14">
        <f t="shared" si="68"/>
        <v>25</v>
      </c>
      <c r="AI967" s="17">
        <f t="shared" si="69"/>
        <v>25</v>
      </c>
      <c r="AJ967" s="17"/>
      <c r="AK967" s="17" t="s">
        <v>56</v>
      </c>
      <c r="AL967" s="16" t="s">
        <v>1510</v>
      </c>
      <c r="AM967" s="15">
        <v>2016</v>
      </c>
      <c r="AN967" s="15" t="s">
        <v>160</v>
      </c>
      <c r="AO967" s="15" t="s">
        <v>56</v>
      </c>
      <c r="AP967" s="15"/>
      <c r="AQ967" s="15" t="s">
        <v>56</v>
      </c>
      <c r="AR967" s="15" t="s">
        <v>58</v>
      </c>
      <c r="AS967" s="15" t="s">
        <v>757</v>
      </c>
      <c r="AT967" s="15"/>
      <c r="AU967" s="45" t="s">
        <v>2691</v>
      </c>
      <c r="AV967" s="15"/>
      <c r="AW967" s="12" t="str">
        <f>B967&amp;C967&amp;L967&amp;M967&amp;O967&amp;U967&amp;AL967&amp;AM967</f>
        <v>Australia Orpheus Island Marine National Parkcover algaecover0.810628426824125Hall and Kingsford2016</v>
      </c>
    </row>
    <row r="968" spans="1:49" ht="14.25" customHeight="1" x14ac:dyDescent="0.35">
      <c r="A968" s="12">
        <v>967</v>
      </c>
      <c r="B968" s="15" t="s">
        <v>1507</v>
      </c>
      <c r="C968" s="15" t="s">
        <v>1501</v>
      </c>
      <c r="D968" s="12" t="s">
        <v>888</v>
      </c>
      <c r="E968" s="15" t="s">
        <v>171</v>
      </c>
      <c r="F968" s="13" t="s">
        <v>50</v>
      </c>
      <c r="G968" s="13" t="s">
        <v>51</v>
      </c>
      <c r="H968" s="16" t="s">
        <v>52</v>
      </c>
      <c r="I968" s="16" t="s">
        <v>156</v>
      </c>
      <c r="K968" s="17">
        <v>46</v>
      </c>
      <c r="L968" s="17" t="s">
        <v>1508</v>
      </c>
      <c r="M968" s="17" t="s">
        <v>1509</v>
      </c>
      <c r="N968" s="17" t="s">
        <v>85</v>
      </c>
      <c r="O968" s="17" t="s">
        <v>104</v>
      </c>
      <c r="P968" s="17" t="s">
        <v>457</v>
      </c>
      <c r="Q968" s="17"/>
      <c r="R968" s="17"/>
      <c r="S968" s="17">
        <v>16.489999999999998</v>
      </c>
      <c r="T968" s="17">
        <v>15.2</v>
      </c>
      <c r="U968" s="20">
        <f t="shared" si="67"/>
        <v>0.92177077016373565</v>
      </c>
      <c r="V968" s="41">
        <f t="shared" si="70"/>
        <v>-7.8229229836264347</v>
      </c>
      <c r="W968" s="17"/>
      <c r="X968" s="17" t="s">
        <v>56</v>
      </c>
      <c r="Z968" s="17" t="s">
        <v>56</v>
      </c>
      <c r="AA968" s="17"/>
      <c r="AB968" s="17" t="s">
        <v>57</v>
      </c>
      <c r="AC968" s="17">
        <v>2012</v>
      </c>
      <c r="AD968" s="17">
        <v>0</v>
      </c>
      <c r="AE968" s="17"/>
      <c r="AF968" s="17"/>
      <c r="AG968" s="17">
        <v>1987</v>
      </c>
      <c r="AH968" s="14">
        <f t="shared" si="68"/>
        <v>25</v>
      </c>
      <c r="AI968" s="17">
        <f t="shared" si="69"/>
        <v>25</v>
      </c>
      <c r="AJ968" s="17"/>
      <c r="AK968" s="17" t="s">
        <v>56</v>
      </c>
      <c r="AL968" s="16" t="s">
        <v>1510</v>
      </c>
      <c r="AM968" s="15">
        <v>2016</v>
      </c>
      <c r="AN968" s="15" t="s">
        <v>160</v>
      </c>
      <c r="AO968" s="15" t="s">
        <v>56</v>
      </c>
      <c r="AP968" s="15"/>
      <c r="AQ968" s="15" t="s">
        <v>56</v>
      </c>
      <c r="AR968" s="15" t="s">
        <v>58</v>
      </c>
      <c r="AS968" s="15" t="s">
        <v>757</v>
      </c>
      <c r="AT968" s="15"/>
      <c r="AU968" s="45" t="s">
        <v>2691</v>
      </c>
      <c r="AV968" s="15"/>
      <c r="AW968" s="12" t="str">
        <f>B968&amp;C968&amp;L968&amp;M968&amp;O968&amp;U968&amp;AL968&amp;AM968</f>
        <v>Australia Orpheus Island Marine National ParkScolopsis bilineatusbridled monocle breamsize0.921770770163736Hall and Kingsford2016</v>
      </c>
    </row>
    <row r="969" spans="1:49" ht="14.25" customHeight="1" x14ac:dyDescent="0.35">
      <c r="A969" s="12">
        <v>968</v>
      </c>
      <c r="B969" s="15" t="s">
        <v>66</v>
      </c>
      <c r="C969" s="15" t="s">
        <v>2580</v>
      </c>
      <c r="D969" s="15" t="s">
        <v>888</v>
      </c>
      <c r="E969" s="15" t="s">
        <v>171</v>
      </c>
      <c r="F969" s="13" t="s">
        <v>50</v>
      </c>
      <c r="G969" s="13" t="s">
        <v>51</v>
      </c>
      <c r="H969" s="16" t="s">
        <v>329</v>
      </c>
      <c r="I969" s="16" t="s">
        <v>156</v>
      </c>
      <c r="J969" s="17" t="s">
        <v>509</v>
      </c>
      <c r="K969" s="17"/>
      <c r="L969" s="17" t="s">
        <v>897</v>
      </c>
      <c r="M969" s="17" t="s">
        <v>898</v>
      </c>
      <c r="N969" s="17" t="s">
        <v>120</v>
      </c>
      <c r="O969" s="17" t="s">
        <v>86</v>
      </c>
      <c r="P969" s="17" t="s">
        <v>899</v>
      </c>
      <c r="Q969" s="17"/>
      <c r="R969" s="17"/>
      <c r="S969" s="17">
        <v>0.08</v>
      </c>
      <c r="T969" s="17">
        <v>0.26</v>
      </c>
      <c r="U969" s="20">
        <f t="shared" si="67"/>
        <v>3.25</v>
      </c>
      <c r="V969" s="41">
        <f t="shared" si="70"/>
        <v>225</v>
      </c>
      <c r="W969" s="17"/>
      <c r="X969" s="17" t="s">
        <v>58</v>
      </c>
      <c r="Y969" s="14">
        <v>500</v>
      </c>
      <c r="Z969" s="17" t="s">
        <v>56</v>
      </c>
      <c r="AA969" s="17"/>
      <c r="AB969" s="17" t="s">
        <v>57</v>
      </c>
      <c r="AC969" s="17">
        <v>2006</v>
      </c>
      <c r="AD969" s="17">
        <v>4</v>
      </c>
      <c r="AE969" s="17"/>
      <c r="AF969" s="17"/>
      <c r="AG969" s="17">
        <v>2004</v>
      </c>
      <c r="AH969" s="14">
        <f t="shared" si="68"/>
        <v>2</v>
      </c>
      <c r="AI969" s="17">
        <f t="shared" si="69"/>
        <v>6</v>
      </c>
      <c r="AJ969" s="17"/>
      <c r="AK969" s="17" t="s">
        <v>58</v>
      </c>
      <c r="AL969" s="16" t="s">
        <v>900</v>
      </c>
      <c r="AM969" s="15">
        <v>2012</v>
      </c>
      <c r="AN969" s="15" t="s">
        <v>738</v>
      </c>
      <c r="AO969" s="15" t="s">
        <v>56</v>
      </c>
      <c r="AP969" s="15"/>
      <c r="AQ969" s="15" t="s">
        <v>56</v>
      </c>
      <c r="AR969" s="15" t="s">
        <v>58</v>
      </c>
      <c r="AS969" s="15" t="s">
        <v>258</v>
      </c>
      <c r="AT969" s="15"/>
      <c r="AU969" s="45" t="s">
        <v>901</v>
      </c>
      <c r="AV969" s="15"/>
      <c r="AW969" s="12" t="str">
        <f>B969&amp;C969&amp;L969&amp;M969&amp;O969&amp;U969&amp;AL969&amp;AM969</f>
        <v>AustraliaCarins region no-take zonesPlectropomus spp.coral troutdensity3.25Miller2012</v>
      </c>
    </row>
    <row r="970" spans="1:49" ht="14.25" customHeight="1" x14ac:dyDescent="0.35">
      <c r="A970" s="12">
        <v>969</v>
      </c>
      <c r="B970" s="12" t="s">
        <v>66</v>
      </c>
      <c r="C970" s="12" t="s">
        <v>2584</v>
      </c>
      <c r="D970" s="12" t="s">
        <v>888</v>
      </c>
      <c r="E970" s="12" t="s">
        <v>171</v>
      </c>
      <c r="F970" s="13" t="s">
        <v>50</v>
      </c>
      <c r="G970" s="13" t="s">
        <v>51</v>
      </c>
      <c r="H970" s="13" t="s">
        <v>329</v>
      </c>
      <c r="I970" s="13" t="s">
        <v>156</v>
      </c>
      <c r="J970" s="14" t="s">
        <v>509</v>
      </c>
      <c r="K970" s="17"/>
      <c r="L970" s="14" t="s">
        <v>897</v>
      </c>
      <c r="M970" s="14" t="s">
        <v>898</v>
      </c>
      <c r="N970" s="17" t="s">
        <v>120</v>
      </c>
      <c r="O970" s="17" t="s">
        <v>86</v>
      </c>
      <c r="P970" s="14" t="s">
        <v>899</v>
      </c>
      <c r="Q970" s="14"/>
      <c r="R970" s="14"/>
      <c r="S970" s="14">
        <v>0.21</v>
      </c>
      <c r="T970" s="14">
        <v>0.65</v>
      </c>
      <c r="U970" s="19">
        <f t="shared" si="67"/>
        <v>3.0952380952380953</v>
      </c>
      <c r="V970" s="41">
        <f t="shared" si="70"/>
        <v>209.52380952380955</v>
      </c>
      <c r="W970" s="14"/>
      <c r="X970" s="14" t="s">
        <v>58</v>
      </c>
      <c r="Y970" s="14">
        <v>200</v>
      </c>
      <c r="Z970" s="14" t="s">
        <v>56</v>
      </c>
      <c r="AA970" s="14"/>
      <c r="AB970" s="14" t="s">
        <v>57</v>
      </c>
      <c r="AC970" s="14">
        <v>2006</v>
      </c>
      <c r="AD970" s="14">
        <v>4</v>
      </c>
      <c r="AE970" s="14"/>
      <c r="AF970" s="14"/>
      <c r="AG970" s="14">
        <v>2004</v>
      </c>
      <c r="AH970" s="14">
        <f t="shared" si="68"/>
        <v>2</v>
      </c>
      <c r="AI970" s="17">
        <f t="shared" si="69"/>
        <v>6</v>
      </c>
      <c r="AJ970" s="14"/>
      <c r="AK970" s="14" t="s">
        <v>58</v>
      </c>
      <c r="AL970" s="13" t="s">
        <v>900</v>
      </c>
      <c r="AM970" s="12">
        <v>2012</v>
      </c>
      <c r="AN970" s="12" t="s">
        <v>738</v>
      </c>
      <c r="AO970" s="12" t="s">
        <v>56</v>
      </c>
      <c r="AP970" s="12"/>
      <c r="AQ970" s="12" t="s">
        <v>56</v>
      </c>
      <c r="AR970" s="12" t="s">
        <v>58</v>
      </c>
      <c r="AS970" s="12" t="s">
        <v>258</v>
      </c>
      <c r="AT970" s="12"/>
      <c r="AU970" s="45" t="s">
        <v>901</v>
      </c>
      <c r="AV970" s="15"/>
      <c r="AW970" s="12" t="str">
        <f>B970&amp;C970&amp;L970&amp;M970&amp;O970&amp;U970&amp;AL970&amp;AM970</f>
        <v>AustraliaTownsville region no-take zonesPlectropomus spp.coral troutdensity3.0952380952381Miller2012</v>
      </c>
    </row>
    <row r="971" spans="1:49" ht="14.25" customHeight="1" x14ac:dyDescent="0.35">
      <c r="A971" s="12">
        <v>970</v>
      </c>
      <c r="B971" s="15" t="s">
        <v>66</v>
      </c>
      <c r="C971" s="15" t="s">
        <v>2582</v>
      </c>
      <c r="D971" s="15" t="s">
        <v>888</v>
      </c>
      <c r="E971" s="15" t="s">
        <v>171</v>
      </c>
      <c r="F971" s="16" t="s">
        <v>50</v>
      </c>
      <c r="G971" s="16" t="s">
        <v>51</v>
      </c>
      <c r="H971" s="16" t="s">
        <v>329</v>
      </c>
      <c r="I971" s="16" t="s">
        <v>156</v>
      </c>
      <c r="J971" s="17" t="s">
        <v>509</v>
      </c>
      <c r="K971" s="17"/>
      <c r="L971" s="17" t="s">
        <v>897</v>
      </c>
      <c r="M971" s="17" t="s">
        <v>898</v>
      </c>
      <c r="N971" s="17" t="s">
        <v>120</v>
      </c>
      <c r="O971" s="17" t="s">
        <v>86</v>
      </c>
      <c r="P971" s="17" t="s">
        <v>899</v>
      </c>
      <c r="Q971" s="17"/>
      <c r="R971" s="17"/>
      <c r="S971" s="17">
        <v>0.16</v>
      </c>
      <c r="T971" s="17">
        <v>0.98</v>
      </c>
      <c r="U971" s="20">
        <f t="shared" si="67"/>
        <v>6.125</v>
      </c>
      <c r="V971" s="41">
        <f t="shared" si="70"/>
        <v>512.5</v>
      </c>
      <c r="W971" s="17"/>
      <c r="X971" s="17" t="s">
        <v>58</v>
      </c>
      <c r="Y971" s="14">
        <v>400</v>
      </c>
      <c r="Z971" s="17" t="s">
        <v>56</v>
      </c>
      <c r="AA971" s="17"/>
      <c r="AB971" s="17" t="s">
        <v>57</v>
      </c>
      <c r="AC971" s="17">
        <v>2006</v>
      </c>
      <c r="AD971" s="17">
        <v>4</v>
      </c>
      <c r="AE971" s="17"/>
      <c r="AF971" s="17"/>
      <c r="AG971" s="17">
        <v>2004</v>
      </c>
      <c r="AH971" s="14">
        <f t="shared" si="68"/>
        <v>2</v>
      </c>
      <c r="AI971" s="17">
        <f t="shared" si="69"/>
        <v>6</v>
      </c>
      <c r="AJ971" s="17"/>
      <c r="AK971" s="17" t="s">
        <v>58</v>
      </c>
      <c r="AL971" s="16" t="s">
        <v>900</v>
      </c>
      <c r="AM971" s="15">
        <v>2012</v>
      </c>
      <c r="AN971" s="15" t="s">
        <v>738</v>
      </c>
      <c r="AO971" s="15" t="s">
        <v>56</v>
      </c>
      <c r="AP971" s="15"/>
      <c r="AQ971" s="15" t="s">
        <v>56</v>
      </c>
      <c r="AR971" s="15" t="s">
        <v>58</v>
      </c>
      <c r="AS971" s="15" t="s">
        <v>258</v>
      </c>
      <c r="AT971" s="15"/>
      <c r="AU971" s="45" t="s">
        <v>901</v>
      </c>
      <c r="AV971" s="15"/>
      <c r="AW971" s="12" t="str">
        <f>B971&amp;C971&amp;L971&amp;M971&amp;O971&amp;U971&amp;AL971&amp;AM971</f>
        <v>AustraliaMackay region no-take zonesPlectropomus spp.coral troutdensity6.125Miller2012</v>
      </c>
    </row>
    <row r="972" spans="1:49" ht="14.25" customHeight="1" x14ac:dyDescent="0.35">
      <c r="A972" s="12">
        <v>971</v>
      </c>
      <c r="B972" s="15" t="s">
        <v>66</v>
      </c>
      <c r="C972" s="15" t="s">
        <v>2583</v>
      </c>
      <c r="D972" s="15" t="s">
        <v>888</v>
      </c>
      <c r="E972" s="15" t="s">
        <v>171</v>
      </c>
      <c r="F972" s="16" t="s">
        <v>50</v>
      </c>
      <c r="G972" s="16" t="s">
        <v>51</v>
      </c>
      <c r="H972" s="16" t="s">
        <v>329</v>
      </c>
      <c r="I972" s="16" t="s">
        <v>156</v>
      </c>
      <c r="J972" s="17" t="s">
        <v>509</v>
      </c>
      <c r="K972" s="17"/>
      <c r="L972" s="17" t="s">
        <v>897</v>
      </c>
      <c r="M972" s="17" t="s">
        <v>898</v>
      </c>
      <c r="N972" s="17" t="s">
        <v>120</v>
      </c>
      <c r="O972" s="17" t="s">
        <v>86</v>
      </c>
      <c r="P972" s="17" t="s">
        <v>899</v>
      </c>
      <c r="Q972" s="17"/>
      <c r="R972" s="17"/>
      <c r="S972" s="17">
        <v>0.21</v>
      </c>
      <c r="T972" s="17">
        <v>2.1</v>
      </c>
      <c r="U972" s="20">
        <f t="shared" si="67"/>
        <v>10</v>
      </c>
      <c r="V972" s="41">
        <f t="shared" si="70"/>
        <v>900</v>
      </c>
      <c r="W972" s="17"/>
      <c r="X972" s="17" t="s">
        <v>58</v>
      </c>
      <c r="Y972" s="17">
        <v>200</v>
      </c>
      <c r="Z972" s="17" t="s">
        <v>56</v>
      </c>
      <c r="AA972" s="17"/>
      <c r="AB972" s="17" t="s">
        <v>57</v>
      </c>
      <c r="AC972" s="17">
        <v>2006</v>
      </c>
      <c r="AD972" s="17">
        <v>4</v>
      </c>
      <c r="AE972" s="17"/>
      <c r="AF972" s="17"/>
      <c r="AG972" s="14">
        <v>2004</v>
      </c>
      <c r="AH972" s="14">
        <f t="shared" si="68"/>
        <v>2</v>
      </c>
      <c r="AI972" s="17">
        <f t="shared" si="69"/>
        <v>6</v>
      </c>
      <c r="AJ972" s="17"/>
      <c r="AK972" s="17" t="s">
        <v>58</v>
      </c>
      <c r="AL972" s="16" t="s">
        <v>900</v>
      </c>
      <c r="AM972" s="15">
        <v>2012</v>
      </c>
      <c r="AN972" s="15" t="s">
        <v>738</v>
      </c>
      <c r="AO972" s="15" t="s">
        <v>56</v>
      </c>
      <c r="AP972" s="15"/>
      <c r="AQ972" s="15" t="s">
        <v>56</v>
      </c>
      <c r="AR972" s="15" t="s">
        <v>58</v>
      </c>
      <c r="AS972" s="15" t="s">
        <v>258</v>
      </c>
      <c r="AT972" s="15"/>
      <c r="AU972" s="45" t="s">
        <v>901</v>
      </c>
      <c r="AV972" s="15"/>
      <c r="AW972" s="12" t="str">
        <f>B972&amp;C972&amp;L972&amp;M972&amp;O972&amp;U972&amp;AL972&amp;AM972</f>
        <v>AustraliaSwains Region no-take zonesPlectropomus spp.coral troutdensity10Miller2012</v>
      </c>
    </row>
    <row r="973" spans="1:49" ht="14.25" customHeight="1" x14ac:dyDescent="0.35">
      <c r="A973" s="12">
        <v>972</v>
      </c>
      <c r="B973" s="12" t="s">
        <v>66</v>
      </c>
      <c r="C973" s="15" t="s">
        <v>2581</v>
      </c>
      <c r="D973" s="15" t="s">
        <v>888</v>
      </c>
      <c r="E973" s="15" t="s">
        <v>171</v>
      </c>
      <c r="F973" s="16" t="s">
        <v>50</v>
      </c>
      <c r="G973" s="16" t="s">
        <v>51</v>
      </c>
      <c r="H973" s="16" t="s">
        <v>329</v>
      </c>
      <c r="I973" s="16" t="s">
        <v>156</v>
      </c>
      <c r="J973" s="17" t="s">
        <v>509</v>
      </c>
      <c r="K973" s="17"/>
      <c r="L973" s="17" t="s">
        <v>897</v>
      </c>
      <c r="M973" s="17" t="s">
        <v>898</v>
      </c>
      <c r="N973" s="14" t="s">
        <v>120</v>
      </c>
      <c r="O973" s="17" t="s">
        <v>86</v>
      </c>
      <c r="P973" s="17" t="s">
        <v>899</v>
      </c>
      <c r="Q973" s="17"/>
      <c r="R973" s="17"/>
      <c r="S973" s="17">
        <v>0.18</v>
      </c>
      <c r="T973" s="17">
        <v>0.61</v>
      </c>
      <c r="U973" s="20">
        <f t="shared" si="67"/>
        <v>3.3888888888888888</v>
      </c>
      <c r="V973" s="41">
        <f t="shared" si="70"/>
        <v>238.88888888888889</v>
      </c>
      <c r="W973" s="17"/>
      <c r="X973" s="17" t="s">
        <v>58</v>
      </c>
      <c r="Y973" s="14">
        <v>150</v>
      </c>
      <c r="Z973" s="17" t="s">
        <v>56</v>
      </c>
      <c r="AA973" s="17"/>
      <c r="AB973" s="17" t="s">
        <v>57</v>
      </c>
      <c r="AC973" s="17">
        <v>2006</v>
      </c>
      <c r="AD973" s="17">
        <v>4</v>
      </c>
      <c r="AE973" s="17"/>
      <c r="AF973" s="17"/>
      <c r="AG973" s="14">
        <v>2004</v>
      </c>
      <c r="AH973" s="14">
        <f t="shared" si="68"/>
        <v>2</v>
      </c>
      <c r="AI973" s="17">
        <f t="shared" si="69"/>
        <v>6</v>
      </c>
      <c r="AJ973" s="17"/>
      <c r="AK973" s="17" t="s">
        <v>58</v>
      </c>
      <c r="AL973" s="16" t="s">
        <v>900</v>
      </c>
      <c r="AM973" s="15">
        <v>2012</v>
      </c>
      <c r="AN973" s="15" t="s">
        <v>738</v>
      </c>
      <c r="AO973" s="15" t="s">
        <v>56</v>
      </c>
      <c r="AP973" s="15"/>
      <c r="AQ973" s="15" t="s">
        <v>56</v>
      </c>
      <c r="AR973" s="15" t="s">
        <v>58</v>
      </c>
      <c r="AS973" s="15" t="s">
        <v>258</v>
      </c>
      <c r="AT973" s="15"/>
      <c r="AU973" s="45" t="s">
        <v>901</v>
      </c>
      <c r="AV973" s="15"/>
      <c r="AW973" s="12" t="str">
        <f>B973&amp;C973&amp;L973&amp;M973&amp;O973&amp;U973&amp;AL973&amp;AM973</f>
        <v>AustraliaCapricoen Bunker region no-take zonesPlectropomus spp.coral troutdensity3.38888888888889Miller2012</v>
      </c>
    </row>
    <row r="974" spans="1:49" ht="14.25" customHeight="1" x14ac:dyDescent="0.35">
      <c r="A974" s="12">
        <v>973</v>
      </c>
      <c r="B974" s="12" t="s">
        <v>254</v>
      </c>
      <c r="C974" s="12" t="s">
        <v>507</v>
      </c>
      <c r="D974" s="12" t="s">
        <v>508</v>
      </c>
      <c r="E974" s="12" t="s">
        <v>136</v>
      </c>
      <c r="F974" s="13" t="s">
        <v>50</v>
      </c>
      <c r="G974" s="13" t="s">
        <v>51</v>
      </c>
      <c r="H974" s="13" t="s">
        <v>78</v>
      </c>
      <c r="I974" s="13" t="s">
        <v>53</v>
      </c>
      <c r="J974" s="17" t="s">
        <v>509</v>
      </c>
      <c r="K974" s="14"/>
      <c r="L974" s="14" t="s">
        <v>313</v>
      </c>
      <c r="M974" s="14"/>
      <c r="N974" s="14" t="s">
        <v>85</v>
      </c>
      <c r="O974" s="17" t="s">
        <v>86</v>
      </c>
      <c r="P974" s="14"/>
      <c r="Q974" s="14"/>
      <c r="R974" s="14"/>
      <c r="S974" s="14">
        <v>152.33920000000001</v>
      </c>
      <c r="T974" s="14">
        <v>173.97659999999999</v>
      </c>
      <c r="U974" s="19">
        <f t="shared" si="67"/>
        <v>1.1420343549132461</v>
      </c>
      <c r="V974" s="41">
        <f t="shared" si="70"/>
        <v>14.203435491324612</v>
      </c>
      <c r="W974" s="14"/>
      <c r="X974" s="14" t="s">
        <v>58</v>
      </c>
      <c r="Y974" s="14">
        <v>738.64</v>
      </c>
      <c r="Z974" s="14" t="s">
        <v>58</v>
      </c>
      <c r="AA974" s="14"/>
      <c r="AB974" s="14" t="s">
        <v>57</v>
      </c>
      <c r="AC974" s="14">
        <v>2009</v>
      </c>
      <c r="AD974" s="14">
        <v>1</v>
      </c>
      <c r="AE974" s="14"/>
      <c r="AF974" s="14"/>
      <c r="AG974" s="14" t="s">
        <v>509</v>
      </c>
      <c r="AH974" s="14" t="str">
        <f t="shared" si="68"/>
        <v>NA</v>
      </c>
      <c r="AI974" s="17" t="str">
        <f t="shared" si="69"/>
        <v>NA</v>
      </c>
      <c r="AJ974" s="14"/>
      <c r="AK974" s="14" t="s">
        <v>56</v>
      </c>
      <c r="AL974" s="13" t="s">
        <v>510</v>
      </c>
      <c r="AM974" s="14">
        <v>2018</v>
      </c>
      <c r="AN974" s="12" t="s">
        <v>263</v>
      </c>
      <c r="AO974" s="12" t="s">
        <v>56</v>
      </c>
      <c r="AP974" s="12"/>
      <c r="AQ974" s="12" t="s">
        <v>56</v>
      </c>
      <c r="AR974" s="12" t="s">
        <v>58</v>
      </c>
      <c r="AS974" s="12" t="s">
        <v>62</v>
      </c>
      <c r="AT974" s="12"/>
      <c r="AU974" s="45" t="s">
        <v>511</v>
      </c>
      <c r="AV974" s="15"/>
      <c r="AW974" s="12" t="str">
        <f>B974&amp;C974&amp;L974&amp;M974&amp;O974&amp;U974&amp;AL974&amp;AM974</f>
        <v>MexicoCabo San Lucas Marine Protected Area, Espiritu Santo Marine Protected Area, Canales de Ballenas y Salsipuedes Reserve no-take areasDiadema mexicanumdensity1.14203435491325Ulate2018</v>
      </c>
    </row>
    <row r="975" spans="1:49" ht="14.25" customHeight="1" x14ac:dyDescent="0.35">
      <c r="A975" s="12">
        <v>974</v>
      </c>
      <c r="B975" s="15" t="s">
        <v>254</v>
      </c>
      <c r="C975" s="15" t="s">
        <v>507</v>
      </c>
      <c r="D975" s="15" t="s">
        <v>508</v>
      </c>
      <c r="E975" s="15" t="s">
        <v>136</v>
      </c>
      <c r="F975" s="16" t="s">
        <v>50</v>
      </c>
      <c r="G975" s="16" t="s">
        <v>51</v>
      </c>
      <c r="H975" s="16" t="s">
        <v>78</v>
      </c>
      <c r="I975" s="16" t="s">
        <v>53</v>
      </c>
      <c r="J975" s="17" t="s">
        <v>509</v>
      </c>
      <c r="K975" s="17"/>
      <c r="L975" s="17" t="s">
        <v>307</v>
      </c>
      <c r="M975" s="17" t="s">
        <v>512</v>
      </c>
      <c r="N975" s="14" t="s">
        <v>85</v>
      </c>
      <c r="O975" s="17" t="s">
        <v>86</v>
      </c>
      <c r="P975" s="17"/>
      <c r="Q975" s="17"/>
      <c r="R975" s="17"/>
      <c r="S975" s="17">
        <v>127.7778</v>
      </c>
      <c r="T975" s="17">
        <v>145.90639999999999</v>
      </c>
      <c r="U975" s="20">
        <f t="shared" si="67"/>
        <v>1.1418759753259173</v>
      </c>
      <c r="V975" s="41">
        <f t="shared" si="70"/>
        <v>14.187597532591735</v>
      </c>
      <c r="W975" s="17"/>
      <c r="X975" s="17" t="s">
        <v>58</v>
      </c>
      <c r="Y975" s="14">
        <v>738.64</v>
      </c>
      <c r="Z975" s="17" t="s">
        <v>58</v>
      </c>
      <c r="AA975" s="17"/>
      <c r="AB975" s="17" t="s">
        <v>57</v>
      </c>
      <c r="AC975" s="17">
        <v>2009</v>
      </c>
      <c r="AD975" s="17">
        <v>1</v>
      </c>
      <c r="AE975" s="17"/>
      <c r="AF975" s="17"/>
      <c r="AG975" s="14" t="s">
        <v>509</v>
      </c>
      <c r="AH975" s="14" t="str">
        <f t="shared" si="68"/>
        <v>NA</v>
      </c>
      <c r="AI975" s="17" t="str">
        <f t="shared" si="69"/>
        <v>NA</v>
      </c>
      <c r="AJ975" s="17"/>
      <c r="AK975" s="17" t="s">
        <v>56</v>
      </c>
      <c r="AL975" s="16" t="s">
        <v>510</v>
      </c>
      <c r="AM975" s="17">
        <v>2018</v>
      </c>
      <c r="AN975" s="15" t="s">
        <v>263</v>
      </c>
      <c r="AO975" s="15" t="s">
        <v>56</v>
      </c>
      <c r="AP975" s="15"/>
      <c r="AQ975" s="15" t="s">
        <v>56</v>
      </c>
      <c r="AR975" s="15" t="s">
        <v>58</v>
      </c>
      <c r="AS975" s="15" t="s">
        <v>62</v>
      </c>
      <c r="AT975" s="15"/>
      <c r="AU975" s="45" t="s">
        <v>511</v>
      </c>
      <c r="AV975" s="15"/>
      <c r="AW975" s="12" t="str">
        <f>B975&amp;C975&amp;L975&amp;M975&amp;O975&amp;U975&amp;AL975&amp;AM975</f>
        <v>MexicoCabo San Lucas Marine Protected Area, Espiritu Santo Marine Protected Area, Canales de Ballenas y Salsipuedes Reserve no-take areasEucidaris thouarsiislate pencil urchindensity1.14187597532592Ulate2018</v>
      </c>
    </row>
    <row r="976" spans="1:49" ht="14.25" customHeight="1" x14ac:dyDescent="0.35">
      <c r="A976" s="12">
        <v>975</v>
      </c>
      <c r="B976" s="15" t="s">
        <v>254</v>
      </c>
      <c r="C976" s="15" t="s">
        <v>507</v>
      </c>
      <c r="D976" s="15" t="s">
        <v>508</v>
      </c>
      <c r="E976" s="15" t="s">
        <v>136</v>
      </c>
      <c r="F976" s="16" t="s">
        <v>50</v>
      </c>
      <c r="G976" s="16" t="s">
        <v>51</v>
      </c>
      <c r="H976" s="16" t="s">
        <v>78</v>
      </c>
      <c r="I976" s="16" t="s">
        <v>53</v>
      </c>
      <c r="J976" s="17" t="s">
        <v>509</v>
      </c>
      <c r="K976" s="17"/>
      <c r="L976" s="17" t="s">
        <v>310</v>
      </c>
      <c r="M976" s="17" t="s">
        <v>513</v>
      </c>
      <c r="N976" s="14" t="s">
        <v>85</v>
      </c>
      <c r="O976" s="17" t="s">
        <v>86</v>
      </c>
      <c r="P976" s="17"/>
      <c r="Q976" s="17"/>
      <c r="R976" s="17"/>
      <c r="S976" s="17">
        <v>78.070179999999993</v>
      </c>
      <c r="T976" s="17">
        <v>33.040939999999999</v>
      </c>
      <c r="U976" s="20">
        <f t="shared" si="67"/>
        <v>0.42322100448596378</v>
      </c>
      <c r="V976" s="41">
        <f t="shared" si="70"/>
        <v>-57.67789955140362</v>
      </c>
      <c r="W976" s="17"/>
      <c r="X976" s="17" t="s">
        <v>58</v>
      </c>
      <c r="Y976" s="14">
        <v>738.64</v>
      </c>
      <c r="Z976" s="17" t="s">
        <v>58</v>
      </c>
      <c r="AA976" s="17"/>
      <c r="AB976" s="17" t="s">
        <v>57</v>
      </c>
      <c r="AC976" s="17">
        <v>2009</v>
      </c>
      <c r="AD976" s="17">
        <v>1</v>
      </c>
      <c r="AE976" s="17"/>
      <c r="AF976" s="17"/>
      <c r="AG976" s="14" t="s">
        <v>509</v>
      </c>
      <c r="AH976" s="14" t="str">
        <f t="shared" si="68"/>
        <v>NA</v>
      </c>
      <c r="AI976" s="17" t="str">
        <f t="shared" si="69"/>
        <v>NA</v>
      </c>
      <c r="AJ976" s="17"/>
      <c r="AK976" s="17" t="s">
        <v>56</v>
      </c>
      <c r="AL976" s="16" t="s">
        <v>510</v>
      </c>
      <c r="AM976" s="17">
        <v>2018</v>
      </c>
      <c r="AN976" s="15" t="s">
        <v>263</v>
      </c>
      <c r="AO976" s="15" t="s">
        <v>56</v>
      </c>
      <c r="AP976" s="15"/>
      <c r="AQ976" s="15" t="s">
        <v>56</v>
      </c>
      <c r="AR976" s="15" t="s">
        <v>58</v>
      </c>
      <c r="AS976" s="15" t="s">
        <v>62</v>
      </c>
      <c r="AT976" s="15"/>
      <c r="AU976" s="45" t="s">
        <v>511</v>
      </c>
      <c r="AV976" s="15"/>
      <c r="AW976" s="12" t="str">
        <f>B976&amp;C976&amp;L976&amp;M976&amp;O976&amp;U976&amp;AL976&amp;AM976</f>
        <v>MexicoCabo San Lucas Marine Protected Area, Espiritu Santo Marine Protected Area, Canales de Ballenas y Salsipuedes Reserve no-take areasTripneustes depressuswhite sea urchindensity0.423221004485964Ulate2018</v>
      </c>
    </row>
    <row r="977" spans="1:49" ht="14.25" customHeight="1" x14ac:dyDescent="0.35">
      <c r="A977" s="12">
        <v>976</v>
      </c>
      <c r="B977" s="15" t="s">
        <v>254</v>
      </c>
      <c r="C977" s="15" t="s">
        <v>507</v>
      </c>
      <c r="D977" s="15" t="s">
        <v>508</v>
      </c>
      <c r="E977" s="15" t="s">
        <v>136</v>
      </c>
      <c r="F977" s="16" t="s">
        <v>50</v>
      </c>
      <c r="G977" s="16" t="s">
        <v>51</v>
      </c>
      <c r="H977" s="16" t="s">
        <v>78</v>
      </c>
      <c r="I977" s="16" t="s">
        <v>53</v>
      </c>
      <c r="J977" s="17" t="s">
        <v>509</v>
      </c>
      <c r="K977" s="17"/>
      <c r="L977" s="17" t="s">
        <v>318</v>
      </c>
      <c r="M977" s="17" t="s">
        <v>514</v>
      </c>
      <c r="N977" s="14" t="s">
        <v>85</v>
      </c>
      <c r="O977" s="17" t="s">
        <v>86</v>
      </c>
      <c r="P977" s="17"/>
      <c r="Q977" s="17"/>
      <c r="R977" s="17"/>
      <c r="S977" s="17">
        <v>25.722539999999999</v>
      </c>
      <c r="T977" s="17">
        <v>26.589600000000001</v>
      </c>
      <c r="U977" s="20">
        <f t="shared" si="67"/>
        <v>1.0337081796743246</v>
      </c>
      <c r="V977" s="41">
        <f t="shared" si="70"/>
        <v>3.3708179674324601</v>
      </c>
      <c r="W977" s="17"/>
      <c r="X977" s="17" t="s">
        <v>58</v>
      </c>
      <c r="Y977" s="14">
        <v>738.64</v>
      </c>
      <c r="Z977" s="17" t="s">
        <v>58</v>
      </c>
      <c r="AA977" s="17"/>
      <c r="AB977" s="17" t="s">
        <v>57</v>
      </c>
      <c r="AC977" s="17">
        <v>2009</v>
      </c>
      <c r="AD977" s="17">
        <v>1</v>
      </c>
      <c r="AE977" s="17"/>
      <c r="AF977" s="17"/>
      <c r="AG977" s="14" t="s">
        <v>509</v>
      </c>
      <c r="AH977" s="14" t="str">
        <f t="shared" si="68"/>
        <v>NA</v>
      </c>
      <c r="AI977" s="17" t="str">
        <f t="shared" si="69"/>
        <v>NA</v>
      </c>
      <c r="AJ977" s="17"/>
      <c r="AK977" s="17" t="s">
        <v>56</v>
      </c>
      <c r="AL977" s="16" t="s">
        <v>510</v>
      </c>
      <c r="AM977" s="17">
        <v>2018</v>
      </c>
      <c r="AN977" s="15" t="s">
        <v>263</v>
      </c>
      <c r="AO977" s="15" t="s">
        <v>56</v>
      </c>
      <c r="AP977" s="15"/>
      <c r="AQ977" s="15" t="s">
        <v>56</v>
      </c>
      <c r="AR977" s="15" t="s">
        <v>58</v>
      </c>
      <c r="AS977" s="15" t="s">
        <v>62</v>
      </c>
      <c r="AT977" s="15"/>
      <c r="AU977" s="45" t="s">
        <v>511</v>
      </c>
      <c r="AV977" s="15"/>
      <c r="AW977" s="12" t="str">
        <f>B977&amp;C977&amp;L977&amp;M977&amp;O977&amp;U977&amp;AL977&amp;AM977</f>
        <v>MexicoCabo San Lucas Marine Protected Area, Espiritu Santo Marine Protected Area, Canales de Ballenas y Salsipuedes Reserve no-take areasPentaceraster cumingiPanamic cushion stardensity1.03370817967432Ulate2018</v>
      </c>
    </row>
    <row r="978" spans="1:49" ht="14.25" customHeight="1" x14ac:dyDescent="0.35">
      <c r="A978" s="12">
        <v>977</v>
      </c>
      <c r="B978" s="15" t="s">
        <v>254</v>
      </c>
      <c r="C978" s="15" t="s">
        <v>507</v>
      </c>
      <c r="D978" s="15" t="s">
        <v>508</v>
      </c>
      <c r="E978" s="15" t="s">
        <v>136</v>
      </c>
      <c r="F978" s="16" t="s">
        <v>50</v>
      </c>
      <c r="G978" s="16" t="s">
        <v>51</v>
      </c>
      <c r="H978" s="16" t="s">
        <v>78</v>
      </c>
      <c r="I978" s="16" t="s">
        <v>53</v>
      </c>
      <c r="J978" s="17" t="s">
        <v>509</v>
      </c>
      <c r="K978" s="17"/>
      <c r="L978" s="17" t="s">
        <v>515</v>
      </c>
      <c r="M978" s="17"/>
      <c r="N978" s="14" t="s">
        <v>85</v>
      </c>
      <c r="O978" s="17" t="s">
        <v>86</v>
      </c>
      <c r="P978" s="17"/>
      <c r="Q978" s="17"/>
      <c r="R978" s="17"/>
      <c r="S978" s="17">
        <v>49.132950000000001</v>
      </c>
      <c r="T978" s="17">
        <v>61.271680000000003</v>
      </c>
      <c r="U978" s="20">
        <f t="shared" si="67"/>
        <v>1.2470588474740476</v>
      </c>
      <c r="V978" s="41">
        <f t="shared" si="70"/>
        <v>24.70588474740476</v>
      </c>
      <c r="W978" s="17"/>
      <c r="X978" s="17" t="s">
        <v>58</v>
      </c>
      <c r="Y978" s="14">
        <v>738.64</v>
      </c>
      <c r="Z978" s="17" t="s">
        <v>58</v>
      </c>
      <c r="AA978" s="17"/>
      <c r="AB978" s="17" t="s">
        <v>57</v>
      </c>
      <c r="AC978" s="17">
        <v>2009</v>
      </c>
      <c r="AD978" s="17">
        <v>1</v>
      </c>
      <c r="AE978" s="17"/>
      <c r="AF978" s="17"/>
      <c r="AG978" s="14" t="s">
        <v>509</v>
      </c>
      <c r="AH978" s="14" t="str">
        <f t="shared" si="68"/>
        <v>NA</v>
      </c>
      <c r="AI978" s="17" t="str">
        <f t="shared" si="69"/>
        <v>NA</v>
      </c>
      <c r="AJ978" s="17"/>
      <c r="AK978" s="17" t="s">
        <v>56</v>
      </c>
      <c r="AL978" s="16" t="s">
        <v>510</v>
      </c>
      <c r="AM978" s="17">
        <v>2018</v>
      </c>
      <c r="AN978" s="15" t="s">
        <v>263</v>
      </c>
      <c r="AO978" s="15" t="s">
        <v>56</v>
      </c>
      <c r="AP978" s="15"/>
      <c r="AQ978" s="15" t="s">
        <v>56</v>
      </c>
      <c r="AR978" s="15" t="s">
        <v>58</v>
      </c>
      <c r="AS978" s="15" t="s">
        <v>62</v>
      </c>
      <c r="AT978" s="15"/>
      <c r="AU978" s="45" t="s">
        <v>511</v>
      </c>
      <c r="AV978" s="15"/>
      <c r="AW978" s="12" t="str">
        <f>B978&amp;C978&amp;L978&amp;M978&amp;O978&amp;U978&amp;AL978&amp;AM978</f>
        <v>MexicoCabo San Lucas Marine Protected Area, Espiritu Santo Marine Protected Area, Canales de Ballenas y Salsipuedes Reserve no-take areasPharia pyramidatusdensity1.24705884747405Ulate2018</v>
      </c>
    </row>
    <row r="979" spans="1:49" ht="14.25" customHeight="1" x14ac:dyDescent="0.35">
      <c r="A979" s="12">
        <v>978</v>
      </c>
      <c r="B979" s="15" t="s">
        <v>254</v>
      </c>
      <c r="C979" s="15" t="s">
        <v>507</v>
      </c>
      <c r="D979" s="15" t="s">
        <v>508</v>
      </c>
      <c r="E979" s="15" t="s">
        <v>136</v>
      </c>
      <c r="F979" s="16" t="s">
        <v>50</v>
      </c>
      <c r="G979" s="16" t="s">
        <v>51</v>
      </c>
      <c r="H979" s="16" t="s">
        <v>78</v>
      </c>
      <c r="I979" s="16" t="s">
        <v>53</v>
      </c>
      <c r="J979" s="17" t="s">
        <v>509</v>
      </c>
      <c r="K979" s="17"/>
      <c r="L979" s="17" t="s">
        <v>316</v>
      </c>
      <c r="M979" s="17" t="s">
        <v>516</v>
      </c>
      <c r="N979" s="14" t="s">
        <v>85</v>
      </c>
      <c r="O979" s="17" t="s">
        <v>86</v>
      </c>
      <c r="P979" s="17"/>
      <c r="Q979" s="17"/>
      <c r="R979" s="17"/>
      <c r="S979" s="17">
        <v>166.185</v>
      </c>
      <c r="T979" s="17">
        <v>116.76300000000001</v>
      </c>
      <c r="U979" s="20">
        <f t="shared" si="67"/>
        <v>0.70260853867677586</v>
      </c>
      <c r="V979" s="41">
        <f t="shared" si="70"/>
        <v>-29.739146132322414</v>
      </c>
      <c r="W979" s="17"/>
      <c r="X979" s="17" t="s">
        <v>58</v>
      </c>
      <c r="Y979" s="14">
        <v>738.64</v>
      </c>
      <c r="Z979" s="17" t="s">
        <v>58</v>
      </c>
      <c r="AA979" s="17"/>
      <c r="AB979" s="17" t="s">
        <v>57</v>
      </c>
      <c r="AC979" s="17">
        <v>2009</v>
      </c>
      <c r="AD979" s="17">
        <v>1</v>
      </c>
      <c r="AE979" s="17"/>
      <c r="AF979" s="17"/>
      <c r="AG979" s="14" t="s">
        <v>509</v>
      </c>
      <c r="AH979" s="14" t="str">
        <f t="shared" si="68"/>
        <v>NA</v>
      </c>
      <c r="AI979" s="17" t="str">
        <f t="shared" si="69"/>
        <v>NA</v>
      </c>
      <c r="AJ979" s="17"/>
      <c r="AK979" s="17" t="s">
        <v>56</v>
      </c>
      <c r="AL979" s="16" t="s">
        <v>510</v>
      </c>
      <c r="AM979" s="17">
        <v>2018</v>
      </c>
      <c r="AN979" s="15" t="s">
        <v>263</v>
      </c>
      <c r="AO979" s="15" t="s">
        <v>56</v>
      </c>
      <c r="AP979" s="15"/>
      <c r="AQ979" s="15" t="s">
        <v>56</v>
      </c>
      <c r="AR979" s="15" t="s">
        <v>58</v>
      </c>
      <c r="AS979" s="15" t="s">
        <v>62</v>
      </c>
      <c r="AT979" s="15"/>
      <c r="AU979" s="45" t="s">
        <v>511</v>
      </c>
      <c r="AV979" s="15"/>
      <c r="AW979" s="12" t="str">
        <f>B979&amp;C979&amp;L979&amp;M979&amp;O979&amp;U979&amp;AL979&amp;AM979</f>
        <v>MexicoCabo San Lucas Marine Protected Area, Espiritu Santo Marine Protected Area, Canales de Ballenas y Salsipuedes Reserve no-take areasPhataria unifascialisblue seastardensity0.702608538676776Ulate2018</v>
      </c>
    </row>
    <row r="980" spans="1:49" ht="14.25" customHeight="1" x14ac:dyDescent="0.35">
      <c r="A980" s="12">
        <v>979</v>
      </c>
      <c r="B980" s="15" t="s">
        <v>254</v>
      </c>
      <c r="C980" s="15" t="s">
        <v>507</v>
      </c>
      <c r="D980" s="15" t="s">
        <v>508</v>
      </c>
      <c r="E980" s="15" t="s">
        <v>136</v>
      </c>
      <c r="F980" s="16" t="s">
        <v>50</v>
      </c>
      <c r="G980" s="16" t="s">
        <v>51</v>
      </c>
      <c r="H980" s="16" t="s">
        <v>78</v>
      </c>
      <c r="I980" s="16" t="s">
        <v>53</v>
      </c>
      <c r="J980" s="17" t="s">
        <v>509</v>
      </c>
      <c r="K980" s="17"/>
      <c r="L980" s="17"/>
      <c r="M980" s="17" t="s">
        <v>517</v>
      </c>
      <c r="N980" s="14" t="s">
        <v>407</v>
      </c>
      <c r="O980" s="17" t="s">
        <v>70</v>
      </c>
      <c r="P980" s="17"/>
      <c r="Q980" s="17"/>
      <c r="R980" s="17"/>
      <c r="S980" s="17">
        <v>57.5</v>
      </c>
      <c r="T980" s="17">
        <v>29.134620000000002</v>
      </c>
      <c r="U980" s="20">
        <f t="shared" si="67"/>
        <v>0.50668904347826094</v>
      </c>
      <c r="V980" s="41">
        <f t="shared" si="70"/>
        <v>-49.331095652173907</v>
      </c>
      <c r="W980" s="17"/>
      <c r="X980" s="17" t="s">
        <v>58</v>
      </c>
      <c r="Y980" s="14">
        <v>738.64</v>
      </c>
      <c r="Z980" s="17" t="s">
        <v>58</v>
      </c>
      <c r="AA980" s="17"/>
      <c r="AB980" s="17" t="s">
        <v>57</v>
      </c>
      <c r="AC980" s="17">
        <v>2009</v>
      </c>
      <c r="AD980" s="17">
        <v>1</v>
      </c>
      <c r="AE980" s="17"/>
      <c r="AF980" s="17"/>
      <c r="AG980" s="14" t="s">
        <v>509</v>
      </c>
      <c r="AH980" s="14" t="str">
        <f t="shared" si="68"/>
        <v>NA</v>
      </c>
      <c r="AI980" s="17" t="str">
        <f t="shared" si="69"/>
        <v>NA</v>
      </c>
      <c r="AJ980" s="17"/>
      <c r="AK980" s="17" t="s">
        <v>56</v>
      </c>
      <c r="AL980" s="16" t="s">
        <v>510</v>
      </c>
      <c r="AM980" s="17">
        <v>2018</v>
      </c>
      <c r="AN980" s="15" t="s">
        <v>263</v>
      </c>
      <c r="AO980" s="15" t="s">
        <v>56</v>
      </c>
      <c r="AP980" s="15"/>
      <c r="AQ980" s="15" t="s">
        <v>56</v>
      </c>
      <c r="AR980" s="15" t="s">
        <v>58</v>
      </c>
      <c r="AS980" s="15" t="s">
        <v>62</v>
      </c>
      <c r="AT980" s="15"/>
      <c r="AU980" s="45" t="s">
        <v>511</v>
      </c>
      <c r="AV980" s="15"/>
      <c r="AW980" s="12" t="str">
        <f>B980&amp;C980&amp;L980&amp;M980&amp;O980&amp;U980&amp;AL980&amp;AM980</f>
        <v>MexicoCabo San Lucas Marine Protected Area, Espiritu Santo Marine Protected Area, Canales de Ballenas y Salsipuedes Reserve no-take areasEchinoderm predatory fishbiomassden0.506689043478261Ulate2018</v>
      </c>
    </row>
    <row r="981" spans="1:49" ht="14.25" customHeight="1" x14ac:dyDescent="0.35">
      <c r="A981" s="12">
        <v>980</v>
      </c>
      <c r="B981" s="15" t="s">
        <v>254</v>
      </c>
      <c r="C981" s="15" t="s">
        <v>507</v>
      </c>
      <c r="D981" s="15" t="s">
        <v>508</v>
      </c>
      <c r="E981" s="15" t="s">
        <v>136</v>
      </c>
      <c r="F981" s="16" t="s">
        <v>50</v>
      </c>
      <c r="G981" s="16" t="s">
        <v>51</v>
      </c>
      <c r="H981" s="16" t="s">
        <v>78</v>
      </c>
      <c r="I981" s="16" t="s">
        <v>53</v>
      </c>
      <c r="J981" s="17" t="s">
        <v>509</v>
      </c>
      <c r="K981" s="17"/>
      <c r="L981" s="17"/>
      <c r="M981" s="17" t="s">
        <v>518</v>
      </c>
      <c r="N981" s="14" t="s">
        <v>407</v>
      </c>
      <c r="O981" s="17" t="s">
        <v>70</v>
      </c>
      <c r="P981" s="17"/>
      <c r="Q981" s="17"/>
      <c r="R981" s="17"/>
      <c r="S981" s="17">
        <v>31.057690000000001</v>
      </c>
      <c r="T981" s="17">
        <v>10.38462</v>
      </c>
      <c r="U981" s="20">
        <f t="shared" si="67"/>
        <v>0.33436549852870578</v>
      </c>
      <c r="V981" s="41">
        <f t="shared" si="70"/>
        <v>-66.563450147129416</v>
      </c>
      <c r="W981" s="17"/>
      <c r="X981" s="17" t="s">
        <v>58</v>
      </c>
      <c r="Y981" s="14">
        <v>738.64</v>
      </c>
      <c r="Z981" s="17" t="s">
        <v>58</v>
      </c>
      <c r="AA981" s="17"/>
      <c r="AB981" s="17" t="s">
        <v>57</v>
      </c>
      <c r="AC981" s="17">
        <v>2009</v>
      </c>
      <c r="AD981" s="17">
        <v>1</v>
      </c>
      <c r="AE981" s="17"/>
      <c r="AF981" s="17"/>
      <c r="AG981" s="14" t="s">
        <v>509</v>
      </c>
      <c r="AH981" s="14" t="str">
        <f t="shared" si="68"/>
        <v>NA</v>
      </c>
      <c r="AI981" s="17" t="str">
        <f t="shared" si="69"/>
        <v>NA</v>
      </c>
      <c r="AJ981" s="17"/>
      <c r="AK981" s="17" t="s">
        <v>56</v>
      </c>
      <c r="AL981" s="16" t="s">
        <v>510</v>
      </c>
      <c r="AM981" s="17">
        <v>2018</v>
      </c>
      <c r="AN981" s="15" t="s">
        <v>263</v>
      </c>
      <c r="AO981" s="15" t="s">
        <v>56</v>
      </c>
      <c r="AP981" s="15"/>
      <c r="AQ981" s="15" t="s">
        <v>56</v>
      </c>
      <c r="AR981" s="15" t="s">
        <v>58</v>
      </c>
      <c r="AS981" s="15" t="s">
        <v>62</v>
      </c>
      <c r="AT981" s="15"/>
      <c r="AU981" s="45" t="s">
        <v>511</v>
      </c>
      <c r="AV981" s="15"/>
      <c r="AW981" s="12" t="str">
        <f>B981&amp;C981&amp;L981&amp;M981&amp;O981&amp;U981&amp;AL981&amp;AM981</f>
        <v>MexicoCabo San Lucas Marine Protected Area, Espiritu Santo Marine Protected Area, Canales de Ballenas y Salsipuedes Reserve no-take areasMacroinvertivore fishbiomassden0.334365498528706Ulate2018</v>
      </c>
    </row>
    <row r="982" spans="1:49" ht="14.25" customHeight="1" x14ac:dyDescent="0.35">
      <c r="A982" s="12">
        <v>981</v>
      </c>
      <c r="B982" s="15" t="s">
        <v>254</v>
      </c>
      <c r="C982" s="15" t="s">
        <v>507</v>
      </c>
      <c r="D982" s="15" t="s">
        <v>508</v>
      </c>
      <c r="E982" s="15" t="s">
        <v>136</v>
      </c>
      <c r="F982" s="16" t="s">
        <v>50</v>
      </c>
      <c r="G982" s="16" t="s">
        <v>51</v>
      </c>
      <c r="H982" s="16" t="s">
        <v>78</v>
      </c>
      <c r="I982" s="16" t="s">
        <v>53</v>
      </c>
      <c r="J982" s="17" t="s">
        <v>509</v>
      </c>
      <c r="K982" s="17"/>
      <c r="L982" s="17"/>
      <c r="M982" s="17" t="s">
        <v>519</v>
      </c>
      <c r="N982" s="14" t="s">
        <v>407</v>
      </c>
      <c r="O982" s="17" t="s">
        <v>70</v>
      </c>
      <c r="P982" s="17"/>
      <c r="Q982" s="17"/>
      <c r="R982" s="17"/>
      <c r="S982" s="17">
        <v>23.365379999999998</v>
      </c>
      <c r="T982" s="17">
        <v>15.192310000000001</v>
      </c>
      <c r="U982" s="20">
        <f t="shared" si="67"/>
        <v>0.65020598851805544</v>
      </c>
      <c r="V982" s="41">
        <f t="shared" si="70"/>
        <v>-34.979401148194455</v>
      </c>
      <c r="W982" s="17"/>
      <c r="X982" s="17" t="s">
        <v>58</v>
      </c>
      <c r="Y982" s="14">
        <v>738.64</v>
      </c>
      <c r="Z982" s="17" t="s">
        <v>58</v>
      </c>
      <c r="AA982" s="17"/>
      <c r="AB982" s="17" t="s">
        <v>57</v>
      </c>
      <c r="AC982" s="17">
        <v>2009</v>
      </c>
      <c r="AD982" s="17">
        <v>1</v>
      </c>
      <c r="AE982" s="17"/>
      <c r="AF982" s="17"/>
      <c r="AG982" s="14" t="s">
        <v>509</v>
      </c>
      <c r="AH982" s="14" t="str">
        <f t="shared" si="68"/>
        <v>NA</v>
      </c>
      <c r="AI982" s="17" t="str">
        <f t="shared" si="69"/>
        <v>NA</v>
      </c>
      <c r="AJ982" s="17"/>
      <c r="AK982" s="17" t="s">
        <v>56</v>
      </c>
      <c r="AL982" s="16" t="s">
        <v>510</v>
      </c>
      <c r="AM982" s="17">
        <v>2018</v>
      </c>
      <c r="AN982" s="15" t="s">
        <v>263</v>
      </c>
      <c r="AO982" s="15" t="s">
        <v>56</v>
      </c>
      <c r="AP982" s="15"/>
      <c r="AQ982" s="15" t="s">
        <v>56</v>
      </c>
      <c r="AR982" s="15" t="s">
        <v>58</v>
      </c>
      <c r="AS982" s="15" t="s">
        <v>62</v>
      </c>
      <c r="AT982" s="15"/>
      <c r="AU982" s="45" t="s">
        <v>511</v>
      </c>
      <c r="AV982" s="15"/>
      <c r="AW982" s="12" t="str">
        <f>B982&amp;C982&amp;L982&amp;M982&amp;O982&amp;U982&amp;AL982&amp;AM982</f>
        <v>MexicoCabo San Lucas Marine Protected Area, Espiritu Santo Marine Protected Area, Canales de Ballenas y Salsipuedes Reserve no-take areasPiscivore fishbiomassden0.650205988518055Ulate2018</v>
      </c>
    </row>
    <row r="983" spans="1:49" ht="14.25" customHeight="1" x14ac:dyDescent="0.35">
      <c r="A983" s="12">
        <v>982</v>
      </c>
      <c r="B983" s="15" t="s">
        <v>254</v>
      </c>
      <c r="C983" s="15" t="s">
        <v>507</v>
      </c>
      <c r="D983" s="15" t="s">
        <v>508</v>
      </c>
      <c r="E983" s="15" t="s">
        <v>136</v>
      </c>
      <c r="F983" s="16" t="s">
        <v>50</v>
      </c>
      <c r="G983" s="16" t="s">
        <v>51</v>
      </c>
      <c r="H983" s="16" t="s">
        <v>78</v>
      </c>
      <c r="I983" s="16" t="s">
        <v>53</v>
      </c>
      <c r="J983" s="17" t="s">
        <v>509</v>
      </c>
      <c r="K983" s="17"/>
      <c r="L983" s="17"/>
      <c r="M983" s="17" t="s">
        <v>726</v>
      </c>
      <c r="N983" s="14" t="s">
        <v>407</v>
      </c>
      <c r="O983" s="17" t="s">
        <v>70</v>
      </c>
      <c r="P983" s="17"/>
      <c r="Q983" s="17"/>
      <c r="R983" s="17"/>
      <c r="S983" s="17">
        <v>72.884619999999998</v>
      </c>
      <c r="T983" s="17">
        <v>46.923079999999999</v>
      </c>
      <c r="U983" s="20">
        <f t="shared" si="67"/>
        <v>0.64379947374356894</v>
      </c>
      <c r="V983" s="41">
        <f t="shared" si="70"/>
        <v>-35.620052625643105</v>
      </c>
      <c r="W983" s="17"/>
      <c r="X983" s="17" t="s">
        <v>58</v>
      </c>
      <c r="Y983" s="14">
        <v>738.64</v>
      </c>
      <c r="Z983" s="17" t="s">
        <v>58</v>
      </c>
      <c r="AA983" s="17"/>
      <c r="AB983" s="17" t="s">
        <v>57</v>
      </c>
      <c r="AC983" s="17">
        <v>2009</v>
      </c>
      <c r="AD983" s="17">
        <v>1</v>
      </c>
      <c r="AE983" s="17"/>
      <c r="AF983" s="17"/>
      <c r="AG983" s="14" t="s">
        <v>509</v>
      </c>
      <c r="AH983" s="14" t="str">
        <f t="shared" si="68"/>
        <v>NA</v>
      </c>
      <c r="AI983" s="17" t="str">
        <f t="shared" si="69"/>
        <v>NA</v>
      </c>
      <c r="AJ983" s="17"/>
      <c r="AK983" s="17" t="s">
        <v>56</v>
      </c>
      <c r="AL983" s="16" t="s">
        <v>510</v>
      </c>
      <c r="AM983" s="17">
        <v>2018</v>
      </c>
      <c r="AN983" s="15" t="s">
        <v>263</v>
      </c>
      <c r="AO983" s="15" t="s">
        <v>56</v>
      </c>
      <c r="AP983" s="15"/>
      <c r="AQ983" s="15" t="s">
        <v>56</v>
      </c>
      <c r="AR983" s="15" t="s">
        <v>58</v>
      </c>
      <c r="AS983" s="15" t="s">
        <v>62</v>
      </c>
      <c r="AT983" s="15"/>
      <c r="AU983" s="45" t="s">
        <v>511</v>
      </c>
      <c r="AV983" s="15"/>
      <c r="AW983" s="12" t="str">
        <f>B983&amp;C983&amp;L983&amp;M983&amp;O983&amp;U983&amp;AL983&amp;AM983</f>
        <v>MexicoCabo San Lucas Marine Protected Area, Espiritu Santo Marine Protected Area, Canales de Ballenas y Salsipuedes Reserve no-take areasherbivorous fishbiomassden0.643799473743569Ulate2018</v>
      </c>
    </row>
    <row r="984" spans="1:49" ht="14.25" customHeight="1" x14ac:dyDescent="0.35">
      <c r="A984" s="12">
        <v>983</v>
      </c>
      <c r="B984" s="15" t="s">
        <v>254</v>
      </c>
      <c r="C984" s="15" t="s">
        <v>507</v>
      </c>
      <c r="D984" s="15" t="s">
        <v>508</v>
      </c>
      <c r="E984" s="15" t="s">
        <v>136</v>
      </c>
      <c r="F984" s="13" t="s">
        <v>50</v>
      </c>
      <c r="G984" s="13" t="s">
        <v>51</v>
      </c>
      <c r="H984" s="16" t="s">
        <v>78</v>
      </c>
      <c r="I984" s="16" t="s">
        <v>53</v>
      </c>
      <c r="J984" s="17" t="s">
        <v>509</v>
      </c>
      <c r="K984" s="17"/>
      <c r="L984" s="17"/>
      <c r="M984" s="17" t="s">
        <v>520</v>
      </c>
      <c r="N984" s="17" t="s">
        <v>407</v>
      </c>
      <c r="O984" s="17" t="s">
        <v>70</v>
      </c>
      <c r="P984" s="17"/>
      <c r="Q984" s="17"/>
      <c r="R984" s="17"/>
      <c r="S984" s="17">
        <v>33.461539999999999</v>
      </c>
      <c r="T984" s="17">
        <v>18.557690000000001</v>
      </c>
      <c r="U984" s="20">
        <f t="shared" si="67"/>
        <v>0.55459760668516755</v>
      </c>
      <c r="V984" s="41">
        <f t="shared" si="70"/>
        <v>-44.540239331483242</v>
      </c>
      <c r="W984" s="17"/>
      <c r="X984" s="17" t="s">
        <v>58</v>
      </c>
      <c r="Y984" s="14">
        <v>738.64</v>
      </c>
      <c r="Z984" s="17" t="s">
        <v>58</v>
      </c>
      <c r="AA984" s="17"/>
      <c r="AB984" s="17" t="s">
        <v>57</v>
      </c>
      <c r="AC984" s="17">
        <v>2009</v>
      </c>
      <c r="AD984" s="17">
        <v>1</v>
      </c>
      <c r="AE984" s="17"/>
      <c r="AF984" s="17"/>
      <c r="AG984" s="14" t="s">
        <v>509</v>
      </c>
      <c r="AH984" s="14" t="str">
        <f t="shared" si="68"/>
        <v>NA</v>
      </c>
      <c r="AI984" s="17" t="str">
        <f t="shared" si="69"/>
        <v>NA</v>
      </c>
      <c r="AJ984" s="17"/>
      <c r="AK984" s="17" t="s">
        <v>56</v>
      </c>
      <c r="AL984" s="16" t="s">
        <v>510</v>
      </c>
      <c r="AM984" s="17">
        <v>2018</v>
      </c>
      <c r="AN984" s="15" t="s">
        <v>263</v>
      </c>
      <c r="AO984" s="15" t="s">
        <v>56</v>
      </c>
      <c r="AP984" s="15"/>
      <c r="AQ984" s="15" t="s">
        <v>56</v>
      </c>
      <c r="AR984" s="15" t="s">
        <v>58</v>
      </c>
      <c r="AS984" s="15" t="s">
        <v>62</v>
      </c>
      <c r="AT984" s="15"/>
      <c r="AU984" s="45" t="s">
        <v>511</v>
      </c>
      <c r="AV984" s="15"/>
      <c r="AW984" s="12" t="str">
        <f>B984&amp;C984&amp;L984&amp;M984&amp;O984&amp;U984&amp;AL984&amp;AM984</f>
        <v>MexicoCabo San Lucas Marine Protected Area, Espiritu Santo Marine Protected Area, Canales de Ballenas y Salsipuedes Reserve no-take areasZooplanktivore fishbiomassden0.554597606685168Ulate2018</v>
      </c>
    </row>
    <row r="985" spans="1:49" ht="14.25" customHeight="1" x14ac:dyDescent="0.35">
      <c r="A985" s="12">
        <v>984</v>
      </c>
      <c r="B985" s="12" t="s">
        <v>75</v>
      </c>
      <c r="C985" s="12" t="s">
        <v>2029</v>
      </c>
      <c r="D985" s="12" t="s">
        <v>775</v>
      </c>
      <c r="E985" s="12" t="s">
        <v>2030</v>
      </c>
      <c r="F985" s="13" t="s">
        <v>50</v>
      </c>
      <c r="G985" s="13" t="s">
        <v>51</v>
      </c>
      <c r="H985" s="13" t="s">
        <v>108</v>
      </c>
      <c r="I985" s="13" t="s">
        <v>53</v>
      </c>
      <c r="J985" s="17"/>
      <c r="K985" s="17"/>
      <c r="L985" s="14" t="s">
        <v>185</v>
      </c>
      <c r="M985" s="17" t="s">
        <v>2031</v>
      </c>
      <c r="N985" s="17" t="s">
        <v>288</v>
      </c>
      <c r="O985" s="17" t="s">
        <v>101</v>
      </c>
      <c r="P985" s="14"/>
      <c r="Q985" s="14"/>
      <c r="R985" s="14"/>
      <c r="S985" s="14">
        <v>2.22689</v>
      </c>
      <c r="T985" s="14">
        <v>2.6719200000000001</v>
      </c>
      <c r="U985" s="19">
        <f t="shared" si="67"/>
        <v>1.1998437282488135</v>
      </c>
      <c r="V985" s="41">
        <f t="shared" si="70"/>
        <v>19.984372824881348</v>
      </c>
      <c r="W985" s="14"/>
      <c r="X985" s="14" t="s">
        <v>58</v>
      </c>
      <c r="Y985" s="14">
        <v>185</v>
      </c>
      <c r="Z985" s="14" t="s">
        <v>56</v>
      </c>
      <c r="AA985" s="14"/>
      <c r="AB985" s="14" t="s">
        <v>57</v>
      </c>
      <c r="AC985" s="14">
        <v>1998</v>
      </c>
      <c r="AD985" s="14">
        <v>14</v>
      </c>
      <c r="AE985" s="14"/>
      <c r="AF985" s="14"/>
      <c r="AG985" s="14">
        <v>1997</v>
      </c>
      <c r="AH985" s="14">
        <f t="shared" si="68"/>
        <v>1</v>
      </c>
      <c r="AI985" s="17">
        <f t="shared" si="69"/>
        <v>15</v>
      </c>
      <c r="AJ985" s="14"/>
      <c r="AK985" s="14" t="s">
        <v>58</v>
      </c>
      <c r="AL985" s="13" t="s">
        <v>2032</v>
      </c>
      <c r="AM985" s="14">
        <v>2014</v>
      </c>
      <c r="AN985" s="12" t="s">
        <v>160</v>
      </c>
      <c r="AO985" s="12" t="s">
        <v>56</v>
      </c>
      <c r="AP985" s="12"/>
      <c r="AQ985" s="12" t="s">
        <v>56</v>
      </c>
      <c r="AR985" s="12" t="s">
        <v>58</v>
      </c>
      <c r="AS985" s="12" t="s">
        <v>62</v>
      </c>
      <c r="AT985" s="12"/>
      <c r="AU985" s="45" t="s">
        <v>2033</v>
      </c>
      <c r="AV985" s="15"/>
      <c r="AW985" s="12" t="str">
        <f>B985&amp;C985&amp;L985&amp;M985&amp;O985&amp;U985&amp;AL985&amp;AM985</f>
        <v>United StatesWestern Sambo Reserve, Eastern Sambo Reserve, South Carysfort Reserve no-take areasScleractiniahard coralscover1.19984372824881Toth2014</v>
      </c>
    </row>
    <row r="986" spans="1:49" ht="14.25" customHeight="1" x14ac:dyDescent="0.35">
      <c r="A986" s="12">
        <v>985</v>
      </c>
      <c r="B986" s="12" t="s">
        <v>75</v>
      </c>
      <c r="C986" s="12" t="s">
        <v>2029</v>
      </c>
      <c r="D986" s="12" t="s">
        <v>775</v>
      </c>
      <c r="E986" s="12" t="s">
        <v>2030</v>
      </c>
      <c r="F986" s="13" t="s">
        <v>50</v>
      </c>
      <c r="G986" s="13" t="s">
        <v>51</v>
      </c>
      <c r="H986" s="13" t="s">
        <v>108</v>
      </c>
      <c r="I986" s="13" t="s">
        <v>53</v>
      </c>
      <c r="J986" s="17"/>
      <c r="K986" s="14"/>
      <c r="L986" s="14"/>
      <c r="M986" s="14" t="s">
        <v>291</v>
      </c>
      <c r="N986" s="53" t="s">
        <v>98</v>
      </c>
      <c r="O986" s="17" t="s">
        <v>101</v>
      </c>
      <c r="P986" s="14"/>
      <c r="Q986" s="14"/>
      <c r="R986" s="14"/>
      <c r="S986" s="14">
        <v>41.703899999999997</v>
      </c>
      <c r="T986" s="14">
        <v>46.083739999999999</v>
      </c>
      <c r="U986" s="19">
        <f t="shared" si="67"/>
        <v>1.1050223120619416</v>
      </c>
      <c r="V986" s="41">
        <f t="shared" si="70"/>
        <v>10.502231206194157</v>
      </c>
      <c r="W986" s="14"/>
      <c r="X986" s="14" t="s">
        <v>58</v>
      </c>
      <c r="Y986" s="14">
        <v>185</v>
      </c>
      <c r="Z986" s="14" t="s">
        <v>56</v>
      </c>
      <c r="AA986" s="14"/>
      <c r="AB986" s="14" t="s">
        <v>57</v>
      </c>
      <c r="AC986" s="14">
        <v>1998</v>
      </c>
      <c r="AD986" s="14">
        <v>14</v>
      </c>
      <c r="AE986" s="14"/>
      <c r="AF986" s="14"/>
      <c r="AG986" s="14">
        <v>1997</v>
      </c>
      <c r="AH986" s="14">
        <f t="shared" si="68"/>
        <v>1</v>
      </c>
      <c r="AI986" s="17">
        <f t="shared" si="69"/>
        <v>15</v>
      </c>
      <c r="AJ986" s="14"/>
      <c r="AK986" s="14" t="s">
        <v>58</v>
      </c>
      <c r="AL986" s="13" t="s">
        <v>2032</v>
      </c>
      <c r="AM986" s="14">
        <v>2014</v>
      </c>
      <c r="AN986" s="12" t="s">
        <v>160</v>
      </c>
      <c r="AO986" s="12" t="s">
        <v>56</v>
      </c>
      <c r="AP986" s="12"/>
      <c r="AQ986" s="12" t="s">
        <v>56</v>
      </c>
      <c r="AR986" s="12" t="s">
        <v>58</v>
      </c>
      <c r="AS986" s="12" t="s">
        <v>62</v>
      </c>
      <c r="AT986" s="12"/>
      <c r="AU986" s="45" t="s">
        <v>2033</v>
      </c>
      <c r="AV986" s="15"/>
      <c r="AW986" s="12" t="str">
        <f>B986&amp;C986&amp;L986&amp;M986&amp;O986&amp;U986&amp;AL986&amp;AM986</f>
        <v>United StatesWestern Sambo Reserve, Eastern Sambo Reserve, South Carysfort Reserve no-take areasMacroalgaecover1.10502231206194Toth2014</v>
      </c>
    </row>
    <row r="987" spans="1:49" ht="14.25" customHeight="1" x14ac:dyDescent="0.35">
      <c r="A987" s="12">
        <v>986</v>
      </c>
      <c r="B987" s="15" t="s">
        <v>75</v>
      </c>
      <c r="C987" s="15" t="s">
        <v>2029</v>
      </c>
      <c r="D987" s="15" t="s">
        <v>775</v>
      </c>
      <c r="E987" s="15" t="s">
        <v>2030</v>
      </c>
      <c r="F987" s="16" t="s">
        <v>50</v>
      </c>
      <c r="G987" s="16" t="s">
        <v>51</v>
      </c>
      <c r="H987" s="16" t="s">
        <v>108</v>
      </c>
      <c r="I987" s="16" t="s">
        <v>53</v>
      </c>
      <c r="J987" s="17"/>
      <c r="K987" s="17"/>
      <c r="L987" s="40"/>
      <c r="M987" s="17" t="s">
        <v>2034</v>
      </c>
      <c r="N987" s="53" t="s">
        <v>98</v>
      </c>
      <c r="O987" s="17" t="s">
        <v>101</v>
      </c>
      <c r="P987" s="17"/>
      <c r="Q987" s="17"/>
      <c r="R987" s="17"/>
      <c r="S987" s="17">
        <v>53.59796</v>
      </c>
      <c r="T987" s="17">
        <v>46.170279999999998</v>
      </c>
      <c r="U987" s="20">
        <f t="shared" si="67"/>
        <v>0.86141860623053557</v>
      </c>
      <c r="V987" s="41">
        <f t="shared" si="70"/>
        <v>-13.858139376946443</v>
      </c>
      <c r="W987" s="17"/>
      <c r="X987" s="17" t="s">
        <v>58</v>
      </c>
      <c r="Y987" s="14">
        <v>185</v>
      </c>
      <c r="Z987" s="17" t="s">
        <v>56</v>
      </c>
      <c r="AA987" s="17"/>
      <c r="AB987" s="17" t="s">
        <v>57</v>
      </c>
      <c r="AC987" s="17">
        <v>1998</v>
      </c>
      <c r="AD987" s="17">
        <v>14</v>
      </c>
      <c r="AE987" s="17"/>
      <c r="AF987" s="17"/>
      <c r="AG987" s="14">
        <v>1997</v>
      </c>
      <c r="AH987" s="14">
        <f t="shared" si="68"/>
        <v>1</v>
      </c>
      <c r="AI987" s="17">
        <f t="shared" si="69"/>
        <v>15</v>
      </c>
      <c r="AJ987" s="17"/>
      <c r="AK987" s="17" t="s">
        <v>58</v>
      </c>
      <c r="AL987" s="16" t="s">
        <v>2032</v>
      </c>
      <c r="AM987" s="17">
        <v>2014</v>
      </c>
      <c r="AN987" s="15" t="s">
        <v>160</v>
      </c>
      <c r="AO987" s="15" t="s">
        <v>56</v>
      </c>
      <c r="AP987" s="15"/>
      <c r="AQ987" s="15" t="s">
        <v>56</v>
      </c>
      <c r="AR987" s="15" t="s">
        <v>58</v>
      </c>
      <c r="AS987" s="15" t="s">
        <v>62</v>
      </c>
      <c r="AT987" s="15"/>
      <c r="AU987" s="45" t="s">
        <v>2033</v>
      </c>
      <c r="AV987" s="15"/>
      <c r="AW987" s="12" t="str">
        <f>B987&amp;C987&amp;L987&amp;M987&amp;O987&amp;U987&amp;AL987&amp;AM987</f>
        <v>United StatesWestern Sambo Reserve, Eastern Sambo Reserve, South Carysfort Reserve no-take areasCTBcover0.861418606230536Toth2014</v>
      </c>
    </row>
    <row r="988" spans="1:49" ht="14.25" customHeight="1" x14ac:dyDescent="0.35">
      <c r="A988" s="12">
        <v>987</v>
      </c>
      <c r="B988" s="15" t="s">
        <v>599</v>
      </c>
      <c r="C988" s="15" t="s">
        <v>953</v>
      </c>
      <c r="D988" s="15" t="s">
        <v>953</v>
      </c>
      <c r="E988" s="15" t="s">
        <v>954</v>
      </c>
      <c r="F988" s="13" t="s">
        <v>50</v>
      </c>
      <c r="G988" s="13" t="s">
        <v>51</v>
      </c>
      <c r="H988" s="16" t="s">
        <v>78</v>
      </c>
      <c r="I988" s="16" t="s">
        <v>156</v>
      </c>
      <c r="J988" s="17">
        <v>1.5</v>
      </c>
      <c r="K988" s="17"/>
      <c r="L988" s="17" t="s">
        <v>902</v>
      </c>
      <c r="M988" s="17" t="s">
        <v>620</v>
      </c>
      <c r="N988" s="17" t="s">
        <v>120</v>
      </c>
      <c r="O988" s="17" t="s">
        <v>101</v>
      </c>
      <c r="P988" s="17"/>
      <c r="Q988" s="17"/>
      <c r="R988" s="17"/>
      <c r="S988" s="17">
        <v>2.0122680000000002</v>
      </c>
      <c r="T988" s="17">
        <v>7.0204469999999999</v>
      </c>
      <c r="U988" s="20">
        <f t="shared" si="67"/>
        <v>3.4888230593539227</v>
      </c>
      <c r="V988" s="41">
        <f t="shared" si="70"/>
        <v>248.88230593539225</v>
      </c>
      <c r="W988" s="17"/>
      <c r="X988" s="17" t="s">
        <v>56</v>
      </c>
      <c r="Y988" s="12"/>
      <c r="Z988" s="17" t="s">
        <v>56</v>
      </c>
      <c r="AA988" s="17"/>
      <c r="AB988" s="17" t="s">
        <v>57</v>
      </c>
      <c r="AC988" s="17">
        <v>2007</v>
      </c>
      <c r="AD988" s="17">
        <v>0</v>
      </c>
      <c r="AE988" s="17"/>
      <c r="AF988" s="17"/>
      <c r="AG988" s="14">
        <v>2005</v>
      </c>
      <c r="AH988" s="14">
        <f t="shared" si="68"/>
        <v>2</v>
      </c>
      <c r="AI988" s="17">
        <f t="shared" si="69"/>
        <v>2</v>
      </c>
      <c r="AJ988" s="17"/>
      <c r="AK988" s="17" t="s">
        <v>56</v>
      </c>
      <c r="AL988" s="16" t="s">
        <v>955</v>
      </c>
      <c r="AM988" s="17">
        <v>2010</v>
      </c>
      <c r="AN988" s="15" t="s">
        <v>602</v>
      </c>
      <c r="AO988" s="15" t="s">
        <v>56</v>
      </c>
      <c r="AP988" s="15"/>
      <c r="AQ988" s="15" t="s">
        <v>56</v>
      </c>
      <c r="AR988" s="15" t="s">
        <v>58</v>
      </c>
      <c r="AS988" s="15" t="s">
        <v>62</v>
      </c>
      <c r="AT988" s="15"/>
      <c r="AU988" s="45"/>
      <c r="AV988" s="15"/>
      <c r="AW988" s="12" t="str">
        <f>B988&amp;C988&amp;L988&amp;M988&amp;O988&amp;U988&amp;AL988&amp;AM988</f>
        <v>TaiwanHobihu No Take AreaAcroporacoral, branchingcover3.48882305935392Tkachenko2010</v>
      </c>
    </row>
    <row r="989" spans="1:49" ht="14.25" customHeight="1" x14ac:dyDescent="0.35">
      <c r="A989" s="12">
        <v>988</v>
      </c>
      <c r="B989" s="15" t="s">
        <v>599</v>
      </c>
      <c r="C989" s="15" t="s">
        <v>953</v>
      </c>
      <c r="D989" s="15" t="s">
        <v>953</v>
      </c>
      <c r="E989" s="15" t="s">
        <v>954</v>
      </c>
      <c r="F989" s="16" t="s">
        <v>50</v>
      </c>
      <c r="G989" s="16" t="s">
        <v>51</v>
      </c>
      <c r="H989" s="16" t="s">
        <v>78</v>
      </c>
      <c r="I989" s="16" t="s">
        <v>156</v>
      </c>
      <c r="J989" s="17">
        <v>1.5</v>
      </c>
      <c r="K989" s="17"/>
      <c r="L989" s="17" t="s">
        <v>956</v>
      </c>
      <c r="M989" s="17" t="s">
        <v>620</v>
      </c>
      <c r="N989" s="17" t="s">
        <v>120</v>
      </c>
      <c r="O989" s="17" t="s">
        <v>101</v>
      </c>
      <c r="P989" s="17"/>
      <c r="Q989" s="17"/>
      <c r="R989" s="17"/>
      <c r="S989" s="17">
        <v>3.1593719999999998</v>
      </c>
      <c r="T989" s="17">
        <v>10.520339999999999</v>
      </c>
      <c r="U989" s="20">
        <f t="shared" si="67"/>
        <v>3.3298832806013348</v>
      </c>
      <c r="V989" s="41">
        <f t="shared" si="70"/>
        <v>232.98832806013348</v>
      </c>
      <c r="W989" s="17"/>
      <c r="X989" s="17" t="s">
        <v>56</v>
      </c>
      <c r="Y989" s="12"/>
      <c r="Z989" s="17" t="s">
        <v>56</v>
      </c>
      <c r="AA989" s="17"/>
      <c r="AB989" s="17" t="s">
        <v>57</v>
      </c>
      <c r="AC989" s="17">
        <v>2007</v>
      </c>
      <c r="AD989" s="17">
        <v>0</v>
      </c>
      <c r="AE989" s="17"/>
      <c r="AF989" s="17"/>
      <c r="AG989" s="14">
        <v>2005</v>
      </c>
      <c r="AH989" s="14">
        <f t="shared" si="68"/>
        <v>2</v>
      </c>
      <c r="AI989" s="17">
        <f t="shared" si="69"/>
        <v>2</v>
      </c>
      <c r="AJ989" s="17"/>
      <c r="AK989" s="17" t="s">
        <v>56</v>
      </c>
      <c r="AL989" s="16" t="s">
        <v>955</v>
      </c>
      <c r="AM989" s="17">
        <v>2010</v>
      </c>
      <c r="AN989" s="15" t="s">
        <v>602</v>
      </c>
      <c r="AO989" s="15" t="s">
        <v>56</v>
      </c>
      <c r="AP989" s="15"/>
      <c r="AQ989" s="15" t="s">
        <v>56</v>
      </c>
      <c r="AR989" s="15" t="s">
        <v>58</v>
      </c>
      <c r="AS989" s="15" t="s">
        <v>62</v>
      </c>
      <c r="AT989" s="15"/>
      <c r="AU989" s="45"/>
      <c r="AV989" s="15"/>
      <c r="AW989" s="12" t="str">
        <f>B989&amp;C989&amp;L989&amp;M989&amp;O989&amp;U989&amp;AL989&amp;AM989</f>
        <v>TaiwanHobihu No Take AreaMilleporecoral, branchingcover3.32988328060133Tkachenko2010</v>
      </c>
    </row>
    <row r="990" spans="1:49" ht="14.25" customHeight="1" x14ac:dyDescent="0.35">
      <c r="A990" s="12">
        <v>989</v>
      </c>
      <c r="B990" s="15" t="s">
        <v>599</v>
      </c>
      <c r="C990" s="15" t="s">
        <v>953</v>
      </c>
      <c r="D990" s="15" t="s">
        <v>953</v>
      </c>
      <c r="E990" s="15" t="s">
        <v>954</v>
      </c>
      <c r="F990" s="16" t="s">
        <v>50</v>
      </c>
      <c r="G990" s="16" t="s">
        <v>51</v>
      </c>
      <c r="H990" s="16" t="s">
        <v>78</v>
      </c>
      <c r="I990" s="16" t="s">
        <v>156</v>
      </c>
      <c r="J990" s="17">
        <v>1.5</v>
      </c>
      <c r="K990" s="17"/>
      <c r="L990" s="17" t="s">
        <v>619</v>
      </c>
      <c r="M990" s="17" t="s">
        <v>620</v>
      </c>
      <c r="N990" s="14" t="s">
        <v>120</v>
      </c>
      <c r="O990" s="17" t="s">
        <v>101</v>
      </c>
      <c r="P990" s="17"/>
      <c r="Q990" s="17"/>
      <c r="R990" s="17"/>
      <c r="S990" s="17">
        <v>0.64942500000000003</v>
      </c>
      <c r="T990" s="17">
        <v>5.4679489999999999</v>
      </c>
      <c r="U990" s="20">
        <f t="shared" si="67"/>
        <v>8.4196774069369056</v>
      </c>
      <c r="V990" s="41">
        <f t="shared" si="70"/>
        <v>741.96774069369053</v>
      </c>
      <c r="W990" s="17"/>
      <c r="X990" s="17" t="s">
        <v>56</v>
      </c>
      <c r="Y990" s="12"/>
      <c r="Z990" s="17" t="s">
        <v>56</v>
      </c>
      <c r="AA990" s="17"/>
      <c r="AB990" s="17" t="s">
        <v>57</v>
      </c>
      <c r="AC990" s="17">
        <v>2007</v>
      </c>
      <c r="AD990" s="17">
        <v>0</v>
      </c>
      <c r="AE990" s="17"/>
      <c r="AF990" s="17"/>
      <c r="AG990" s="14">
        <v>2005</v>
      </c>
      <c r="AH990" s="14">
        <f t="shared" si="68"/>
        <v>2</v>
      </c>
      <c r="AI990" s="17">
        <f t="shared" si="69"/>
        <v>2</v>
      </c>
      <c r="AJ990" s="17"/>
      <c r="AK990" s="17" t="s">
        <v>56</v>
      </c>
      <c r="AL990" s="16" t="s">
        <v>955</v>
      </c>
      <c r="AM990" s="17">
        <v>2010</v>
      </c>
      <c r="AN990" s="15" t="s">
        <v>602</v>
      </c>
      <c r="AO990" s="15" t="s">
        <v>56</v>
      </c>
      <c r="AP990" s="15"/>
      <c r="AQ990" s="15" t="s">
        <v>56</v>
      </c>
      <c r="AR990" s="15" t="s">
        <v>58</v>
      </c>
      <c r="AS990" s="15" t="s">
        <v>62</v>
      </c>
      <c r="AT990" s="15"/>
      <c r="AU990" s="45"/>
      <c r="AV990" s="15"/>
      <c r="AW990" s="12" t="str">
        <f>B990&amp;C990&amp;L990&amp;M990&amp;O990&amp;U990&amp;AL990&amp;AM990</f>
        <v>TaiwanHobihu No Take AreaPoritescoral, branchingcover8.41967740693691Tkachenko2010</v>
      </c>
    </row>
    <row r="991" spans="1:49" ht="14.25" customHeight="1" x14ac:dyDescent="0.35">
      <c r="A991" s="12">
        <v>990</v>
      </c>
      <c r="B991" s="15" t="s">
        <v>599</v>
      </c>
      <c r="C991" s="15" t="s">
        <v>953</v>
      </c>
      <c r="D991" s="15" t="s">
        <v>953</v>
      </c>
      <c r="E991" s="15" t="s">
        <v>954</v>
      </c>
      <c r="F991" s="16" t="s">
        <v>50</v>
      </c>
      <c r="G991" s="16" t="s">
        <v>51</v>
      </c>
      <c r="H991" s="16" t="s">
        <v>78</v>
      </c>
      <c r="I991" s="16" t="s">
        <v>156</v>
      </c>
      <c r="J991" s="17">
        <v>1.5</v>
      </c>
      <c r="K991" s="17"/>
      <c r="L991" s="17" t="s">
        <v>957</v>
      </c>
      <c r="M991" s="17" t="s">
        <v>958</v>
      </c>
      <c r="N991" s="17" t="s">
        <v>85</v>
      </c>
      <c r="O991" s="17" t="s">
        <v>101</v>
      </c>
      <c r="P991" s="17"/>
      <c r="Q991" s="17"/>
      <c r="R991" s="17"/>
      <c r="S991" s="17">
        <v>0</v>
      </c>
      <c r="T991" s="17">
        <v>1.646331</v>
      </c>
      <c r="U991" s="20" t="str">
        <f t="shared" si="67"/>
        <v>N/A</v>
      </c>
      <c r="V991" s="41" t="str">
        <f t="shared" si="70"/>
        <v>N/A</v>
      </c>
      <c r="W991" s="17"/>
      <c r="X991" s="17" t="s">
        <v>56</v>
      </c>
      <c r="Y991" s="12"/>
      <c r="Z991" s="17" t="s">
        <v>56</v>
      </c>
      <c r="AA991" s="17"/>
      <c r="AB991" s="17" t="s">
        <v>57</v>
      </c>
      <c r="AC991" s="17">
        <v>2007</v>
      </c>
      <c r="AD991" s="17">
        <v>0</v>
      </c>
      <c r="AE991" s="17"/>
      <c r="AF991" s="17"/>
      <c r="AG991" s="14">
        <v>2005</v>
      </c>
      <c r="AH991" s="14">
        <f t="shared" si="68"/>
        <v>2</v>
      </c>
      <c r="AI991" s="17">
        <f t="shared" si="69"/>
        <v>2</v>
      </c>
      <c r="AJ991" s="17"/>
      <c r="AK991" s="17" t="s">
        <v>56</v>
      </c>
      <c r="AL991" s="16" t="s">
        <v>955</v>
      </c>
      <c r="AM991" s="17">
        <v>2010</v>
      </c>
      <c r="AN991" s="15" t="s">
        <v>602</v>
      </c>
      <c r="AO991" s="15" t="s">
        <v>56</v>
      </c>
      <c r="AP991" s="15"/>
      <c r="AQ991" s="15" t="s">
        <v>56</v>
      </c>
      <c r="AR991" s="15" t="s">
        <v>58</v>
      </c>
      <c r="AS991" s="15" t="s">
        <v>62</v>
      </c>
      <c r="AT991" s="15"/>
      <c r="AU991" s="45"/>
      <c r="AV991" s="15"/>
      <c r="AW991" s="12" t="str">
        <f>B991&amp;C991&amp;L991&amp;M991&amp;O991&amp;U991&amp;AL991&amp;AM991</f>
        <v>TaiwanHobihu No Take AreaHydnophora rigidshorn coralcoverN/ATkachenko2010</v>
      </c>
    </row>
    <row r="992" spans="1:49" ht="14.25" customHeight="1" x14ac:dyDescent="0.35">
      <c r="A992" s="12">
        <v>991</v>
      </c>
      <c r="B992" s="15" t="s">
        <v>599</v>
      </c>
      <c r="C992" s="15" t="s">
        <v>953</v>
      </c>
      <c r="D992" s="15" t="s">
        <v>953</v>
      </c>
      <c r="E992" s="15" t="s">
        <v>954</v>
      </c>
      <c r="F992" s="16" t="s">
        <v>50</v>
      </c>
      <c r="G992" s="16" t="s">
        <v>51</v>
      </c>
      <c r="H992" s="16" t="s">
        <v>78</v>
      </c>
      <c r="I992" s="16" t="s">
        <v>156</v>
      </c>
      <c r="J992" s="17">
        <v>1.5</v>
      </c>
      <c r="K992" s="17"/>
      <c r="L992" s="17"/>
      <c r="M992" s="17" t="s">
        <v>330</v>
      </c>
      <c r="N992" s="53" t="s">
        <v>98</v>
      </c>
      <c r="O992" s="17" t="s">
        <v>101</v>
      </c>
      <c r="P992" s="17"/>
      <c r="Q992" s="17"/>
      <c r="R992" s="17"/>
      <c r="S992" s="17">
        <v>8.8237179999999995</v>
      </c>
      <c r="T992" s="17">
        <v>2.1241159999999999</v>
      </c>
      <c r="U992" s="20">
        <f t="shared" si="67"/>
        <v>0.24072800150684778</v>
      </c>
      <c r="V992" s="41">
        <f t="shared" si="70"/>
        <v>-75.927199849315215</v>
      </c>
      <c r="W992" s="17"/>
      <c r="X992" s="17" t="s">
        <v>56</v>
      </c>
      <c r="Z992" s="17" t="s">
        <v>56</v>
      </c>
      <c r="AA992" s="17"/>
      <c r="AB992" s="17" t="s">
        <v>57</v>
      </c>
      <c r="AC992" s="17">
        <v>2007</v>
      </c>
      <c r="AD992" s="17">
        <v>0</v>
      </c>
      <c r="AE992" s="17"/>
      <c r="AF992" s="17"/>
      <c r="AG992" s="14">
        <v>2005</v>
      </c>
      <c r="AH992" s="14">
        <f t="shared" si="68"/>
        <v>2</v>
      </c>
      <c r="AI992" s="17">
        <f t="shared" si="69"/>
        <v>2</v>
      </c>
      <c r="AJ992" s="17"/>
      <c r="AK992" s="17" t="s">
        <v>56</v>
      </c>
      <c r="AL992" s="16" t="s">
        <v>955</v>
      </c>
      <c r="AM992" s="17">
        <v>2010</v>
      </c>
      <c r="AN992" s="15" t="s">
        <v>602</v>
      </c>
      <c r="AO992" s="15" t="s">
        <v>56</v>
      </c>
      <c r="AP992" s="15"/>
      <c r="AQ992" s="15" t="s">
        <v>56</v>
      </c>
      <c r="AR992" s="15" t="s">
        <v>58</v>
      </c>
      <c r="AS992" s="15" t="s">
        <v>62</v>
      </c>
      <c r="AT992" s="15"/>
      <c r="AU992" s="45"/>
      <c r="AV992" s="15"/>
      <c r="AW992" s="12" t="str">
        <f>B992&amp;C992&amp;L992&amp;M992&amp;O992&amp;U992&amp;AL992&amp;AM992</f>
        <v>TaiwanHobihu No Take AreaEncrusting coralcover0.240728001506848Tkachenko2010</v>
      </c>
    </row>
    <row r="993" spans="1:49" ht="14.25" customHeight="1" x14ac:dyDescent="0.35">
      <c r="A993" s="12">
        <v>992</v>
      </c>
      <c r="B993" s="15" t="s">
        <v>599</v>
      </c>
      <c r="C993" s="15" t="s">
        <v>953</v>
      </c>
      <c r="D993" s="15" t="s">
        <v>953</v>
      </c>
      <c r="E993" s="15" t="s">
        <v>954</v>
      </c>
      <c r="F993" s="16" t="s">
        <v>50</v>
      </c>
      <c r="G993" s="16" t="s">
        <v>51</v>
      </c>
      <c r="H993" s="16" t="s">
        <v>78</v>
      </c>
      <c r="I993" s="16" t="s">
        <v>156</v>
      </c>
      <c r="J993" s="17">
        <v>1.5</v>
      </c>
      <c r="K993" s="17"/>
      <c r="L993" s="17"/>
      <c r="M993" s="17" t="s">
        <v>959</v>
      </c>
      <c r="N993" s="53" t="s">
        <v>98</v>
      </c>
      <c r="O993" s="17" t="s">
        <v>101</v>
      </c>
      <c r="P993" s="17"/>
      <c r="Q993" s="17"/>
      <c r="R993" s="17"/>
      <c r="S993" s="17">
        <v>2.0937220000000001</v>
      </c>
      <c r="T993" s="17">
        <v>5.3158709999999996</v>
      </c>
      <c r="U993" s="20">
        <f t="shared" si="67"/>
        <v>2.5389574165051516</v>
      </c>
      <c r="V993" s="41">
        <f t="shared" si="70"/>
        <v>153.89574165051516</v>
      </c>
      <c r="W993" s="17"/>
      <c r="X993" s="17" t="s">
        <v>56</v>
      </c>
      <c r="Z993" s="17" t="s">
        <v>56</v>
      </c>
      <c r="AA993" s="17"/>
      <c r="AB993" s="17" t="s">
        <v>57</v>
      </c>
      <c r="AC993" s="17">
        <v>2007</v>
      </c>
      <c r="AD993" s="17">
        <v>0</v>
      </c>
      <c r="AE993" s="17"/>
      <c r="AF993" s="17"/>
      <c r="AG993" s="14">
        <v>2005</v>
      </c>
      <c r="AH993" s="14">
        <f t="shared" si="68"/>
        <v>2</v>
      </c>
      <c r="AI993" s="17">
        <f t="shared" si="69"/>
        <v>2</v>
      </c>
      <c r="AJ993" s="17"/>
      <c r="AK993" s="17" t="s">
        <v>56</v>
      </c>
      <c r="AL993" s="16" t="s">
        <v>955</v>
      </c>
      <c r="AM993" s="17">
        <v>2010</v>
      </c>
      <c r="AN993" s="15" t="s">
        <v>602</v>
      </c>
      <c r="AO993" s="15" t="s">
        <v>56</v>
      </c>
      <c r="AP993" s="15"/>
      <c r="AQ993" s="15" t="s">
        <v>56</v>
      </c>
      <c r="AR993" s="15" t="s">
        <v>58</v>
      </c>
      <c r="AS993" s="15" t="s">
        <v>62</v>
      </c>
      <c r="AT993" s="15"/>
      <c r="AU993" s="45"/>
      <c r="AV993" s="15"/>
      <c r="AW993" s="12" t="str">
        <f>B993&amp;C993&amp;L993&amp;M993&amp;O993&amp;U993&amp;AL993&amp;AM993</f>
        <v>TaiwanHobihu No Take AreaFoliaceous and laminar coralcover2.53895741650515Tkachenko2010</v>
      </c>
    </row>
    <row r="994" spans="1:49" ht="14.25" customHeight="1" x14ac:dyDescent="0.35">
      <c r="A994" s="12">
        <v>993</v>
      </c>
      <c r="B994" s="15" t="s">
        <v>599</v>
      </c>
      <c r="C994" s="15" t="s">
        <v>953</v>
      </c>
      <c r="D994" s="15" t="s">
        <v>953</v>
      </c>
      <c r="E994" s="15" t="s">
        <v>954</v>
      </c>
      <c r="F994" s="16" t="s">
        <v>50</v>
      </c>
      <c r="G994" s="16" t="s">
        <v>51</v>
      </c>
      <c r="H994" s="16" t="s">
        <v>78</v>
      </c>
      <c r="I994" s="16" t="s">
        <v>156</v>
      </c>
      <c r="J994" s="17">
        <v>1.5</v>
      </c>
      <c r="K994" s="17"/>
      <c r="L994" s="17"/>
      <c r="M994" s="17" t="s">
        <v>335</v>
      </c>
      <c r="N994" s="53" t="s">
        <v>98</v>
      </c>
      <c r="O994" s="17" t="s">
        <v>101</v>
      </c>
      <c r="P994" s="17"/>
      <c r="Q994" s="17"/>
      <c r="R994" s="17"/>
      <c r="S994" s="17">
        <v>15.12588</v>
      </c>
      <c r="T994" s="17">
        <v>3.8687</v>
      </c>
      <c r="U994" s="20">
        <f t="shared" si="67"/>
        <v>0.25576693719638127</v>
      </c>
      <c r="V994" s="41">
        <f t="shared" si="70"/>
        <v>-74.423306280361871</v>
      </c>
      <c r="W994" s="17"/>
      <c r="X994" s="17" t="s">
        <v>56</v>
      </c>
      <c r="Z994" s="17" t="s">
        <v>56</v>
      </c>
      <c r="AA994" s="17"/>
      <c r="AB994" s="17" t="s">
        <v>57</v>
      </c>
      <c r="AC994" s="17">
        <v>2007</v>
      </c>
      <c r="AD994" s="17">
        <v>0</v>
      </c>
      <c r="AE994" s="17"/>
      <c r="AF994" s="17"/>
      <c r="AG994" s="14">
        <v>2005</v>
      </c>
      <c r="AH994" s="14">
        <f t="shared" si="68"/>
        <v>2</v>
      </c>
      <c r="AI994" s="17">
        <f t="shared" si="69"/>
        <v>2</v>
      </c>
      <c r="AJ994" s="17"/>
      <c r="AK994" s="17" t="s">
        <v>56</v>
      </c>
      <c r="AL994" s="16" t="s">
        <v>955</v>
      </c>
      <c r="AM994" s="17">
        <v>2010</v>
      </c>
      <c r="AN994" s="15" t="s">
        <v>602</v>
      </c>
      <c r="AO994" s="15" t="s">
        <v>56</v>
      </c>
      <c r="AP994" s="15"/>
      <c r="AQ994" s="15" t="s">
        <v>56</v>
      </c>
      <c r="AR994" s="15" t="s">
        <v>58</v>
      </c>
      <c r="AS994" s="15" t="s">
        <v>62</v>
      </c>
      <c r="AT994" s="15"/>
      <c r="AU994" s="45"/>
      <c r="AV994" s="15"/>
      <c r="AW994" s="12" t="str">
        <f>B994&amp;C994&amp;L994&amp;M994&amp;O994&amp;U994&amp;AL994&amp;AM994</f>
        <v>TaiwanHobihu No Take AreaMassive coralcover0.255766937196381Tkachenko2010</v>
      </c>
    </row>
    <row r="995" spans="1:49" ht="14.25" customHeight="1" x14ac:dyDescent="0.35">
      <c r="A995" s="12">
        <v>994</v>
      </c>
      <c r="B995" s="15" t="s">
        <v>599</v>
      </c>
      <c r="C995" s="15" t="s">
        <v>953</v>
      </c>
      <c r="D995" s="15" t="s">
        <v>953</v>
      </c>
      <c r="E995" s="15" t="s">
        <v>954</v>
      </c>
      <c r="F995" s="16" t="s">
        <v>50</v>
      </c>
      <c r="G995" s="16" t="s">
        <v>51</v>
      </c>
      <c r="H995" s="16" t="s">
        <v>78</v>
      </c>
      <c r="I995" s="16" t="s">
        <v>156</v>
      </c>
      <c r="J995" s="17">
        <v>1.5</v>
      </c>
      <c r="K995" s="17"/>
      <c r="L995" s="17"/>
      <c r="M995" s="17" t="s">
        <v>621</v>
      </c>
      <c r="N995" s="17" t="s">
        <v>120</v>
      </c>
      <c r="O995" s="17" t="s">
        <v>101</v>
      </c>
      <c r="P995" s="17"/>
      <c r="Q995" s="17"/>
      <c r="R995" s="17"/>
      <c r="S995" s="17">
        <v>2.0534919999999999</v>
      </c>
      <c r="T995" s="17">
        <v>0</v>
      </c>
      <c r="U995" s="20">
        <f t="shared" si="67"/>
        <v>0</v>
      </c>
      <c r="V995" s="41">
        <f t="shared" si="70"/>
        <v>-100</v>
      </c>
      <c r="W995" s="17"/>
      <c r="X995" s="17" t="s">
        <v>56</v>
      </c>
      <c r="Z995" s="17" t="s">
        <v>56</v>
      </c>
      <c r="AA995" s="17"/>
      <c r="AB995" s="17" t="s">
        <v>57</v>
      </c>
      <c r="AC995" s="17">
        <v>2007</v>
      </c>
      <c r="AD995" s="17">
        <v>0</v>
      </c>
      <c r="AE995" s="17"/>
      <c r="AF995" s="17"/>
      <c r="AG995" s="17">
        <v>2005</v>
      </c>
      <c r="AH995" s="14">
        <f t="shared" si="68"/>
        <v>2</v>
      </c>
      <c r="AI995" s="17">
        <f t="shared" si="69"/>
        <v>2</v>
      </c>
      <c r="AJ995" s="17"/>
      <c r="AK995" s="17" t="s">
        <v>56</v>
      </c>
      <c r="AL995" s="16" t="s">
        <v>955</v>
      </c>
      <c r="AM995" s="17">
        <v>2010</v>
      </c>
      <c r="AN995" s="15" t="s">
        <v>602</v>
      </c>
      <c r="AO995" s="15" t="s">
        <v>56</v>
      </c>
      <c r="AP995" s="15"/>
      <c r="AQ995" s="15" t="s">
        <v>56</v>
      </c>
      <c r="AR995" s="15" t="s">
        <v>58</v>
      </c>
      <c r="AS995" s="15" t="s">
        <v>62</v>
      </c>
      <c r="AT995" s="15"/>
      <c r="AU995" s="45"/>
      <c r="AV995" s="15"/>
      <c r="AW995" s="12" t="str">
        <f>B995&amp;C995&amp;L995&amp;M995&amp;O995&amp;U995&amp;AL995&amp;AM995</f>
        <v>TaiwanHobihu No Take AreaPocilloporacover0Tkachenko2010</v>
      </c>
    </row>
    <row r="996" spans="1:49" ht="14.25" customHeight="1" x14ac:dyDescent="0.35">
      <c r="A996" s="12">
        <v>995</v>
      </c>
      <c r="B996" s="15" t="s">
        <v>599</v>
      </c>
      <c r="C996" s="15" t="s">
        <v>953</v>
      </c>
      <c r="D996" s="15" t="s">
        <v>953</v>
      </c>
      <c r="E996" s="15" t="s">
        <v>954</v>
      </c>
      <c r="F996" s="16" t="s">
        <v>50</v>
      </c>
      <c r="G996" s="16" t="s">
        <v>51</v>
      </c>
      <c r="H996" s="16" t="s">
        <v>78</v>
      </c>
      <c r="I996" s="16" t="s">
        <v>156</v>
      </c>
      <c r="J996" s="17">
        <v>1.5</v>
      </c>
      <c r="K996" s="17"/>
      <c r="L996" s="17"/>
      <c r="M996" s="17" t="s">
        <v>617</v>
      </c>
      <c r="N996" s="53" t="s">
        <v>98</v>
      </c>
      <c r="O996" s="17" t="s">
        <v>101</v>
      </c>
      <c r="P996" s="17"/>
      <c r="Q996" s="17"/>
      <c r="R996" s="17"/>
      <c r="S996" s="17">
        <v>34.652189999999997</v>
      </c>
      <c r="T996" s="17">
        <v>34.841729999999998</v>
      </c>
      <c r="U996" s="20">
        <f t="shared" si="67"/>
        <v>1.005469784160828</v>
      </c>
      <c r="V996" s="41">
        <f t="shared" si="70"/>
        <v>0.54697841608279951</v>
      </c>
      <c r="W996" s="17"/>
      <c r="X996" s="17" t="s">
        <v>56</v>
      </c>
      <c r="Z996" s="17" t="s">
        <v>56</v>
      </c>
      <c r="AA996" s="17"/>
      <c r="AB996" s="17" t="s">
        <v>57</v>
      </c>
      <c r="AC996" s="17">
        <v>2007</v>
      </c>
      <c r="AD996" s="17">
        <v>0</v>
      </c>
      <c r="AE996" s="17"/>
      <c r="AF996" s="17"/>
      <c r="AG996" s="17">
        <v>2005</v>
      </c>
      <c r="AH996" s="14">
        <f t="shared" si="68"/>
        <v>2</v>
      </c>
      <c r="AI996" s="17">
        <f t="shared" si="69"/>
        <v>2</v>
      </c>
      <c r="AJ996" s="17"/>
      <c r="AK996" s="17" t="s">
        <v>56</v>
      </c>
      <c r="AL996" s="16" t="s">
        <v>955</v>
      </c>
      <c r="AM996" s="17">
        <v>2010</v>
      </c>
      <c r="AN996" s="15" t="s">
        <v>602</v>
      </c>
      <c r="AO996" s="15" t="s">
        <v>56</v>
      </c>
      <c r="AP996" s="15"/>
      <c r="AQ996" s="15" t="s">
        <v>56</v>
      </c>
      <c r="AR996" s="15" t="s">
        <v>58</v>
      </c>
      <c r="AS996" s="15" t="s">
        <v>62</v>
      </c>
      <c r="AT996" s="15"/>
      <c r="AU996" s="45"/>
      <c r="AV996" s="15"/>
      <c r="AW996" s="12" t="str">
        <f>B996&amp;C996&amp;L996&amp;M996&amp;O996&amp;U996&amp;AL996&amp;AM996</f>
        <v>TaiwanHobihu No Take AreaSoft coralcover1.00546978416083Tkachenko2010</v>
      </c>
    </row>
    <row r="997" spans="1:49" ht="14.25" customHeight="1" x14ac:dyDescent="0.35">
      <c r="A997" s="12">
        <v>996</v>
      </c>
      <c r="B997" s="15" t="s">
        <v>599</v>
      </c>
      <c r="C997" s="15" t="s">
        <v>953</v>
      </c>
      <c r="D997" s="15" t="s">
        <v>953</v>
      </c>
      <c r="E997" s="15" t="s">
        <v>954</v>
      </c>
      <c r="F997" s="16" t="s">
        <v>50</v>
      </c>
      <c r="G997" s="16" t="s">
        <v>51</v>
      </c>
      <c r="H997" s="16" t="s">
        <v>78</v>
      </c>
      <c r="I997" s="16" t="s">
        <v>156</v>
      </c>
      <c r="J997" s="17">
        <v>1.5</v>
      </c>
      <c r="K997" s="17"/>
      <c r="L997" s="17"/>
      <c r="M997" s="17" t="s">
        <v>291</v>
      </c>
      <c r="N997" s="42" t="s">
        <v>98</v>
      </c>
      <c r="O997" s="17" t="s">
        <v>101</v>
      </c>
      <c r="P997" s="17"/>
      <c r="Q997" s="17"/>
      <c r="R997" s="17"/>
      <c r="S997" s="17">
        <v>2.489169</v>
      </c>
      <c r="T997" s="17">
        <v>2.1918660000000001</v>
      </c>
      <c r="U997" s="20">
        <f t="shared" si="67"/>
        <v>0.88056134396660091</v>
      </c>
      <c r="V997" s="41">
        <f t="shared" si="70"/>
        <v>-11.943865603339908</v>
      </c>
      <c r="W997" s="17"/>
      <c r="X997" s="17" t="s">
        <v>56</v>
      </c>
      <c r="Z997" s="17" t="s">
        <v>56</v>
      </c>
      <c r="AA997" s="17"/>
      <c r="AB997" s="17" t="s">
        <v>57</v>
      </c>
      <c r="AC997" s="17">
        <v>2007</v>
      </c>
      <c r="AD997" s="17">
        <v>0</v>
      </c>
      <c r="AE997" s="17"/>
      <c r="AF997" s="17"/>
      <c r="AG997" s="17">
        <v>2005</v>
      </c>
      <c r="AH997" s="14">
        <f t="shared" si="68"/>
        <v>2</v>
      </c>
      <c r="AI997" s="17">
        <f t="shared" si="69"/>
        <v>2</v>
      </c>
      <c r="AJ997" s="17"/>
      <c r="AK997" s="17" t="s">
        <v>56</v>
      </c>
      <c r="AL997" s="16" t="s">
        <v>955</v>
      </c>
      <c r="AM997" s="17">
        <v>2010</v>
      </c>
      <c r="AN997" s="15" t="s">
        <v>602</v>
      </c>
      <c r="AO997" s="15" t="s">
        <v>56</v>
      </c>
      <c r="AP997" s="15"/>
      <c r="AQ997" s="15" t="s">
        <v>56</v>
      </c>
      <c r="AR997" s="15" t="s">
        <v>58</v>
      </c>
      <c r="AS997" s="15" t="s">
        <v>62</v>
      </c>
      <c r="AT997" s="15"/>
      <c r="AU997" s="45"/>
      <c r="AV997" s="15"/>
      <c r="AW997" s="12" t="str">
        <f>B997&amp;C997&amp;L997&amp;M997&amp;O997&amp;U997&amp;AL997&amp;AM997</f>
        <v>TaiwanHobihu No Take AreaMacroalgaecover0.880561343966601Tkachenko2010</v>
      </c>
    </row>
    <row r="998" spans="1:49" ht="14.25" customHeight="1" x14ac:dyDescent="0.35">
      <c r="A998" s="12">
        <v>997</v>
      </c>
      <c r="B998" s="15" t="s">
        <v>599</v>
      </c>
      <c r="C998" s="15" t="s">
        <v>953</v>
      </c>
      <c r="D998" s="15" t="s">
        <v>953</v>
      </c>
      <c r="E998" s="15" t="s">
        <v>954</v>
      </c>
      <c r="F998" s="16" t="s">
        <v>50</v>
      </c>
      <c r="G998" s="16" t="s">
        <v>51</v>
      </c>
      <c r="H998" s="16" t="s">
        <v>78</v>
      </c>
      <c r="I998" s="16" t="s">
        <v>156</v>
      </c>
      <c r="J998" s="17">
        <v>1.5</v>
      </c>
      <c r="K998" s="17"/>
      <c r="L998" s="17" t="s">
        <v>624</v>
      </c>
      <c r="M998" s="17" t="s">
        <v>946</v>
      </c>
      <c r="N998" s="17" t="s">
        <v>85</v>
      </c>
      <c r="O998" s="17" t="s">
        <v>86</v>
      </c>
      <c r="P998" s="17"/>
      <c r="Q998" s="17"/>
      <c r="R998" s="17"/>
      <c r="S998" s="17">
        <v>156.39099999999999</v>
      </c>
      <c r="T998" s="17">
        <v>109.0226</v>
      </c>
      <c r="U998" s="20">
        <f t="shared" si="67"/>
        <v>0.69711556291602461</v>
      </c>
      <c r="V998" s="41">
        <f t="shared" si="70"/>
        <v>-30.288443708397537</v>
      </c>
      <c r="W998" s="17"/>
      <c r="X998" s="17" t="s">
        <v>56</v>
      </c>
      <c r="Z998" s="17" t="s">
        <v>56</v>
      </c>
      <c r="AA998" s="17"/>
      <c r="AB998" s="17" t="s">
        <v>57</v>
      </c>
      <c r="AC998" s="17">
        <v>2007</v>
      </c>
      <c r="AD998" s="17">
        <v>0</v>
      </c>
      <c r="AE998" s="17"/>
      <c r="AF998" s="17"/>
      <c r="AG998" s="17">
        <v>2005</v>
      </c>
      <c r="AH998" s="14">
        <f t="shared" si="68"/>
        <v>2</v>
      </c>
      <c r="AI998" s="17">
        <f t="shared" si="69"/>
        <v>2</v>
      </c>
      <c r="AJ998" s="17"/>
      <c r="AK998" s="17" t="s">
        <v>56</v>
      </c>
      <c r="AL998" s="16" t="s">
        <v>955</v>
      </c>
      <c r="AM998" s="17">
        <v>2010</v>
      </c>
      <c r="AN998" s="15" t="s">
        <v>602</v>
      </c>
      <c r="AO998" s="15" t="s">
        <v>56</v>
      </c>
      <c r="AP998" s="15"/>
      <c r="AQ998" s="15" t="s">
        <v>56</v>
      </c>
      <c r="AR998" s="15" t="s">
        <v>58</v>
      </c>
      <c r="AS998" s="15" t="s">
        <v>62</v>
      </c>
      <c r="AT998" s="15"/>
      <c r="AU998" s="45"/>
      <c r="AV998" s="15"/>
      <c r="AW998" s="12" t="str">
        <f>B998&amp;C998&amp;L998&amp;M998&amp;O998&amp;U998&amp;AL998&amp;AM998</f>
        <v>TaiwanHobihu No Take AreaDiadema setosumsea urchindensity0.697115562916025Tkachenko2010</v>
      </c>
    </row>
    <row r="999" spans="1:49" ht="14.25" customHeight="1" x14ac:dyDescent="0.35">
      <c r="A999" s="12">
        <v>998</v>
      </c>
      <c r="B999" s="15" t="s">
        <v>599</v>
      </c>
      <c r="C999" s="15" t="s">
        <v>953</v>
      </c>
      <c r="D999" s="15" t="s">
        <v>953</v>
      </c>
      <c r="E999" s="15" t="s">
        <v>954</v>
      </c>
      <c r="F999" s="16" t="s">
        <v>50</v>
      </c>
      <c r="G999" s="16" t="s">
        <v>51</v>
      </c>
      <c r="H999" s="16" t="s">
        <v>78</v>
      </c>
      <c r="I999" s="16" t="s">
        <v>156</v>
      </c>
      <c r="J999" s="17">
        <v>1.5</v>
      </c>
      <c r="K999" s="17"/>
      <c r="L999" s="17"/>
      <c r="M999" s="17" t="s">
        <v>960</v>
      </c>
      <c r="N999" s="17" t="s">
        <v>1070</v>
      </c>
      <c r="O999" s="17" t="s">
        <v>86</v>
      </c>
      <c r="P999" s="17"/>
      <c r="Q999" s="17"/>
      <c r="R999" s="17"/>
      <c r="S999" s="17">
        <v>167.66919999999999</v>
      </c>
      <c r="T999" s="17">
        <v>30.827069999999999</v>
      </c>
      <c r="U999" s="20">
        <f t="shared" si="67"/>
        <v>0.18385648646263</v>
      </c>
      <c r="V999" s="41">
        <f t="shared" si="70"/>
        <v>-81.614351353737007</v>
      </c>
      <c r="W999" s="17"/>
      <c r="X999" s="17" t="s">
        <v>56</v>
      </c>
      <c r="Z999" s="17" t="s">
        <v>56</v>
      </c>
      <c r="AA999" s="17"/>
      <c r="AB999" s="17" t="s">
        <v>57</v>
      </c>
      <c r="AC999" s="17">
        <v>2007</v>
      </c>
      <c r="AD999" s="17">
        <v>0</v>
      </c>
      <c r="AE999" s="17"/>
      <c r="AF999" s="17"/>
      <c r="AG999" s="17">
        <v>2005</v>
      </c>
      <c r="AH999" s="14">
        <f t="shared" si="68"/>
        <v>2</v>
      </c>
      <c r="AI999" s="17">
        <f t="shared" si="69"/>
        <v>2</v>
      </c>
      <c r="AJ999" s="17"/>
      <c r="AK999" s="17" t="s">
        <v>56</v>
      </c>
      <c r="AL999" s="16" t="s">
        <v>955</v>
      </c>
      <c r="AM999" s="17">
        <v>2010</v>
      </c>
      <c r="AN999" s="15" t="s">
        <v>602</v>
      </c>
      <c r="AO999" s="15" t="s">
        <v>56</v>
      </c>
      <c r="AP999" s="15"/>
      <c r="AQ999" s="15" t="s">
        <v>56</v>
      </c>
      <c r="AR999" s="15" t="s">
        <v>58</v>
      </c>
      <c r="AS999" s="15" t="s">
        <v>62</v>
      </c>
      <c r="AT999" s="15"/>
      <c r="AU999" s="45"/>
      <c r="AV999" s="15"/>
      <c r="AW999" s="12" t="str">
        <f>B999&amp;C999&amp;L999&amp;M999&amp;O999&amp;U999&amp;AL999&amp;AM999</f>
        <v>TaiwanHobihu No Take AreaNon-Diadema setosum sea urchinsdensity0.18385648646263Tkachenko2010</v>
      </c>
    </row>
    <row r="1000" spans="1:49" ht="14.25" customHeight="1" x14ac:dyDescent="0.35">
      <c r="A1000" s="12">
        <v>999</v>
      </c>
      <c r="B1000" s="15" t="s">
        <v>599</v>
      </c>
      <c r="C1000" s="15" t="s">
        <v>953</v>
      </c>
      <c r="D1000" s="15" t="s">
        <v>953</v>
      </c>
      <c r="E1000" s="15" t="s">
        <v>954</v>
      </c>
      <c r="F1000" s="13" t="s">
        <v>50</v>
      </c>
      <c r="G1000" s="13" t="s">
        <v>51</v>
      </c>
      <c r="H1000" s="16" t="s">
        <v>78</v>
      </c>
      <c r="I1000" s="16" t="s">
        <v>156</v>
      </c>
      <c r="J1000" s="17">
        <v>1.5</v>
      </c>
      <c r="K1000" s="17"/>
      <c r="L1000" s="17" t="s">
        <v>627</v>
      </c>
      <c r="M1000" s="17" t="s">
        <v>628</v>
      </c>
      <c r="N1000" s="17" t="s">
        <v>170</v>
      </c>
      <c r="O1000" s="17" t="s">
        <v>86</v>
      </c>
      <c r="P1000" s="17"/>
      <c r="Q1000" s="17"/>
      <c r="R1000" s="17"/>
      <c r="S1000" s="17">
        <v>4.0046379999999999</v>
      </c>
      <c r="T1000" s="17">
        <v>33.490259999999999</v>
      </c>
      <c r="U1000" s="20">
        <f t="shared" si="67"/>
        <v>8.3628682542591868</v>
      </c>
      <c r="V1000" s="41">
        <f t="shared" si="70"/>
        <v>736.28682542591866</v>
      </c>
      <c r="W1000" s="17"/>
      <c r="X1000" s="17" t="s">
        <v>56</v>
      </c>
      <c r="Z1000" s="17" t="s">
        <v>56</v>
      </c>
      <c r="AA1000" s="17"/>
      <c r="AB1000" s="17" t="s">
        <v>57</v>
      </c>
      <c r="AC1000" s="17">
        <v>2007</v>
      </c>
      <c r="AD1000" s="17">
        <v>0</v>
      </c>
      <c r="AE1000" s="17"/>
      <c r="AF1000" s="17"/>
      <c r="AG1000" s="17">
        <v>2005</v>
      </c>
      <c r="AH1000" s="14">
        <f t="shared" si="68"/>
        <v>2</v>
      </c>
      <c r="AI1000" s="17">
        <f t="shared" si="69"/>
        <v>2</v>
      </c>
      <c r="AJ1000" s="17"/>
      <c r="AK1000" s="17" t="s">
        <v>56</v>
      </c>
      <c r="AL1000" s="16" t="s">
        <v>955</v>
      </c>
      <c r="AM1000" s="17">
        <v>2010</v>
      </c>
      <c r="AN1000" s="12" t="s">
        <v>602</v>
      </c>
      <c r="AO1000" s="15" t="s">
        <v>56</v>
      </c>
      <c r="AP1000" s="15"/>
      <c r="AQ1000" s="15" t="s">
        <v>56</v>
      </c>
      <c r="AR1000" s="15" t="s">
        <v>58</v>
      </c>
      <c r="AS1000" s="15" t="s">
        <v>62</v>
      </c>
      <c r="AT1000" s="15"/>
      <c r="AU1000" s="45"/>
      <c r="AV1000" s="15"/>
      <c r="AW1000" s="12" t="str">
        <f>B1000&amp;C1000&amp;L1000&amp;M1000&amp;O1000&amp;U1000&amp;AL1000&amp;AM1000</f>
        <v>TaiwanHobihu No Take AreaLutjanidaesnappersdensity8.36286825425919Tkachenko2010</v>
      </c>
    </row>
    <row r="1001" spans="1:49" ht="14.25" customHeight="1" x14ac:dyDescent="0.35">
      <c r="A1001" s="12">
        <v>1000</v>
      </c>
      <c r="B1001" s="15" t="s">
        <v>599</v>
      </c>
      <c r="C1001" s="15" t="s">
        <v>953</v>
      </c>
      <c r="D1001" s="15" t="s">
        <v>953</v>
      </c>
      <c r="E1001" s="15" t="s">
        <v>954</v>
      </c>
      <c r="F1001" s="16" t="s">
        <v>50</v>
      </c>
      <c r="G1001" s="16" t="s">
        <v>51</v>
      </c>
      <c r="H1001" s="16" t="s">
        <v>78</v>
      </c>
      <c r="I1001" s="16" t="s">
        <v>156</v>
      </c>
      <c r="J1001" s="17">
        <v>1.5</v>
      </c>
      <c r="K1001" s="17"/>
      <c r="L1001" s="17" t="s">
        <v>168</v>
      </c>
      <c r="M1001" s="17" t="s">
        <v>545</v>
      </c>
      <c r="N1001" s="17" t="s">
        <v>170</v>
      </c>
      <c r="O1001" s="17" t="s">
        <v>86</v>
      </c>
      <c r="P1001" s="17"/>
      <c r="Q1001" s="17"/>
      <c r="R1001" s="17"/>
      <c r="S1001" s="17">
        <v>0.51066199999999995</v>
      </c>
      <c r="T1001" s="17">
        <v>14.435589999999999</v>
      </c>
      <c r="U1001" s="20">
        <f t="shared" si="67"/>
        <v>28.268384959131481</v>
      </c>
      <c r="V1001" s="41">
        <f t="shared" si="70"/>
        <v>2726.8384959131481</v>
      </c>
      <c r="W1001" s="17"/>
      <c r="X1001" s="17" t="s">
        <v>56</v>
      </c>
      <c r="Z1001" s="17" t="s">
        <v>56</v>
      </c>
      <c r="AA1001" s="17"/>
      <c r="AB1001" s="17" t="s">
        <v>57</v>
      </c>
      <c r="AC1001" s="17">
        <v>2007</v>
      </c>
      <c r="AD1001" s="17">
        <v>0</v>
      </c>
      <c r="AE1001" s="17"/>
      <c r="AF1001" s="17"/>
      <c r="AG1001" s="17">
        <v>2005</v>
      </c>
      <c r="AH1001" s="14">
        <f t="shared" si="68"/>
        <v>2</v>
      </c>
      <c r="AI1001" s="17">
        <f t="shared" si="69"/>
        <v>2</v>
      </c>
      <c r="AJ1001" s="17"/>
      <c r="AK1001" s="17" t="s">
        <v>56</v>
      </c>
      <c r="AL1001" s="16" t="s">
        <v>955</v>
      </c>
      <c r="AM1001" s="17">
        <v>2010</v>
      </c>
      <c r="AN1001" s="15" t="s">
        <v>602</v>
      </c>
      <c r="AO1001" s="15" t="s">
        <v>56</v>
      </c>
      <c r="AP1001" s="15"/>
      <c r="AQ1001" s="15" t="s">
        <v>56</v>
      </c>
      <c r="AR1001" s="15" t="s">
        <v>58</v>
      </c>
      <c r="AS1001" s="15" t="s">
        <v>62</v>
      </c>
      <c r="AT1001" s="15"/>
      <c r="AU1001" s="45"/>
      <c r="AV1001" s="15"/>
      <c r="AW1001" s="12" t="str">
        <f>B1001&amp;C1001&amp;L1001&amp;M1001&amp;O1001&amp;U1001&amp;AL1001&amp;AM1001</f>
        <v>TaiwanHobihu No Take AreaMullidaegoatfishesdensity28.2683849591315Tkachenko2010</v>
      </c>
    </row>
    <row r="1002" spans="1:49" ht="14.25" customHeight="1" x14ac:dyDescent="0.35">
      <c r="A1002" s="12">
        <v>1001</v>
      </c>
      <c r="B1002" s="15" t="s">
        <v>599</v>
      </c>
      <c r="C1002" s="15" t="s">
        <v>953</v>
      </c>
      <c r="D1002" s="15" t="s">
        <v>953</v>
      </c>
      <c r="E1002" s="15" t="s">
        <v>954</v>
      </c>
      <c r="F1002" s="16" t="s">
        <v>50</v>
      </c>
      <c r="G1002" s="16" t="s">
        <v>51</v>
      </c>
      <c r="H1002" s="16" t="s">
        <v>78</v>
      </c>
      <c r="I1002" s="16" t="s">
        <v>156</v>
      </c>
      <c r="J1002" s="17">
        <v>1.5</v>
      </c>
      <c r="K1002" s="17"/>
      <c r="L1002" s="17" t="s">
        <v>543</v>
      </c>
      <c r="M1002" s="17" t="s">
        <v>961</v>
      </c>
      <c r="N1002" s="17" t="s">
        <v>170</v>
      </c>
      <c r="O1002" s="17" t="s">
        <v>86</v>
      </c>
      <c r="P1002" s="17"/>
      <c r="Q1002" s="17"/>
      <c r="R1002" s="17"/>
      <c r="S1002" s="17">
        <v>7.26431</v>
      </c>
      <c r="T1002" s="17">
        <v>16.49044</v>
      </c>
      <c r="U1002" s="20">
        <f t="shared" si="67"/>
        <v>2.2700628139492944</v>
      </c>
      <c r="V1002" s="41">
        <f t="shared" si="70"/>
        <v>127.00628139492945</v>
      </c>
      <c r="W1002" s="17"/>
      <c r="X1002" s="17" t="s">
        <v>56</v>
      </c>
      <c r="Z1002" s="17" t="s">
        <v>56</v>
      </c>
      <c r="AA1002" s="17"/>
      <c r="AB1002" s="17" t="s">
        <v>57</v>
      </c>
      <c r="AC1002" s="17">
        <v>2007</v>
      </c>
      <c r="AD1002" s="17">
        <v>0</v>
      </c>
      <c r="AE1002" s="17"/>
      <c r="AF1002" s="17"/>
      <c r="AG1002" s="17">
        <v>2005</v>
      </c>
      <c r="AH1002" s="14">
        <f t="shared" si="68"/>
        <v>2</v>
      </c>
      <c r="AI1002" s="17">
        <f t="shared" si="69"/>
        <v>2</v>
      </c>
      <c r="AJ1002" s="17"/>
      <c r="AK1002" s="17" t="s">
        <v>56</v>
      </c>
      <c r="AL1002" s="16" t="s">
        <v>955</v>
      </c>
      <c r="AM1002" s="17">
        <v>2010</v>
      </c>
      <c r="AN1002" s="15" t="s">
        <v>602</v>
      </c>
      <c r="AO1002" s="15" t="s">
        <v>56</v>
      </c>
      <c r="AP1002" s="15"/>
      <c r="AQ1002" s="15" t="s">
        <v>56</v>
      </c>
      <c r="AR1002" s="15" t="s">
        <v>58</v>
      </c>
      <c r="AS1002" s="15" t="s">
        <v>62</v>
      </c>
      <c r="AT1002" s="15"/>
      <c r="AU1002" s="45"/>
      <c r="AV1002" s="15"/>
      <c r="AW1002" s="12" t="str">
        <f>B1002&amp;C1002&amp;L1002&amp;M1002&amp;O1002&amp;U1002&amp;AL1002&amp;AM1002</f>
        <v>TaiwanHobihu No Take AreaSerranidaegroupersdensity2.27006281394929Tkachenko2010</v>
      </c>
    </row>
    <row r="1003" spans="1:49" ht="14.25" customHeight="1" x14ac:dyDescent="0.35">
      <c r="A1003" s="12">
        <v>1002</v>
      </c>
      <c r="B1003" s="15" t="s">
        <v>599</v>
      </c>
      <c r="C1003" s="15" t="s">
        <v>953</v>
      </c>
      <c r="D1003" s="15" t="s">
        <v>953</v>
      </c>
      <c r="E1003" s="15" t="s">
        <v>954</v>
      </c>
      <c r="F1003" s="16" t="s">
        <v>50</v>
      </c>
      <c r="G1003" s="16" t="s">
        <v>51</v>
      </c>
      <c r="H1003" s="16" t="s">
        <v>78</v>
      </c>
      <c r="I1003" s="16" t="s">
        <v>156</v>
      </c>
      <c r="J1003" s="17">
        <v>1.5</v>
      </c>
      <c r="K1003" s="17"/>
      <c r="L1003" s="17" t="s">
        <v>265</v>
      </c>
      <c r="M1003" s="17" t="s">
        <v>266</v>
      </c>
      <c r="N1003" s="17" t="s">
        <v>170</v>
      </c>
      <c r="O1003" s="17" t="s">
        <v>86</v>
      </c>
      <c r="P1003" s="17"/>
      <c r="Q1003" s="17"/>
      <c r="R1003" s="17"/>
      <c r="S1003" s="17">
        <v>110.857</v>
      </c>
      <c r="T1003" s="17">
        <v>87.882570000000001</v>
      </c>
      <c r="U1003" s="20">
        <f t="shared" si="67"/>
        <v>0.79275616334557131</v>
      </c>
      <c r="V1003" s="41">
        <f t="shared" si="70"/>
        <v>-20.724383665442868</v>
      </c>
      <c r="W1003" s="17"/>
      <c r="X1003" s="17" t="s">
        <v>56</v>
      </c>
      <c r="Z1003" s="17" t="s">
        <v>56</v>
      </c>
      <c r="AA1003" s="17"/>
      <c r="AB1003" s="17" t="s">
        <v>57</v>
      </c>
      <c r="AC1003" s="17">
        <v>2007</v>
      </c>
      <c r="AD1003" s="17">
        <v>0</v>
      </c>
      <c r="AE1003" s="17"/>
      <c r="AF1003" s="17"/>
      <c r="AG1003" s="17">
        <v>2005</v>
      </c>
      <c r="AH1003" s="14">
        <f t="shared" si="68"/>
        <v>2</v>
      </c>
      <c r="AI1003" s="17">
        <f t="shared" si="69"/>
        <v>2</v>
      </c>
      <c r="AJ1003" s="17"/>
      <c r="AK1003" s="17" t="s">
        <v>56</v>
      </c>
      <c r="AL1003" s="16" t="s">
        <v>955</v>
      </c>
      <c r="AM1003" s="17">
        <v>2010</v>
      </c>
      <c r="AN1003" s="15" t="s">
        <v>602</v>
      </c>
      <c r="AO1003" s="15" t="s">
        <v>56</v>
      </c>
      <c r="AP1003" s="15"/>
      <c r="AQ1003" s="15" t="s">
        <v>56</v>
      </c>
      <c r="AR1003" s="15" t="s">
        <v>58</v>
      </c>
      <c r="AS1003" s="15" t="s">
        <v>62</v>
      </c>
      <c r="AT1003" s="15"/>
      <c r="AU1003" s="45"/>
      <c r="AV1003" s="15"/>
      <c r="AW1003" s="12" t="str">
        <f>B1003&amp;C1003&amp;L1003&amp;M1003&amp;O1003&amp;U1003&amp;AL1003&amp;AM1003</f>
        <v>TaiwanHobihu No Take AreaLabridaewrassesdensity0.792756163345571Tkachenko2010</v>
      </c>
    </row>
    <row r="1004" spans="1:49" ht="14.25" customHeight="1" x14ac:dyDescent="0.35">
      <c r="A1004" s="12">
        <v>1003</v>
      </c>
      <c r="B1004" s="12" t="s">
        <v>599</v>
      </c>
      <c r="C1004" s="15" t="s">
        <v>953</v>
      </c>
      <c r="D1004" s="15" t="s">
        <v>953</v>
      </c>
      <c r="E1004" s="12" t="s">
        <v>954</v>
      </c>
      <c r="F1004" s="13" t="s">
        <v>50</v>
      </c>
      <c r="G1004" s="13" t="s">
        <v>51</v>
      </c>
      <c r="H1004" s="13" t="s">
        <v>78</v>
      </c>
      <c r="I1004" s="13" t="s">
        <v>156</v>
      </c>
      <c r="J1004" s="14">
        <v>1.5</v>
      </c>
      <c r="K1004" s="17"/>
      <c r="L1004" s="14" t="s">
        <v>188</v>
      </c>
      <c r="M1004" s="14" t="s">
        <v>962</v>
      </c>
      <c r="N1004" s="14" t="s">
        <v>170</v>
      </c>
      <c r="O1004" s="17" t="s">
        <v>86</v>
      </c>
      <c r="P1004" s="14"/>
      <c r="Q1004" s="14"/>
      <c r="R1004" s="14"/>
      <c r="S1004" s="14">
        <v>27.123539999999998</v>
      </c>
      <c r="T1004" s="14">
        <v>61.197890000000001</v>
      </c>
      <c r="U1004" s="19">
        <f t="shared" si="67"/>
        <v>2.2562648533340415</v>
      </c>
      <c r="V1004" s="41">
        <f t="shared" si="70"/>
        <v>125.62648533340415</v>
      </c>
      <c r="W1004" s="14"/>
      <c r="X1004" s="14" t="s">
        <v>56</v>
      </c>
      <c r="Z1004" s="14" t="s">
        <v>56</v>
      </c>
      <c r="AA1004" s="14"/>
      <c r="AB1004" s="14" t="s">
        <v>57</v>
      </c>
      <c r="AC1004" s="14">
        <v>2007</v>
      </c>
      <c r="AD1004" s="14">
        <v>0</v>
      </c>
      <c r="AE1004" s="14"/>
      <c r="AF1004" s="14"/>
      <c r="AG1004" s="14">
        <v>2005</v>
      </c>
      <c r="AH1004" s="14">
        <f t="shared" si="68"/>
        <v>2</v>
      </c>
      <c r="AI1004" s="17">
        <f t="shared" si="69"/>
        <v>2</v>
      </c>
      <c r="AJ1004" s="14"/>
      <c r="AK1004" s="14" t="s">
        <v>56</v>
      </c>
      <c r="AL1004" s="13" t="s">
        <v>955</v>
      </c>
      <c r="AM1004" s="14">
        <v>2010</v>
      </c>
      <c r="AN1004" s="12" t="s">
        <v>602</v>
      </c>
      <c r="AO1004" s="12" t="s">
        <v>56</v>
      </c>
      <c r="AP1004" s="12"/>
      <c r="AQ1004" s="12" t="s">
        <v>56</v>
      </c>
      <c r="AR1004" s="12" t="s">
        <v>58</v>
      </c>
      <c r="AS1004" s="12" t="s">
        <v>62</v>
      </c>
      <c r="AT1004" s="12"/>
      <c r="AU1004" s="45"/>
      <c r="AV1004" s="15"/>
      <c r="AW1004" s="12" t="str">
        <f>B1004&amp;C1004&amp;L1004&amp;M1004&amp;O1004&amp;U1004&amp;AL1004&amp;AM1004</f>
        <v>TaiwanHobihu No Take AreaChaetodontidaebutterflyfishdensity2.25626485333404Tkachenko2010</v>
      </c>
    </row>
    <row r="1005" spans="1:49" ht="14.25" customHeight="1" x14ac:dyDescent="0.35">
      <c r="A1005" s="12">
        <v>1004</v>
      </c>
      <c r="B1005" s="15" t="s">
        <v>599</v>
      </c>
      <c r="C1005" s="15" t="s">
        <v>953</v>
      </c>
      <c r="D1005" s="15" t="s">
        <v>953</v>
      </c>
      <c r="E1005" s="15" t="s">
        <v>954</v>
      </c>
      <c r="F1005" s="16" t="s">
        <v>50</v>
      </c>
      <c r="G1005" s="16" t="s">
        <v>51</v>
      </c>
      <c r="H1005" s="16" t="s">
        <v>78</v>
      </c>
      <c r="I1005" s="16" t="s">
        <v>156</v>
      </c>
      <c r="J1005" s="14">
        <v>1.5</v>
      </c>
      <c r="K1005" s="17"/>
      <c r="L1005" s="17" t="s">
        <v>625</v>
      </c>
      <c r="M1005" s="17" t="s">
        <v>963</v>
      </c>
      <c r="N1005" s="17" t="s">
        <v>170</v>
      </c>
      <c r="O1005" s="17" t="s">
        <v>86</v>
      </c>
      <c r="P1005" s="17"/>
      <c r="Q1005" s="17"/>
      <c r="R1005" s="17"/>
      <c r="S1005" s="17">
        <v>31.740670000000001</v>
      </c>
      <c r="T1005" s="17">
        <v>60.084009999999999</v>
      </c>
      <c r="U1005" s="20">
        <f t="shared" si="67"/>
        <v>1.892966027497214</v>
      </c>
      <c r="V1005" s="41">
        <f t="shared" si="70"/>
        <v>89.296602749721401</v>
      </c>
      <c r="W1005" s="17"/>
      <c r="X1005" s="17" t="s">
        <v>56</v>
      </c>
      <c r="Z1005" s="17" t="s">
        <v>56</v>
      </c>
      <c r="AA1005" s="17"/>
      <c r="AB1005" s="17" t="s">
        <v>57</v>
      </c>
      <c r="AC1005" s="17">
        <v>2007</v>
      </c>
      <c r="AD1005" s="17">
        <v>0</v>
      </c>
      <c r="AE1005" s="17"/>
      <c r="AF1005" s="17"/>
      <c r="AG1005" s="14">
        <v>2005</v>
      </c>
      <c r="AH1005" s="14">
        <f t="shared" si="68"/>
        <v>2</v>
      </c>
      <c r="AI1005" s="17">
        <f t="shared" si="69"/>
        <v>2</v>
      </c>
      <c r="AJ1005" s="17"/>
      <c r="AK1005" s="17" t="s">
        <v>56</v>
      </c>
      <c r="AL1005" s="16" t="s">
        <v>955</v>
      </c>
      <c r="AM1005" s="17">
        <v>2010</v>
      </c>
      <c r="AN1005" s="15" t="s">
        <v>602</v>
      </c>
      <c r="AO1005" s="15" t="s">
        <v>56</v>
      </c>
      <c r="AP1005" s="15"/>
      <c r="AQ1005" s="15" t="s">
        <v>56</v>
      </c>
      <c r="AR1005" s="15" t="s">
        <v>58</v>
      </c>
      <c r="AS1005" s="15" t="s">
        <v>62</v>
      </c>
      <c r="AT1005" s="15"/>
      <c r="AU1005" s="45"/>
      <c r="AV1005" s="15"/>
      <c r="AW1005" s="12" t="str">
        <f>B1005&amp;C1005&amp;L1005&amp;M1005&amp;O1005&amp;U1005&amp;AL1005&amp;AM1005</f>
        <v>TaiwanHobihu No Take AreaAcanthuridaesurgeonfishes, tangs, and unicorn fishesdensity1.89296602749721Tkachenko2010</v>
      </c>
    </row>
    <row r="1006" spans="1:49" ht="14.25" customHeight="1" x14ac:dyDescent="0.35">
      <c r="A1006" s="12">
        <v>1005</v>
      </c>
      <c r="B1006" s="15" t="s">
        <v>599</v>
      </c>
      <c r="C1006" s="15" t="s">
        <v>953</v>
      </c>
      <c r="D1006" s="15" t="s">
        <v>953</v>
      </c>
      <c r="E1006" s="15" t="s">
        <v>954</v>
      </c>
      <c r="F1006" s="16" t="s">
        <v>50</v>
      </c>
      <c r="G1006" s="16" t="s">
        <v>51</v>
      </c>
      <c r="H1006" s="16" t="s">
        <v>78</v>
      </c>
      <c r="I1006" s="16" t="s">
        <v>156</v>
      </c>
      <c r="J1006" s="14">
        <v>1.5</v>
      </c>
      <c r="K1006" s="17"/>
      <c r="L1006" s="17" t="s">
        <v>964</v>
      </c>
      <c r="M1006" s="17" t="s">
        <v>965</v>
      </c>
      <c r="N1006" s="17" t="s">
        <v>170</v>
      </c>
      <c r="O1006" s="17" t="s">
        <v>86</v>
      </c>
      <c r="P1006" s="17"/>
      <c r="Q1006" s="17"/>
      <c r="R1006" s="17"/>
      <c r="S1006" s="17">
        <v>24.965589999999999</v>
      </c>
      <c r="T1006" s="17">
        <v>9.0139010000000006</v>
      </c>
      <c r="U1006" s="20">
        <f t="shared" si="67"/>
        <v>0.36105299334003327</v>
      </c>
      <c r="V1006" s="41">
        <f t="shared" si="70"/>
        <v>-63.894700665996673</v>
      </c>
      <c r="W1006" s="17"/>
      <c r="X1006" s="17" t="s">
        <v>56</v>
      </c>
      <c r="Z1006" s="17" t="s">
        <v>56</v>
      </c>
      <c r="AA1006" s="17"/>
      <c r="AB1006" s="17" t="s">
        <v>57</v>
      </c>
      <c r="AC1006" s="17">
        <v>2007</v>
      </c>
      <c r="AD1006" s="17">
        <v>0</v>
      </c>
      <c r="AE1006" s="17"/>
      <c r="AF1006" s="17"/>
      <c r="AG1006" s="14">
        <v>2005</v>
      </c>
      <c r="AH1006" s="14">
        <f t="shared" si="68"/>
        <v>2</v>
      </c>
      <c r="AI1006" s="17">
        <f t="shared" si="69"/>
        <v>2</v>
      </c>
      <c r="AJ1006" s="17"/>
      <c r="AK1006" s="17" t="s">
        <v>56</v>
      </c>
      <c r="AL1006" s="16" t="s">
        <v>955</v>
      </c>
      <c r="AM1006" s="17">
        <v>2010</v>
      </c>
      <c r="AN1006" s="15" t="s">
        <v>602</v>
      </c>
      <c r="AO1006" s="15" t="s">
        <v>56</v>
      </c>
      <c r="AP1006" s="15"/>
      <c r="AQ1006" s="15" t="s">
        <v>56</v>
      </c>
      <c r="AR1006" s="15" t="s">
        <v>58</v>
      </c>
      <c r="AS1006" s="15" t="s">
        <v>62</v>
      </c>
      <c r="AT1006" s="15"/>
      <c r="AU1006" s="45"/>
      <c r="AV1006" s="15"/>
      <c r="AW1006" s="12" t="str">
        <f>B1006&amp;C1006&amp;L1006&amp;M1006&amp;O1006&amp;U1006&amp;AL1006&amp;AM1006</f>
        <v>TaiwanHobihu No Take AreaTeraodontidaeblowfishdensity0.361052993340033Tkachenko2010</v>
      </c>
    </row>
    <row r="1007" spans="1:49" ht="14.25" customHeight="1" x14ac:dyDescent="0.35">
      <c r="A1007" s="12">
        <v>1006</v>
      </c>
      <c r="B1007" s="15" t="s">
        <v>599</v>
      </c>
      <c r="C1007" s="15" t="s">
        <v>953</v>
      </c>
      <c r="D1007" s="15" t="s">
        <v>953</v>
      </c>
      <c r="E1007" s="15" t="s">
        <v>954</v>
      </c>
      <c r="F1007" s="13" t="s">
        <v>50</v>
      </c>
      <c r="G1007" s="13" t="s">
        <v>51</v>
      </c>
      <c r="H1007" s="16" t="s">
        <v>78</v>
      </c>
      <c r="I1007" s="16" t="s">
        <v>156</v>
      </c>
      <c r="J1007" s="14">
        <v>1.5</v>
      </c>
      <c r="K1007" s="17"/>
      <c r="L1007" s="17" t="s">
        <v>696</v>
      </c>
      <c r="M1007" s="17" t="s">
        <v>966</v>
      </c>
      <c r="N1007" s="17" t="s">
        <v>170</v>
      </c>
      <c r="O1007" s="17" t="s">
        <v>86</v>
      </c>
      <c r="P1007" s="17"/>
      <c r="Q1007" s="17"/>
      <c r="R1007" s="17"/>
      <c r="S1007" s="17">
        <v>12.735519999999999</v>
      </c>
      <c r="T1007" s="17">
        <v>16.981629999999999</v>
      </c>
      <c r="U1007" s="20">
        <f t="shared" si="67"/>
        <v>1.3334068809125972</v>
      </c>
      <c r="V1007" s="41">
        <f t="shared" si="70"/>
        <v>33.340688091259722</v>
      </c>
      <c r="W1007" s="17"/>
      <c r="X1007" s="17" t="s">
        <v>56</v>
      </c>
      <c r="Z1007" s="17" t="s">
        <v>56</v>
      </c>
      <c r="AA1007" s="17"/>
      <c r="AB1007" s="17" t="s">
        <v>57</v>
      </c>
      <c r="AC1007" s="17">
        <v>2007</v>
      </c>
      <c r="AD1007" s="17">
        <v>0</v>
      </c>
      <c r="AE1007" s="17"/>
      <c r="AF1007" s="17"/>
      <c r="AG1007" s="14">
        <v>2005</v>
      </c>
      <c r="AH1007" s="14">
        <f t="shared" si="68"/>
        <v>2</v>
      </c>
      <c r="AI1007" s="17">
        <f t="shared" si="69"/>
        <v>2</v>
      </c>
      <c r="AJ1007" s="17"/>
      <c r="AK1007" s="17" t="s">
        <v>56</v>
      </c>
      <c r="AL1007" s="16" t="s">
        <v>955</v>
      </c>
      <c r="AM1007" s="17">
        <v>2010</v>
      </c>
      <c r="AN1007" s="15" t="s">
        <v>602</v>
      </c>
      <c r="AO1007" s="15" t="s">
        <v>56</v>
      </c>
      <c r="AP1007" s="15"/>
      <c r="AQ1007" s="15" t="s">
        <v>56</v>
      </c>
      <c r="AR1007" s="15" t="s">
        <v>58</v>
      </c>
      <c r="AS1007" s="15" t="s">
        <v>62</v>
      </c>
      <c r="AT1007" s="15"/>
      <c r="AU1007" s="45"/>
      <c r="AV1007" s="15"/>
      <c r="AW1007" s="12" t="str">
        <f>B1007&amp;C1007&amp;L1007&amp;M1007&amp;O1007&amp;U1007&amp;AL1007&amp;AM1007</f>
        <v>TaiwanHobihu No Take AreaHolocentridaesquirrelfish, soldierfishdensity1.3334068809126Tkachenko2010</v>
      </c>
    </row>
    <row r="1008" spans="1:49" ht="14.25" customHeight="1" x14ac:dyDescent="0.35">
      <c r="A1008" s="12">
        <v>1007</v>
      </c>
      <c r="B1008" s="15" t="s">
        <v>599</v>
      </c>
      <c r="C1008" s="15" t="s">
        <v>953</v>
      </c>
      <c r="D1008" s="15" t="s">
        <v>953</v>
      </c>
      <c r="E1008" s="15" t="s">
        <v>954</v>
      </c>
      <c r="F1008" s="13" t="s">
        <v>50</v>
      </c>
      <c r="G1008" s="13" t="s">
        <v>51</v>
      </c>
      <c r="H1008" s="16" t="s">
        <v>78</v>
      </c>
      <c r="I1008" s="16" t="s">
        <v>156</v>
      </c>
      <c r="J1008" s="17">
        <v>1.5</v>
      </c>
      <c r="K1008" s="17"/>
      <c r="L1008" s="17" t="s">
        <v>693</v>
      </c>
      <c r="M1008" s="17" t="s">
        <v>967</v>
      </c>
      <c r="N1008" s="17" t="s">
        <v>170</v>
      </c>
      <c r="O1008" s="17" t="s">
        <v>86</v>
      </c>
      <c r="P1008" s="17"/>
      <c r="Q1008" s="17"/>
      <c r="R1008" s="17"/>
      <c r="S1008" s="17">
        <v>2.5903610000000001</v>
      </c>
      <c r="T1008" s="17">
        <v>7.8759819999999996</v>
      </c>
      <c r="U1008" s="20">
        <f t="shared" si="67"/>
        <v>3.0404958999923175</v>
      </c>
      <c r="V1008" s="41">
        <f t="shared" si="70"/>
        <v>204.04958999923176</v>
      </c>
      <c r="W1008" s="17"/>
      <c r="X1008" s="17" t="s">
        <v>56</v>
      </c>
      <c r="Z1008" s="17" t="s">
        <v>56</v>
      </c>
      <c r="AA1008" s="17"/>
      <c r="AB1008" s="17" t="s">
        <v>57</v>
      </c>
      <c r="AC1008" s="17">
        <v>2007</v>
      </c>
      <c r="AD1008" s="17">
        <v>0</v>
      </c>
      <c r="AE1008" s="17"/>
      <c r="AF1008" s="17"/>
      <c r="AG1008" s="17">
        <v>2005</v>
      </c>
      <c r="AH1008" s="14">
        <f t="shared" si="68"/>
        <v>2</v>
      </c>
      <c r="AI1008" s="17">
        <f t="shared" si="69"/>
        <v>2</v>
      </c>
      <c r="AJ1008" s="17"/>
      <c r="AK1008" s="17" t="s">
        <v>56</v>
      </c>
      <c r="AL1008" s="16" t="s">
        <v>955</v>
      </c>
      <c r="AM1008" s="17">
        <v>2010</v>
      </c>
      <c r="AN1008" s="15" t="s">
        <v>602</v>
      </c>
      <c r="AO1008" s="15" t="s">
        <v>56</v>
      </c>
      <c r="AP1008" s="15"/>
      <c r="AQ1008" s="15" t="s">
        <v>56</v>
      </c>
      <c r="AR1008" s="15" t="s">
        <v>58</v>
      </c>
      <c r="AS1008" s="15" t="s">
        <v>62</v>
      </c>
      <c r="AT1008" s="15"/>
      <c r="AU1008" s="45"/>
      <c r="AV1008" s="15"/>
      <c r="AW1008" s="12" t="str">
        <f>B1008&amp;C1008&amp;L1008&amp;M1008&amp;O1008&amp;U1008&amp;AL1008&amp;AM1008</f>
        <v>TaiwanHobihu No Take AreaCarangidaejacks, pompanos, jack mackerels, runners, scadsdensity3.04049589999232Tkachenko2010</v>
      </c>
    </row>
    <row r="1009" spans="1:49" ht="14.25" customHeight="1" x14ac:dyDescent="0.35">
      <c r="A1009" s="12">
        <v>1008</v>
      </c>
      <c r="B1009" s="15" t="s">
        <v>599</v>
      </c>
      <c r="C1009" s="15" t="s">
        <v>953</v>
      </c>
      <c r="D1009" s="15" t="s">
        <v>953</v>
      </c>
      <c r="E1009" s="15" t="s">
        <v>954</v>
      </c>
      <c r="F1009" s="16" t="s">
        <v>50</v>
      </c>
      <c r="G1009" s="16" t="s">
        <v>51</v>
      </c>
      <c r="H1009" s="16" t="s">
        <v>78</v>
      </c>
      <c r="I1009" s="16" t="s">
        <v>156</v>
      </c>
      <c r="J1009" s="17">
        <v>1.5</v>
      </c>
      <c r="K1009" s="17"/>
      <c r="L1009" s="17" t="s">
        <v>269</v>
      </c>
      <c r="M1009" s="17" t="s">
        <v>270</v>
      </c>
      <c r="N1009" s="14" t="s">
        <v>170</v>
      </c>
      <c r="O1009" s="17" t="s">
        <v>86</v>
      </c>
      <c r="P1009" s="17"/>
      <c r="Q1009" s="17"/>
      <c r="R1009" s="17"/>
      <c r="S1009" s="17">
        <v>316.38760000000002</v>
      </c>
      <c r="T1009" s="17">
        <v>746.27689999999996</v>
      </c>
      <c r="U1009" s="20">
        <f t="shared" si="67"/>
        <v>2.3587425676606792</v>
      </c>
      <c r="V1009" s="41">
        <f t="shared" si="70"/>
        <v>135.87425676606793</v>
      </c>
      <c r="W1009" s="17"/>
      <c r="X1009" s="17" t="s">
        <v>56</v>
      </c>
      <c r="Z1009" s="17" t="s">
        <v>56</v>
      </c>
      <c r="AA1009" s="17"/>
      <c r="AB1009" s="17" t="s">
        <v>57</v>
      </c>
      <c r="AC1009" s="17">
        <v>2007</v>
      </c>
      <c r="AD1009" s="17">
        <v>0</v>
      </c>
      <c r="AE1009" s="17"/>
      <c r="AF1009" s="17"/>
      <c r="AG1009" s="17">
        <v>2005</v>
      </c>
      <c r="AH1009" s="14">
        <f t="shared" si="68"/>
        <v>2</v>
      </c>
      <c r="AI1009" s="17">
        <f t="shared" si="69"/>
        <v>2</v>
      </c>
      <c r="AJ1009" s="17"/>
      <c r="AK1009" s="17" t="s">
        <v>56</v>
      </c>
      <c r="AL1009" s="16" t="s">
        <v>955</v>
      </c>
      <c r="AM1009" s="17">
        <v>2010</v>
      </c>
      <c r="AN1009" s="15" t="s">
        <v>602</v>
      </c>
      <c r="AO1009" s="15" t="s">
        <v>56</v>
      </c>
      <c r="AP1009" s="15"/>
      <c r="AQ1009" s="15" t="s">
        <v>56</v>
      </c>
      <c r="AR1009" s="15" t="s">
        <v>58</v>
      </c>
      <c r="AS1009" s="15" t="s">
        <v>62</v>
      </c>
      <c r="AT1009" s="15"/>
      <c r="AU1009" s="45"/>
      <c r="AV1009" s="15"/>
      <c r="AW1009" s="12" t="str">
        <f>B1009&amp;C1009&amp;L1009&amp;M1009&amp;O1009&amp;U1009&amp;AL1009&amp;AM1009</f>
        <v>TaiwanHobihu No Take AreaPomacentridaedamselfish, clownfishdensity2.35874256766068Tkachenko2010</v>
      </c>
    </row>
    <row r="1010" spans="1:49" ht="14.25" customHeight="1" x14ac:dyDescent="0.35">
      <c r="A1010" s="12">
        <v>1009</v>
      </c>
      <c r="B1010" s="15" t="s">
        <v>2701</v>
      </c>
      <c r="C1010" s="15" t="s">
        <v>1553</v>
      </c>
      <c r="D1010" s="15" t="s">
        <v>1553</v>
      </c>
      <c r="E1010" s="15" t="s">
        <v>1554</v>
      </c>
      <c r="F1010" s="16" t="s">
        <v>50</v>
      </c>
      <c r="G1010" s="16" t="s">
        <v>51</v>
      </c>
      <c r="H1010" s="16" t="s">
        <v>78</v>
      </c>
      <c r="I1010" s="16" t="s">
        <v>156</v>
      </c>
      <c r="J1010" s="17">
        <v>3.6</v>
      </c>
      <c r="K1010" s="17"/>
      <c r="L1010" s="17" t="s">
        <v>1555</v>
      </c>
      <c r="M1010" s="17" t="s">
        <v>1556</v>
      </c>
      <c r="N1010" s="14" t="s">
        <v>85</v>
      </c>
      <c r="O1010" s="17" t="s">
        <v>70</v>
      </c>
      <c r="P1010" s="17"/>
      <c r="Q1010" s="17"/>
      <c r="R1010" s="17"/>
      <c r="S1010" s="17">
        <v>19224</v>
      </c>
      <c r="T1010" s="17">
        <v>16204</v>
      </c>
      <c r="U1010" s="20">
        <f t="shared" si="67"/>
        <v>0.84290470245526428</v>
      </c>
      <c r="V1010" s="41">
        <f t="shared" si="70"/>
        <v>-15.709529754473571</v>
      </c>
      <c r="W1010" s="17"/>
      <c r="X1010" s="17" t="s">
        <v>56</v>
      </c>
      <c r="Z1010" s="17" t="s">
        <v>56</v>
      </c>
      <c r="AA1010" s="17"/>
      <c r="AB1010" s="17" t="s">
        <v>57</v>
      </c>
      <c r="AC1010" s="17">
        <v>2003</v>
      </c>
      <c r="AD1010" s="17">
        <v>1</v>
      </c>
      <c r="AE1010" s="17"/>
      <c r="AF1010" s="17"/>
      <c r="AG1010" s="17">
        <v>2001</v>
      </c>
      <c r="AH1010" s="14">
        <f t="shared" si="68"/>
        <v>2</v>
      </c>
      <c r="AI1010" s="17">
        <f t="shared" si="69"/>
        <v>3</v>
      </c>
      <c r="AJ1010" s="17"/>
      <c r="AK1010" s="17" t="s">
        <v>56</v>
      </c>
      <c r="AL1010" s="16" t="s">
        <v>1557</v>
      </c>
      <c r="AM1010" s="17">
        <v>2007</v>
      </c>
      <c r="AN1010" s="15" t="s">
        <v>1558</v>
      </c>
      <c r="AO1010" s="15" t="s">
        <v>56</v>
      </c>
      <c r="AP1010" s="15"/>
      <c r="AQ1010" s="15" t="s">
        <v>56</v>
      </c>
      <c r="AR1010" s="15" t="s">
        <v>58</v>
      </c>
      <c r="AS1010" s="15" t="s">
        <v>62</v>
      </c>
      <c r="AT1010" s="15"/>
      <c r="AU1010" s="45" t="s">
        <v>1559</v>
      </c>
      <c r="AV1010" s="15"/>
      <c r="AW1010" s="12" t="str">
        <f>B1010&amp;C1010&amp;L1010&amp;M1010&amp;O1010&amp;U1010&amp;AL1010&amp;AM1010</f>
        <v>Guam (US Territory)Piti Bomb Holes Marine PreserveAcanthurus triostegusconvict surgeonfishbiomassden0.842904702455264Tupper2007</v>
      </c>
    </row>
    <row r="1011" spans="1:49" ht="14.25" customHeight="1" x14ac:dyDescent="0.35">
      <c r="A1011" s="12">
        <v>1010</v>
      </c>
      <c r="B1011" s="15" t="s">
        <v>2701</v>
      </c>
      <c r="C1011" s="15" t="s">
        <v>1553</v>
      </c>
      <c r="D1011" s="15" t="s">
        <v>1553</v>
      </c>
      <c r="E1011" s="15" t="s">
        <v>1554</v>
      </c>
      <c r="F1011" s="13" t="s">
        <v>50</v>
      </c>
      <c r="G1011" s="13" t="s">
        <v>51</v>
      </c>
      <c r="H1011" s="16" t="s">
        <v>78</v>
      </c>
      <c r="I1011" s="16" t="s">
        <v>156</v>
      </c>
      <c r="J1011" s="17">
        <v>3.6</v>
      </c>
      <c r="K1011" s="17"/>
      <c r="L1011" s="17" t="s">
        <v>1560</v>
      </c>
      <c r="M1011" s="17" t="s">
        <v>1561</v>
      </c>
      <c r="N1011" s="14" t="s">
        <v>85</v>
      </c>
      <c r="O1011" s="17" t="s">
        <v>70</v>
      </c>
      <c r="P1011" s="17"/>
      <c r="Q1011" s="17"/>
      <c r="R1011" s="17"/>
      <c r="S1011" s="17">
        <v>6864</v>
      </c>
      <c r="T1011" s="17">
        <v>7544</v>
      </c>
      <c r="U1011" s="20">
        <f t="shared" ref="U1011:U1074" si="71">IFERROR(IF(AND(Q1011="",R1011="",S1011="",T1011=""),"",IF(AND(Q1011&lt;&gt;"",R1011&lt;&gt;"",S1011&lt;&gt;"",T1011&lt;&gt;""),(T1011/R1011)/(S1011/Q1011),IF(AND(Q1011&lt;&gt;"",R1011&lt;&gt;""),R1011/Q1011,IF(AND(S1011&lt;&gt;"",T1011&lt;&gt;""),T1011/S1011,IF(AND(Q1011&lt;&gt;"",S1011&lt;&gt;""),Q1011/S1011,IF(AND(R1011&lt;&gt;"",T1011&lt;&gt;""),T1011/R1011)))))), "N/A")</f>
        <v>1.0990675990675991</v>
      </c>
      <c r="V1011" s="41">
        <f t="shared" si="70"/>
        <v>9.906759906759909</v>
      </c>
      <c r="W1011" s="17"/>
      <c r="X1011" s="17" t="s">
        <v>56</v>
      </c>
      <c r="Z1011" s="17" t="s">
        <v>56</v>
      </c>
      <c r="AA1011" s="17"/>
      <c r="AB1011" s="17" t="s">
        <v>57</v>
      </c>
      <c r="AC1011" s="17">
        <v>2003</v>
      </c>
      <c r="AD1011" s="17">
        <v>1</v>
      </c>
      <c r="AE1011" s="17"/>
      <c r="AF1011" s="17"/>
      <c r="AG1011" s="17">
        <v>2001</v>
      </c>
      <c r="AH1011" s="14">
        <f t="shared" si="68"/>
        <v>2</v>
      </c>
      <c r="AI1011" s="17">
        <f t="shared" si="69"/>
        <v>3</v>
      </c>
      <c r="AJ1011" s="17"/>
      <c r="AK1011" s="17" t="s">
        <v>56</v>
      </c>
      <c r="AL1011" s="16" t="s">
        <v>1557</v>
      </c>
      <c r="AM1011" s="17">
        <v>2007</v>
      </c>
      <c r="AN1011" s="15" t="s">
        <v>1558</v>
      </c>
      <c r="AO1011" s="15" t="s">
        <v>56</v>
      </c>
      <c r="AP1011" s="15"/>
      <c r="AQ1011" s="15" t="s">
        <v>56</v>
      </c>
      <c r="AR1011" s="15" t="s">
        <v>58</v>
      </c>
      <c r="AS1011" s="15" t="s">
        <v>62</v>
      </c>
      <c r="AT1011" s="15"/>
      <c r="AU1011" s="45" t="s">
        <v>1562</v>
      </c>
      <c r="AV1011" s="15"/>
      <c r="AW1011" s="12" t="str">
        <f>B1011&amp;C1011&amp;L1011&amp;M1011&amp;O1011&amp;U1011&amp;AL1011&amp;AM1011</f>
        <v>Guam (US Territory)Piti Bomb Holes Marine PreserveEpinephelus merrahoneycomb grouperbiomassden1.0990675990676Tupper2007</v>
      </c>
    </row>
    <row r="1012" spans="1:49" ht="14.25" customHeight="1" x14ac:dyDescent="0.35">
      <c r="A1012" s="12">
        <v>1011</v>
      </c>
      <c r="B1012" s="15" t="s">
        <v>2701</v>
      </c>
      <c r="C1012" s="15" t="s">
        <v>1553</v>
      </c>
      <c r="D1012" s="15" t="s">
        <v>1553</v>
      </c>
      <c r="E1012" s="15" t="s">
        <v>1554</v>
      </c>
      <c r="F1012" s="13" t="s">
        <v>50</v>
      </c>
      <c r="G1012" s="13" t="s">
        <v>51</v>
      </c>
      <c r="H1012" s="16" t="s">
        <v>78</v>
      </c>
      <c r="I1012" s="16" t="s">
        <v>156</v>
      </c>
      <c r="J1012" s="17">
        <v>3.6</v>
      </c>
      <c r="K1012" s="17"/>
      <c r="L1012" s="17" t="s">
        <v>1563</v>
      </c>
      <c r="M1012" s="17" t="s">
        <v>1564</v>
      </c>
      <c r="N1012" s="14" t="s">
        <v>85</v>
      </c>
      <c r="O1012" s="17" t="s">
        <v>70</v>
      </c>
      <c r="P1012" s="17"/>
      <c r="Q1012" s="17"/>
      <c r="R1012" s="17"/>
      <c r="S1012" s="17">
        <v>11008</v>
      </c>
      <c r="T1012" s="17">
        <v>8020</v>
      </c>
      <c r="U1012" s="20">
        <f t="shared" si="71"/>
        <v>0.7285610465116279</v>
      </c>
      <c r="V1012" s="41">
        <f t="shared" si="70"/>
        <v>-27.143895348837212</v>
      </c>
      <c r="W1012" s="17"/>
      <c r="X1012" s="17" t="s">
        <v>56</v>
      </c>
      <c r="Z1012" s="17" t="s">
        <v>56</v>
      </c>
      <c r="AA1012" s="17"/>
      <c r="AB1012" s="17" t="s">
        <v>57</v>
      </c>
      <c r="AC1012" s="17">
        <v>2003</v>
      </c>
      <c r="AD1012" s="17">
        <v>1</v>
      </c>
      <c r="AE1012" s="17"/>
      <c r="AF1012" s="17"/>
      <c r="AG1012" s="17">
        <v>2001</v>
      </c>
      <c r="AH1012" s="14">
        <f t="shared" si="68"/>
        <v>2</v>
      </c>
      <c r="AI1012" s="17">
        <f t="shared" si="69"/>
        <v>3</v>
      </c>
      <c r="AJ1012" s="17"/>
      <c r="AK1012" s="17" t="s">
        <v>56</v>
      </c>
      <c r="AL1012" s="16" t="s">
        <v>1557</v>
      </c>
      <c r="AM1012" s="17">
        <v>2007</v>
      </c>
      <c r="AN1012" s="12" t="s">
        <v>1558</v>
      </c>
      <c r="AO1012" s="15" t="s">
        <v>56</v>
      </c>
      <c r="AP1012" s="15"/>
      <c r="AQ1012" s="15" t="s">
        <v>56</v>
      </c>
      <c r="AR1012" s="15" t="s">
        <v>58</v>
      </c>
      <c r="AS1012" s="15" t="s">
        <v>62</v>
      </c>
      <c r="AT1012" s="15"/>
      <c r="AU1012" s="45" t="s">
        <v>2790</v>
      </c>
      <c r="AV1012" s="15"/>
      <c r="AW1012" s="12" t="str">
        <f>B1012&amp;C1012&amp;L1012&amp;M1012&amp;O1012&amp;U1012&amp;AL1012&amp;AM1012</f>
        <v>Guam (US Territory)Piti Bomb Holes Marine PreserveMulloidichthys flavolineatusyellowstripe goatfishbiomassden0.728561046511628Tupper2007</v>
      </c>
    </row>
    <row r="1013" spans="1:49" ht="14.25" customHeight="1" x14ac:dyDescent="0.35">
      <c r="A1013" s="12">
        <v>1012</v>
      </c>
      <c r="B1013" s="15" t="s">
        <v>2701</v>
      </c>
      <c r="C1013" s="15" t="s">
        <v>1553</v>
      </c>
      <c r="D1013" s="15" t="s">
        <v>1553</v>
      </c>
      <c r="E1013" s="15" t="s">
        <v>1554</v>
      </c>
      <c r="F1013" s="13" t="s">
        <v>50</v>
      </c>
      <c r="G1013" s="13" t="s">
        <v>51</v>
      </c>
      <c r="H1013" s="16" t="s">
        <v>78</v>
      </c>
      <c r="I1013" s="16" t="s">
        <v>156</v>
      </c>
      <c r="J1013" s="17">
        <v>3.6</v>
      </c>
      <c r="K1013" s="17"/>
      <c r="L1013" s="17" t="s">
        <v>1488</v>
      </c>
      <c r="M1013" s="17" t="s">
        <v>1565</v>
      </c>
      <c r="N1013" s="14" t="s">
        <v>85</v>
      </c>
      <c r="O1013" s="17" t="s">
        <v>70</v>
      </c>
      <c r="P1013" s="17"/>
      <c r="Q1013" s="17"/>
      <c r="R1013" s="17"/>
      <c r="S1013" s="17">
        <v>25836</v>
      </c>
      <c r="T1013" s="17">
        <v>18184</v>
      </c>
      <c r="U1013" s="20">
        <f t="shared" si="71"/>
        <v>0.70382412138101869</v>
      </c>
      <c r="V1013" s="41">
        <f t="shared" si="70"/>
        <v>-29.61758786189813</v>
      </c>
      <c r="W1013" s="17"/>
      <c r="X1013" s="17" t="s">
        <v>56</v>
      </c>
      <c r="Z1013" s="17" t="s">
        <v>56</v>
      </c>
      <c r="AA1013" s="17"/>
      <c r="AB1013" s="17" t="s">
        <v>57</v>
      </c>
      <c r="AC1013" s="17">
        <v>2003</v>
      </c>
      <c r="AD1013" s="17">
        <v>1</v>
      </c>
      <c r="AE1013" s="17"/>
      <c r="AF1013" s="17"/>
      <c r="AG1013" s="17">
        <v>2001</v>
      </c>
      <c r="AH1013" s="14">
        <f t="shared" si="68"/>
        <v>2</v>
      </c>
      <c r="AI1013" s="17">
        <f t="shared" si="69"/>
        <v>3</v>
      </c>
      <c r="AJ1013" s="17"/>
      <c r="AK1013" s="17" t="s">
        <v>56</v>
      </c>
      <c r="AL1013" s="16" t="s">
        <v>1557</v>
      </c>
      <c r="AM1013" s="17">
        <v>2007</v>
      </c>
      <c r="AN1013" s="12" t="s">
        <v>1558</v>
      </c>
      <c r="AO1013" s="15" t="s">
        <v>56</v>
      </c>
      <c r="AP1013" s="15"/>
      <c r="AQ1013" s="15" t="s">
        <v>56</v>
      </c>
      <c r="AR1013" s="15" t="s">
        <v>58</v>
      </c>
      <c r="AS1013" s="15" t="s">
        <v>62</v>
      </c>
      <c r="AT1013" s="15"/>
      <c r="AU1013" s="45" t="s">
        <v>1562</v>
      </c>
      <c r="AV1013" s="15"/>
      <c r="AW1013" s="12" t="str">
        <f>B1013&amp;C1013&amp;L1013&amp;M1013&amp;O1013&amp;U1013&amp;AL1013&amp;AM1013</f>
        <v>Guam (US Territory)Piti Bomb Holes Marine PreserveNaso lituratusunicornfishbiomassden0.703824121381019Tupper2007</v>
      </c>
    </row>
    <row r="1014" spans="1:49" ht="14.25" customHeight="1" x14ac:dyDescent="0.35">
      <c r="A1014" s="12">
        <v>1013</v>
      </c>
      <c r="B1014" s="15" t="s">
        <v>2701</v>
      </c>
      <c r="C1014" s="15" t="s">
        <v>1553</v>
      </c>
      <c r="D1014" s="15" t="s">
        <v>1553</v>
      </c>
      <c r="E1014" s="12" t="s">
        <v>1554</v>
      </c>
      <c r="F1014" s="13" t="s">
        <v>50</v>
      </c>
      <c r="G1014" s="13" t="s">
        <v>51</v>
      </c>
      <c r="H1014" s="16" t="s">
        <v>78</v>
      </c>
      <c r="I1014" s="16" t="s">
        <v>156</v>
      </c>
      <c r="J1014" s="17">
        <v>3.6</v>
      </c>
      <c r="K1014" s="17"/>
      <c r="L1014" s="17" t="s">
        <v>1566</v>
      </c>
      <c r="M1014" s="17" t="s">
        <v>1567</v>
      </c>
      <c r="N1014" s="14" t="s">
        <v>85</v>
      </c>
      <c r="O1014" s="17" t="s">
        <v>70</v>
      </c>
      <c r="P1014" s="17"/>
      <c r="Q1014" s="17"/>
      <c r="R1014" s="17"/>
      <c r="S1014" s="17">
        <v>17428</v>
      </c>
      <c r="T1014" s="17">
        <v>10516</v>
      </c>
      <c r="U1014" s="19">
        <f t="shared" si="71"/>
        <v>0.60339683268303879</v>
      </c>
      <c r="V1014" s="41">
        <f t="shared" si="70"/>
        <v>-39.66031673169612</v>
      </c>
      <c r="W1014" s="14"/>
      <c r="X1014" s="17" t="s">
        <v>56</v>
      </c>
      <c r="Z1014" s="17" t="s">
        <v>56</v>
      </c>
      <c r="AA1014" s="17"/>
      <c r="AB1014" s="17" t="s">
        <v>57</v>
      </c>
      <c r="AC1014" s="17">
        <v>2003</v>
      </c>
      <c r="AD1014" s="17">
        <v>1</v>
      </c>
      <c r="AE1014" s="17"/>
      <c r="AF1014" s="17"/>
      <c r="AG1014" s="17">
        <v>2001</v>
      </c>
      <c r="AH1014" s="14">
        <f t="shared" si="68"/>
        <v>2</v>
      </c>
      <c r="AI1014" s="17">
        <f t="shared" si="69"/>
        <v>3</v>
      </c>
      <c r="AJ1014" s="17"/>
      <c r="AK1014" s="17" t="s">
        <v>56</v>
      </c>
      <c r="AL1014" s="16" t="s">
        <v>1557</v>
      </c>
      <c r="AM1014" s="17">
        <v>2007</v>
      </c>
      <c r="AN1014" s="15" t="s">
        <v>1558</v>
      </c>
      <c r="AO1014" s="15" t="s">
        <v>56</v>
      </c>
      <c r="AP1014" s="15"/>
      <c r="AQ1014" s="15" t="s">
        <v>56</v>
      </c>
      <c r="AR1014" s="15" t="s">
        <v>58</v>
      </c>
      <c r="AS1014" s="15" t="s">
        <v>62</v>
      </c>
      <c r="AT1014" s="12"/>
      <c r="AU1014" s="45" t="s">
        <v>1562</v>
      </c>
      <c r="AV1014" s="15"/>
      <c r="AW1014" s="12" t="str">
        <f>B1014&amp;C1014&amp;L1014&amp;M1014&amp;O1014&amp;U1014&amp;AL1014&amp;AM1014</f>
        <v>Guam (US Territory)Piti Bomb Holes Marine PreserveSiganus spinuslittle spinefootbiomassden0.603396832683039Tupper2007</v>
      </c>
    </row>
    <row r="1015" spans="1:49" ht="14.25" customHeight="1" x14ac:dyDescent="0.35">
      <c r="A1015" s="12">
        <v>1014</v>
      </c>
      <c r="B1015" s="15" t="s">
        <v>2701</v>
      </c>
      <c r="C1015" s="15" t="s">
        <v>1553</v>
      </c>
      <c r="D1015" s="15" t="s">
        <v>1553</v>
      </c>
      <c r="E1015" s="12" t="s">
        <v>1554</v>
      </c>
      <c r="F1015" s="13" t="s">
        <v>50</v>
      </c>
      <c r="G1015" s="13" t="s">
        <v>51</v>
      </c>
      <c r="H1015" s="16" t="s">
        <v>78</v>
      </c>
      <c r="I1015" s="16" t="s">
        <v>156</v>
      </c>
      <c r="J1015" s="17">
        <v>3.6</v>
      </c>
      <c r="K1015" s="17"/>
      <c r="L1015" s="17" t="s">
        <v>1555</v>
      </c>
      <c r="M1015" s="17" t="s">
        <v>1556</v>
      </c>
      <c r="N1015" s="14" t="s">
        <v>85</v>
      </c>
      <c r="O1015" s="17" t="s">
        <v>86</v>
      </c>
      <c r="P1015" s="17"/>
      <c r="Q1015" s="17"/>
      <c r="R1015" s="17"/>
      <c r="S1015" s="17">
        <v>39.200000000000003</v>
      </c>
      <c r="T1015" s="17">
        <v>37.200000000000003</v>
      </c>
      <c r="U1015" s="19">
        <f t="shared" si="71"/>
        <v>0.94897959183673475</v>
      </c>
      <c r="V1015" s="41">
        <f t="shared" si="70"/>
        <v>-5.1020408163265252</v>
      </c>
      <c r="W1015" s="14"/>
      <c r="X1015" s="17" t="s">
        <v>56</v>
      </c>
      <c r="Z1015" s="17" t="s">
        <v>56</v>
      </c>
      <c r="AA1015" s="17"/>
      <c r="AB1015" s="17" t="s">
        <v>57</v>
      </c>
      <c r="AC1015" s="17">
        <v>2003</v>
      </c>
      <c r="AD1015" s="17">
        <v>1</v>
      </c>
      <c r="AE1015" s="17"/>
      <c r="AF1015" s="17"/>
      <c r="AG1015" s="17">
        <v>2001</v>
      </c>
      <c r="AH1015" s="14">
        <f t="shared" si="68"/>
        <v>2</v>
      </c>
      <c r="AI1015" s="17">
        <f t="shared" si="69"/>
        <v>3</v>
      </c>
      <c r="AJ1015" s="17"/>
      <c r="AK1015" s="17" t="s">
        <v>56</v>
      </c>
      <c r="AL1015" s="16" t="s">
        <v>1557</v>
      </c>
      <c r="AM1015" s="17">
        <v>2007</v>
      </c>
      <c r="AN1015" s="15" t="s">
        <v>1558</v>
      </c>
      <c r="AO1015" s="15" t="s">
        <v>56</v>
      </c>
      <c r="AP1015" s="15"/>
      <c r="AQ1015" s="15" t="s">
        <v>56</v>
      </c>
      <c r="AR1015" s="15" t="s">
        <v>58</v>
      </c>
      <c r="AS1015" s="15" t="s">
        <v>62</v>
      </c>
      <c r="AT1015" s="12"/>
      <c r="AU1015" s="45" t="s">
        <v>1562</v>
      </c>
      <c r="AV1015" s="15"/>
      <c r="AW1015" s="12" t="str">
        <f>B1015&amp;C1015&amp;L1015&amp;M1015&amp;O1015&amp;U1015&amp;AL1015&amp;AM1015</f>
        <v>Guam (US Territory)Piti Bomb Holes Marine PreserveAcanthurus triostegusconvict surgeonfishdensity0.948979591836735Tupper2007</v>
      </c>
    </row>
    <row r="1016" spans="1:49" ht="14.25" customHeight="1" x14ac:dyDescent="0.35">
      <c r="A1016" s="12">
        <v>1015</v>
      </c>
      <c r="B1016" s="15" t="s">
        <v>2701</v>
      </c>
      <c r="C1016" s="15" t="s">
        <v>1553</v>
      </c>
      <c r="D1016" s="15" t="s">
        <v>1553</v>
      </c>
      <c r="E1016" s="15" t="s">
        <v>1554</v>
      </c>
      <c r="F1016" s="13" t="s">
        <v>50</v>
      </c>
      <c r="G1016" s="13" t="s">
        <v>51</v>
      </c>
      <c r="H1016" s="16" t="s">
        <v>78</v>
      </c>
      <c r="I1016" s="16" t="s">
        <v>156</v>
      </c>
      <c r="J1016" s="17">
        <v>3.6</v>
      </c>
      <c r="K1016" s="17"/>
      <c r="L1016" s="17" t="s">
        <v>1560</v>
      </c>
      <c r="M1016" s="17" t="s">
        <v>1561</v>
      </c>
      <c r="N1016" s="14" t="s">
        <v>85</v>
      </c>
      <c r="O1016" s="17" t="s">
        <v>86</v>
      </c>
      <c r="P1016" s="17"/>
      <c r="Q1016" s="17"/>
      <c r="R1016" s="17"/>
      <c r="S1016" s="17">
        <v>12</v>
      </c>
      <c r="T1016" s="17">
        <v>12</v>
      </c>
      <c r="U1016" s="20">
        <f t="shared" si="71"/>
        <v>1</v>
      </c>
      <c r="V1016" s="41">
        <f t="shared" si="70"/>
        <v>0</v>
      </c>
      <c r="W1016" s="17"/>
      <c r="X1016" s="17" t="s">
        <v>56</v>
      </c>
      <c r="Z1016" s="17" t="s">
        <v>56</v>
      </c>
      <c r="AA1016" s="17"/>
      <c r="AB1016" s="17" t="s">
        <v>57</v>
      </c>
      <c r="AC1016" s="17">
        <v>2003</v>
      </c>
      <c r="AD1016" s="17">
        <v>1</v>
      </c>
      <c r="AE1016" s="17"/>
      <c r="AF1016" s="17"/>
      <c r="AG1016" s="14">
        <v>2001</v>
      </c>
      <c r="AH1016" s="14">
        <f t="shared" si="68"/>
        <v>2</v>
      </c>
      <c r="AI1016" s="17">
        <f t="shared" si="69"/>
        <v>3</v>
      </c>
      <c r="AJ1016" s="17"/>
      <c r="AK1016" s="17" t="s">
        <v>56</v>
      </c>
      <c r="AL1016" s="16" t="s">
        <v>1557</v>
      </c>
      <c r="AM1016" s="17">
        <v>2007</v>
      </c>
      <c r="AN1016" s="15" t="s">
        <v>1558</v>
      </c>
      <c r="AO1016" s="15" t="s">
        <v>56</v>
      </c>
      <c r="AP1016" s="15"/>
      <c r="AQ1016" s="15" t="s">
        <v>56</v>
      </c>
      <c r="AR1016" s="15" t="s">
        <v>58</v>
      </c>
      <c r="AS1016" s="15" t="s">
        <v>62</v>
      </c>
      <c r="AT1016" s="15"/>
      <c r="AU1016" s="45" t="s">
        <v>1562</v>
      </c>
      <c r="AV1016" s="15"/>
      <c r="AW1016" s="12" t="str">
        <f>B1016&amp;C1016&amp;L1016&amp;M1016&amp;O1016&amp;U1016&amp;AL1016&amp;AM1016</f>
        <v>Guam (US Territory)Piti Bomb Holes Marine PreserveEpinephelus merrahoneycomb grouperdensity1Tupper2007</v>
      </c>
    </row>
    <row r="1017" spans="1:49" ht="14.25" customHeight="1" x14ac:dyDescent="0.35">
      <c r="A1017" s="12">
        <v>1016</v>
      </c>
      <c r="B1017" s="15" t="s">
        <v>2701</v>
      </c>
      <c r="C1017" s="15" t="s">
        <v>1553</v>
      </c>
      <c r="D1017" s="15" t="s">
        <v>1553</v>
      </c>
      <c r="E1017" s="12" t="s">
        <v>1554</v>
      </c>
      <c r="F1017" s="16" t="s">
        <v>50</v>
      </c>
      <c r="G1017" s="16" t="s">
        <v>51</v>
      </c>
      <c r="H1017" s="16" t="s">
        <v>78</v>
      </c>
      <c r="I1017" s="16" t="s">
        <v>156</v>
      </c>
      <c r="J1017" s="17">
        <v>3.6</v>
      </c>
      <c r="K1017" s="17"/>
      <c r="L1017" s="17" t="s">
        <v>1563</v>
      </c>
      <c r="M1017" s="17" t="s">
        <v>1564</v>
      </c>
      <c r="N1017" s="14" t="s">
        <v>85</v>
      </c>
      <c r="O1017" s="17" t="s">
        <v>86</v>
      </c>
      <c r="P1017" s="17"/>
      <c r="Q1017" s="17"/>
      <c r="R1017" s="17"/>
      <c r="S1017" s="17">
        <v>20</v>
      </c>
      <c r="T1017" s="17">
        <v>18</v>
      </c>
      <c r="U1017" s="19">
        <f t="shared" si="71"/>
        <v>0.9</v>
      </c>
      <c r="V1017" s="41">
        <f t="shared" si="70"/>
        <v>-9.9999999999999982</v>
      </c>
      <c r="W1017" s="14"/>
      <c r="X1017" s="17" t="s">
        <v>56</v>
      </c>
      <c r="Z1017" s="17" t="s">
        <v>56</v>
      </c>
      <c r="AA1017" s="17"/>
      <c r="AB1017" s="17" t="s">
        <v>57</v>
      </c>
      <c r="AC1017" s="17">
        <v>2003</v>
      </c>
      <c r="AD1017" s="17">
        <v>1</v>
      </c>
      <c r="AE1017" s="17"/>
      <c r="AF1017" s="17"/>
      <c r="AG1017" s="14">
        <v>2001</v>
      </c>
      <c r="AH1017" s="14">
        <f t="shared" si="68"/>
        <v>2</v>
      </c>
      <c r="AI1017" s="17">
        <f t="shared" si="69"/>
        <v>3</v>
      </c>
      <c r="AJ1017" s="17"/>
      <c r="AK1017" s="17" t="s">
        <v>56</v>
      </c>
      <c r="AL1017" s="16" t="s">
        <v>1557</v>
      </c>
      <c r="AM1017" s="17">
        <v>2007</v>
      </c>
      <c r="AN1017" s="15" t="s">
        <v>1558</v>
      </c>
      <c r="AO1017" s="15" t="s">
        <v>56</v>
      </c>
      <c r="AP1017" s="15"/>
      <c r="AQ1017" s="15" t="s">
        <v>56</v>
      </c>
      <c r="AR1017" s="15" t="s">
        <v>58</v>
      </c>
      <c r="AS1017" s="15" t="s">
        <v>62</v>
      </c>
      <c r="AT1017" s="12"/>
      <c r="AU1017" s="45" t="s">
        <v>2790</v>
      </c>
      <c r="AV1017" s="15"/>
      <c r="AW1017" s="12" t="str">
        <f>B1017&amp;C1017&amp;L1017&amp;M1017&amp;O1017&amp;U1017&amp;AL1017&amp;AM1017</f>
        <v>Guam (US Territory)Piti Bomb Holes Marine PreserveMulloidichthys flavolineatusyellowstripe goatfishdensity0.9Tupper2007</v>
      </c>
    </row>
    <row r="1018" spans="1:49" ht="14.25" customHeight="1" x14ac:dyDescent="0.35">
      <c r="A1018" s="12">
        <v>1017</v>
      </c>
      <c r="B1018" s="15" t="s">
        <v>2701</v>
      </c>
      <c r="C1018" s="15" t="s">
        <v>1553</v>
      </c>
      <c r="D1018" s="15" t="s">
        <v>1553</v>
      </c>
      <c r="E1018" s="12" t="s">
        <v>1554</v>
      </c>
      <c r="F1018" s="13" t="s">
        <v>50</v>
      </c>
      <c r="G1018" s="13" t="s">
        <v>51</v>
      </c>
      <c r="H1018" s="16" t="s">
        <v>78</v>
      </c>
      <c r="I1018" s="16" t="s">
        <v>156</v>
      </c>
      <c r="J1018" s="17">
        <v>3.6</v>
      </c>
      <c r="K1018" s="17"/>
      <c r="L1018" s="17" t="s">
        <v>1488</v>
      </c>
      <c r="M1018" s="17" t="s">
        <v>1565</v>
      </c>
      <c r="N1018" s="14" t="s">
        <v>85</v>
      </c>
      <c r="O1018" s="17" t="s">
        <v>86</v>
      </c>
      <c r="P1018" s="17"/>
      <c r="Q1018" s="17"/>
      <c r="R1018" s="17"/>
      <c r="S1018" s="17">
        <v>38</v>
      </c>
      <c r="T1018" s="17">
        <v>36</v>
      </c>
      <c r="U1018" s="19">
        <f t="shared" si="71"/>
        <v>0.94736842105263153</v>
      </c>
      <c r="V1018" s="41">
        <f t="shared" si="70"/>
        <v>-5.2631578947368478</v>
      </c>
      <c r="W1018" s="14"/>
      <c r="X1018" s="17" t="s">
        <v>56</v>
      </c>
      <c r="Z1018" s="17" t="s">
        <v>56</v>
      </c>
      <c r="AA1018" s="17"/>
      <c r="AB1018" s="17" t="s">
        <v>57</v>
      </c>
      <c r="AC1018" s="17">
        <v>2003</v>
      </c>
      <c r="AD1018" s="17">
        <v>1</v>
      </c>
      <c r="AE1018" s="17"/>
      <c r="AF1018" s="17"/>
      <c r="AG1018" s="14">
        <v>2001</v>
      </c>
      <c r="AH1018" s="14">
        <f t="shared" si="68"/>
        <v>2</v>
      </c>
      <c r="AI1018" s="17">
        <f t="shared" si="69"/>
        <v>3</v>
      </c>
      <c r="AJ1018" s="17"/>
      <c r="AK1018" s="17" t="s">
        <v>56</v>
      </c>
      <c r="AL1018" s="16" t="s">
        <v>1557</v>
      </c>
      <c r="AM1018" s="17">
        <v>2007</v>
      </c>
      <c r="AN1018" s="15" t="s">
        <v>1558</v>
      </c>
      <c r="AO1018" s="15" t="s">
        <v>56</v>
      </c>
      <c r="AP1018" s="15"/>
      <c r="AQ1018" s="15" t="s">
        <v>56</v>
      </c>
      <c r="AR1018" s="15" t="s">
        <v>58</v>
      </c>
      <c r="AS1018" s="15" t="s">
        <v>62</v>
      </c>
      <c r="AT1018" s="12"/>
      <c r="AU1018" s="45" t="s">
        <v>1562</v>
      </c>
      <c r="AV1018" s="15"/>
      <c r="AW1018" s="12" t="str">
        <f>B1018&amp;C1018&amp;L1018&amp;M1018&amp;O1018&amp;U1018&amp;AL1018&amp;AM1018</f>
        <v>Guam (US Territory)Piti Bomb Holes Marine PreserveNaso lituratusunicornfishdensity0.947368421052632Tupper2007</v>
      </c>
    </row>
    <row r="1019" spans="1:49" ht="14.25" customHeight="1" x14ac:dyDescent="0.35">
      <c r="A1019" s="12">
        <v>1018</v>
      </c>
      <c r="B1019" s="15" t="s">
        <v>2701</v>
      </c>
      <c r="C1019" s="15" t="s">
        <v>1553</v>
      </c>
      <c r="D1019" s="15" t="s">
        <v>1553</v>
      </c>
      <c r="E1019" s="12" t="s">
        <v>1554</v>
      </c>
      <c r="F1019" s="13" t="s">
        <v>50</v>
      </c>
      <c r="G1019" s="13" t="s">
        <v>51</v>
      </c>
      <c r="H1019" s="16" t="s">
        <v>78</v>
      </c>
      <c r="I1019" s="16" t="s">
        <v>156</v>
      </c>
      <c r="J1019" s="17">
        <v>3.6</v>
      </c>
      <c r="K1019" s="17"/>
      <c r="L1019" s="17" t="s">
        <v>1566</v>
      </c>
      <c r="M1019" s="17" t="s">
        <v>1567</v>
      </c>
      <c r="N1019" s="14" t="s">
        <v>85</v>
      </c>
      <c r="O1019" s="17" t="s">
        <v>86</v>
      </c>
      <c r="P1019" s="17"/>
      <c r="Q1019" s="17"/>
      <c r="R1019" s="17"/>
      <c r="S1019" s="17">
        <v>38</v>
      </c>
      <c r="T1019" s="17">
        <v>27.2</v>
      </c>
      <c r="U1019" s="19">
        <f t="shared" si="71"/>
        <v>0.71578947368421053</v>
      </c>
      <c r="V1019" s="41">
        <f t="shared" si="70"/>
        <v>-28.421052631578945</v>
      </c>
      <c r="W1019" s="14"/>
      <c r="X1019" s="17" t="s">
        <v>56</v>
      </c>
      <c r="Z1019" s="17" t="s">
        <v>56</v>
      </c>
      <c r="AA1019" s="17"/>
      <c r="AB1019" s="17" t="s">
        <v>57</v>
      </c>
      <c r="AC1019" s="17">
        <v>2003</v>
      </c>
      <c r="AD1019" s="17">
        <v>1</v>
      </c>
      <c r="AE1019" s="17"/>
      <c r="AF1019" s="17"/>
      <c r="AG1019" s="14">
        <v>2001</v>
      </c>
      <c r="AH1019" s="14">
        <f t="shared" si="68"/>
        <v>2</v>
      </c>
      <c r="AI1019" s="17">
        <f t="shared" si="69"/>
        <v>3</v>
      </c>
      <c r="AJ1019" s="17"/>
      <c r="AK1019" s="17" t="s">
        <v>56</v>
      </c>
      <c r="AL1019" s="16" t="s">
        <v>1557</v>
      </c>
      <c r="AM1019" s="17">
        <v>2007</v>
      </c>
      <c r="AN1019" s="15" t="s">
        <v>1558</v>
      </c>
      <c r="AO1019" s="15" t="s">
        <v>56</v>
      </c>
      <c r="AP1019" s="15"/>
      <c r="AQ1019" s="15" t="s">
        <v>56</v>
      </c>
      <c r="AR1019" s="15" t="s">
        <v>58</v>
      </c>
      <c r="AS1019" s="15" t="s">
        <v>62</v>
      </c>
      <c r="AT1019" s="12"/>
      <c r="AU1019" s="45" t="s">
        <v>1562</v>
      </c>
      <c r="AV1019" s="15"/>
      <c r="AW1019" s="12" t="str">
        <f>B1019&amp;C1019&amp;L1019&amp;M1019&amp;O1019&amp;U1019&amp;AL1019&amp;AM1019</f>
        <v>Guam (US Territory)Piti Bomb Holes Marine PreserveSiganus spinuslittle spinefootdensity0.715789473684211Tupper2007</v>
      </c>
    </row>
    <row r="1020" spans="1:49" ht="14.25" customHeight="1" x14ac:dyDescent="0.35">
      <c r="A1020" s="12">
        <v>1019</v>
      </c>
      <c r="B1020" s="12" t="s">
        <v>66</v>
      </c>
      <c r="C1020" s="15" t="s">
        <v>2824</v>
      </c>
      <c r="D1020" s="15" t="s">
        <v>2825</v>
      </c>
      <c r="E1020" s="15" t="s">
        <v>937</v>
      </c>
      <c r="F1020" s="13" t="s">
        <v>50</v>
      </c>
      <c r="G1020" s="13" t="s">
        <v>51</v>
      </c>
      <c r="H1020" s="16" t="s">
        <v>52</v>
      </c>
      <c r="I1020" s="16" t="s">
        <v>156</v>
      </c>
      <c r="J1020" s="17">
        <v>130.99</v>
      </c>
      <c r="K1020" s="17"/>
      <c r="L1020" s="17" t="s">
        <v>2063</v>
      </c>
      <c r="M1020" s="17" t="s">
        <v>938</v>
      </c>
      <c r="N1020" s="14" t="s">
        <v>85</v>
      </c>
      <c r="O1020" s="17" t="s">
        <v>70</v>
      </c>
      <c r="P1020" s="17"/>
      <c r="Q1020" s="17"/>
      <c r="R1020" s="17"/>
      <c r="S1020" s="17">
        <v>1.280934</v>
      </c>
      <c r="T1020" s="17">
        <v>2.1544349999999999</v>
      </c>
      <c r="U1020" s="20">
        <f t="shared" si="71"/>
        <v>1.6819250640548224</v>
      </c>
      <c r="V1020" s="41">
        <f t="shared" si="70"/>
        <v>68.192506405482249</v>
      </c>
      <c r="W1020" s="17"/>
      <c r="X1020" s="17" t="s">
        <v>58</v>
      </c>
      <c r="Z1020" s="17" t="s">
        <v>58</v>
      </c>
      <c r="AA1020" s="17"/>
      <c r="AB1020" s="17" t="s">
        <v>57</v>
      </c>
      <c r="AC1020" s="17">
        <v>2015</v>
      </c>
      <c r="AD1020" s="17">
        <v>2</v>
      </c>
      <c r="AE1020" s="17"/>
      <c r="AF1020" s="17"/>
      <c r="AG1020" s="14" t="s">
        <v>509</v>
      </c>
      <c r="AH1020" s="14" t="str">
        <f t="shared" si="68"/>
        <v>NA</v>
      </c>
      <c r="AI1020" s="17" t="str">
        <f t="shared" si="69"/>
        <v>NA</v>
      </c>
      <c r="AJ1020" s="17"/>
      <c r="AK1020" s="17" t="s">
        <v>56</v>
      </c>
      <c r="AL1020" s="16" t="s">
        <v>939</v>
      </c>
      <c r="AM1020" s="17">
        <v>2018</v>
      </c>
      <c r="AN1020" s="15" t="s">
        <v>309</v>
      </c>
      <c r="AO1020" s="15" t="s">
        <v>56</v>
      </c>
      <c r="AP1020" s="15"/>
      <c r="AQ1020" s="15" t="s">
        <v>56</v>
      </c>
      <c r="AR1020" s="15" t="s">
        <v>58</v>
      </c>
      <c r="AS1020" s="15" t="s">
        <v>62</v>
      </c>
      <c r="AT1020" s="15"/>
      <c r="AU1020" s="45" t="s">
        <v>940</v>
      </c>
      <c r="AV1020" s="15"/>
      <c r="AW1020" s="12" t="str">
        <f>B1020&amp;C1020&amp;L1020&amp;M1020&amp;O1020&amp;U1020&amp;AL1020&amp;AM1020</f>
        <v>AustraliaHawkesbury Shelf bioregion reserves Cheilodactylus fuscusred morwongbiomassden1.68192506405482Turnbull2018</v>
      </c>
    </row>
    <row r="1021" spans="1:49" ht="14.25" customHeight="1" x14ac:dyDescent="0.35">
      <c r="A1021" s="12">
        <v>1020</v>
      </c>
      <c r="B1021" s="12" t="s">
        <v>66</v>
      </c>
      <c r="C1021" s="15" t="s">
        <v>2824</v>
      </c>
      <c r="D1021" s="15" t="s">
        <v>2825</v>
      </c>
      <c r="E1021" s="15" t="s">
        <v>937</v>
      </c>
      <c r="F1021" s="13" t="s">
        <v>50</v>
      </c>
      <c r="G1021" s="13" t="s">
        <v>51</v>
      </c>
      <c r="H1021" s="16" t="s">
        <v>52</v>
      </c>
      <c r="I1021" s="16" t="s">
        <v>156</v>
      </c>
      <c r="J1021" s="17">
        <v>130.99</v>
      </c>
      <c r="K1021" s="17"/>
      <c r="L1021" s="17" t="s">
        <v>440</v>
      </c>
      <c r="M1021" s="17" t="s">
        <v>941</v>
      </c>
      <c r="N1021" s="14" t="s">
        <v>85</v>
      </c>
      <c r="O1021" s="17" t="s">
        <v>70</v>
      </c>
      <c r="P1021" s="17"/>
      <c r="Q1021" s="17"/>
      <c r="R1021" s="17"/>
      <c r="S1021" s="17">
        <v>11.659140000000001</v>
      </c>
      <c r="T1021" s="17">
        <v>8.912509</v>
      </c>
      <c r="U1021" s="20">
        <f t="shared" si="71"/>
        <v>0.76442250457580918</v>
      </c>
      <c r="V1021" s="41">
        <f t="shared" si="70"/>
        <v>-23.557749542419081</v>
      </c>
      <c r="W1021" s="17"/>
      <c r="X1021" s="17" t="s">
        <v>58</v>
      </c>
      <c r="Z1021" s="17" t="s">
        <v>58</v>
      </c>
      <c r="AA1021" s="17"/>
      <c r="AB1021" s="17" t="s">
        <v>57</v>
      </c>
      <c r="AC1021" s="17">
        <v>2015</v>
      </c>
      <c r="AD1021" s="17">
        <v>2</v>
      </c>
      <c r="AE1021" s="17"/>
      <c r="AF1021" s="17"/>
      <c r="AG1021" s="14" t="s">
        <v>509</v>
      </c>
      <c r="AH1021" s="14" t="str">
        <f t="shared" si="68"/>
        <v>NA</v>
      </c>
      <c r="AI1021" s="17" t="str">
        <f t="shared" si="69"/>
        <v>NA</v>
      </c>
      <c r="AJ1021" s="17"/>
      <c r="AK1021" s="17" t="s">
        <v>56</v>
      </c>
      <c r="AL1021" s="16" t="s">
        <v>939</v>
      </c>
      <c r="AM1021" s="17">
        <v>2018</v>
      </c>
      <c r="AN1021" s="15" t="s">
        <v>309</v>
      </c>
      <c r="AO1021" s="15" t="s">
        <v>56</v>
      </c>
      <c r="AP1021" s="15"/>
      <c r="AQ1021" s="15" t="s">
        <v>56</v>
      </c>
      <c r="AR1021" s="15" t="s">
        <v>58</v>
      </c>
      <c r="AS1021" s="15" t="s">
        <v>62</v>
      </c>
      <c r="AT1021" s="15"/>
      <c r="AU1021" s="45" t="s">
        <v>940</v>
      </c>
      <c r="AV1021" s="15"/>
      <c r="AW1021" s="12" t="str">
        <f>B1021&amp;C1021&amp;L1021&amp;M1021&amp;O1021&amp;U1021&amp;AL1021&amp;AM1021</f>
        <v>AustraliaHawkesbury Shelf bioregion reservesAchoerodus viridisblue groperbiomassden0.764422504575809Turnbull2018</v>
      </c>
    </row>
    <row r="1022" spans="1:49" ht="14.25" customHeight="1" x14ac:dyDescent="0.35">
      <c r="A1022" s="12">
        <v>1021</v>
      </c>
      <c r="B1022" s="12" t="s">
        <v>66</v>
      </c>
      <c r="C1022" s="15" t="s">
        <v>2824</v>
      </c>
      <c r="D1022" s="15" t="s">
        <v>2825</v>
      </c>
      <c r="E1022" s="15" t="s">
        <v>937</v>
      </c>
      <c r="F1022" s="13" t="s">
        <v>50</v>
      </c>
      <c r="G1022" s="13" t="s">
        <v>51</v>
      </c>
      <c r="H1022" s="16" t="s">
        <v>52</v>
      </c>
      <c r="I1022" s="16" t="s">
        <v>156</v>
      </c>
      <c r="J1022" s="17">
        <v>130.99</v>
      </c>
      <c r="K1022" s="17"/>
      <c r="L1022" s="17" t="s">
        <v>942</v>
      </c>
      <c r="M1022" s="17" t="s">
        <v>943</v>
      </c>
      <c r="N1022" s="14" t="s">
        <v>85</v>
      </c>
      <c r="O1022" s="17" t="s">
        <v>70</v>
      </c>
      <c r="P1022" s="17"/>
      <c r="Q1022" s="17"/>
      <c r="R1022" s="17"/>
      <c r="S1022" s="17">
        <v>2.053525</v>
      </c>
      <c r="T1022" s="17">
        <v>8.0584220000000002</v>
      </c>
      <c r="U1022" s="20">
        <f t="shared" si="71"/>
        <v>3.9241898686405086</v>
      </c>
      <c r="V1022" s="41">
        <f t="shared" si="70"/>
        <v>292.41898686405085</v>
      </c>
      <c r="W1022" s="17"/>
      <c r="X1022" s="17" t="s">
        <v>58</v>
      </c>
      <c r="Z1022" s="17" t="s">
        <v>58</v>
      </c>
      <c r="AA1022" s="17"/>
      <c r="AB1022" s="17" t="s">
        <v>57</v>
      </c>
      <c r="AC1022" s="17">
        <v>2015</v>
      </c>
      <c r="AD1022" s="17">
        <v>2</v>
      </c>
      <c r="AE1022" s="17"/>
      <c r="AF1022" s="17"/>
      <c r="AG1022" s="14" t="s">
        <v>509</v>
      </c>
      <c r="AH1022" s="14" t="str">
        <f t="shared" si="68"/>
        <v>NA</v>
      </c>
      <c r="AI1022" s="17" t="str">
        <f t="shared" si="69"/>
        <v>NA</v>
      </c>
      <c r="AJ1022" s="17"/>
      <c r="AK1022" s="17" t="s">
        <v>56</v>
      </c>
      <c r="AL1022" s="16" t="s">
        <v>939</v>
      </c>
      <c r="AM1022" s="17">
        <v>2018</v>
      </c>
      <c r="AN1022" s="15" t="s">
        <v>309</v>
      </c>
      <c r="AO1022" s="15" t="s">
        <v>56</v>
      </c>
      <c r="AP1022" s="15"/>
      <c r="AQ1022" s="15" t="s">
        <v>56</v>
      </c>
      <c r="AR1022" s="15" t="s">
        <v>58</v>
      </c>
      <c r="AS1022" s="15" t="s">
        <v>62</v>
      </c>
      <c r="AT1022" s="15"/>
      <c r="AU1022" s="45" t="s">
        <v>940</v>
      </c>
      <c r="AV1022" s="15"/>
      <c r="AW1022" s="12" t="str">
        <f>B1022&amp;C1022&amp;L1022&amp;M1022&amp;O1022&amp;U1022&amp;AL1022&amp;AM1022</f>
        <v>AustraliaHawkesbury Shelf bioregion reservesNotolabrus gymnogeniscrimson banded wrassebiomassden3.92418986864051Turnbull2018</v>
      </c>
    </row>
    <row r="1023" spans="1:49" ht="14.25" customHeight="1" x14ac:dyDescent="0.35">
      <c r="A1023" s="12">
        <v>1022</v>
      </c>
      <c r="B1023" s="12" t="s">
        <v>66</v>
      </c>
      <c r="C1023" s="15" t="s">
        <v>2824</v>
      </c>
      <c r="D1023" s="15" t="s">
        <v>2825</v>
      </c>
      <c r="E1023" s="15" t="s">
        <v>937</v>
      </c>
      <c r="F1023" s="13" t="s">
        <v>50</v>
      </c>
      <c r="G1023" s="13" t="s">
        <v>51</v>
      </c>
      <c r="H1023" s="16" t="s">
        <v>52</v>
      </c>
      <c r="I1023" s="16" t="s">
        <v>156</v>
      </c>
      <c r="J1023" s="17">
        <v>130.99</v>
      </c>
      <c r="K1023" s="17"/>
      <c r="L1023" s="17" t="s">
        <v>944</v>
      </c>
      <c r="M1023" s="17" t="s">
        <v>945</v>
      </c>
      <c r="N1023" s="14" t="s">
        <v>85</v>
      </c>
      <c r="O1023" s="17" t="s">
        <v>70</v>
      </c>
      <c r="P1023" s="17"/>
      <c r="Q1023" s="17"/>
      <c r="R1023" s="17"/>
      <c r="S1023" s="17">
        <v>1.544859</v>
      </c>
      <c r="T1023" s="17">
        <v>1.646898</v>
      </c>
      <c r="U1023" s="20">
        <f t="shared" si="71"/>
        <v>1.0660506881210519</v>
      </c>
      <c r="V1023" s="41">
        <f t="shared" si="70"/>
        <v>6.6050688121051859</v>
      </c>
      <c r="W1023" s="17"/>
      <c r="X1023" s="17" t="s">
        <v>58</v>
      </c>
      <c r="Z1023" s="17" t="s">
        <v>58</v>
      </c>
      <c r="AA1023" s="17"/>
      <c r="AB1023" s="17" t="s">
        <v>57</v>
      </c>
      <c r="AC1023" s="17">
        <v>2015</v>
      </c>
      <c r="AD1023" s="17">
        <v>2</v>
      </c>
      <c r="AE1023" s="17"/>
      <c r="AF1023" s="17"/>
      <c r="AG1023" s="14" t="s">
        <v>509</v>
      </c>
      <c r="AH1023" s="14" t="str">
        <f t="shared" si="68"/>
        <v>NA</v>
      </c>
      <c r="AI1023" s="17" t="str">
        <f t="shared" si="69"/>
        <v>NA</v>
      </c>
      <c r="AJ1023" s="17"/>
      <c r="AK1023" s="17" t="s">
        <v>56</v>
      </c>
      <c r="AL1023" s="16" t="s">
        <v>939</v>
      </c>
      <c r="AM1023" s="17">
        <v>2018</v>
      </c>
      <c r="AN1023" s="15" t="s">
        <v>309</v>
      </c>
      <c r="AO1023" s="15" t="s">
        <v>56</v>
      </c>
      <c r="AP1023" s="15"/>
      <c r="AQ1023" s="15" t="s">
        <v>56</v>
      </c>
      <c r="AR1023" s="15" t="s">
        <v>58</v>
      </c>
      <c r="AS1023" s="15" t="s">
        <v>62</v>
      </c>
      <c r="AT1023" s="15"/>
      <c r="AU1023" s="45" t="s">
        <v>940</v>
      </c>
      <c r="AV1023" s="15"/>
      <c r="AW1023" s="12" t="str">
        <f>B1023&amp;C1023&amp;L1023&amp;M1023&amp;O1023&amp;U1023&amp;AL1023&amp;AM1023</f>
        <v>AustraliaHawkesbury Shelf bioregion reservesParma microlepiswhite-earbiomassden1.06605068812105Turnbull2018</v>
      </c>
    </row>
    <row r="1024" spans="1:49" ht="14.25" customHeight="1" x14ac:dyDescent="0.35">
      <c r="A1024" s="12">
        <v>1023</v>
      </c>
      <c r="B1024" s="12" t="s">
        <v>66</v>
      </c>
      <c r="C1024" s="15" t="s">
        <v>2824</v>
      </c>
      <c r="D1024" s="15" t="s">
        <v>2825</v>
      </c>
      <c r="E1024" s="12" t="s">
        <v>937</v>
      </c>
      <c r="F1024" s="13" t="s">
        <v>50</v>
      </c>
      <c r="G1024" s="13" t="s">
        <v>51</v>
      </c>
      <c r="H1024" s="13" t="s">
        <v>52</v>
      </c>
      <c r="I1024" s="13" t="s">
        <v>156</v>
      </c>
      <c r="J1024" s="14">
        <v>130.99</v>
      </c>
      <c r="K1024" s="14"/>
      <c r="L1024" s="14" t="s">
        <v>444</v>
      </c>
      <c r="M1024" s="14" t="s">
        <v>946</v>
      </c>
      <c r="N1024" s="14" t="s">
        <v>85</v>
      </c>
      <c r="O1024" s="17" t="s">
        <v>86</v>
      </c>
      <c r="P1024" s="14"/>
      <c r="Q1024" s="14"/>
      <c r="R1024" s="14"/>
      <c r="S1024" s="14">
        <v>137890.70000000001</v>
      </c>
      <c r="T1024" s="14">
        <v>42452.86</v>
      </c>
      <c r="U1024" s="19">
        <f t="shared" si="71"/>
        <v>0.30787326483947064</v>
      </c>
      <c r="V1024" s="41">
        <f t="shared" si="70"/>
        <v>-69.212673516052931</v>
      </c>
      <c r="W1024" s="14"/>
      <c r="X1024" s="14" t="s">
        <v>58</v>
      </c>
      <c r="Z1024" s="14" t="s">
        <v>58</v>
      </c>
      <c r="AA1024" s="14"/>
      <c r="AB1024" s="14" t="s">
        <v>57</v>
      </c>
      <c r="AC1024" s="14">
        <v>2015</v>
      </c>
      <c r="AD1024" s="14">
        <v>2</v>
      </c>
      <c r="AE1024" s="14"/>
      <c r="AF1024" s="14"/>
      <c r="AG1024" s="14" t="s">
        <v>509</v>
      </c>
      <c r="AH1024" s="14" t="str">
        <f t="shared" ref="AH1024:AH1087" si="72">IF(OR(AG1024="NA",AC1024="NA"),"NA",IF(OR(AC1024="",AG1024=""), "", AC1024-AG1024))</f>
        <v>NA</v>
      </c>
      <c r="AI1024" s="17" t="str">
        <f t="shared" ref="AI1024:AI1087" si="73">IF(AH1024="NA", "NA",IF(OR(AH1024="",AND(AD1024="",AE1024="")), "",AH1024+AD1024+AE1024/12))</f>
        <v>NA</v>
      </c>
      <c r="AJ1024" s="14"/>
      <c r="AK1024" s="14" t="s">
        <v>56</v>
      </c>
      <c r="AL1024" s="13" t="s">
        <v>939</v>
      </c>
      <c r="AM1024" s="14">
        <v>2018</v>
      </c>
      <c r="AN1024" s="12" t="s">
        <v>309</v>
      </c>
      <c r="AO1024" s="12" t="s">
        <v>56</v>
      </c>
      <c r="AP1024" s="12"/>
      <c r="AQ1024" s="12" t="s">
        <v>56</v>
      </c>
      <c r="AR1024" s="12" t="s">
        <v>58</v>
      </c>
      <c r="AS1024" s="12" t="s">
        <v>62</v>
      </c>
      <c r="AT1024" s="12"/>
      <c r="AU1024" s="45" t="s">
        <v>940</v>
      </c>
      <c r="AV1024" s="15"/>
      <c r="AW1024" s="12" t="str">
        <f>B1024&amp;C1024&amp;L1024&amp;M1024&amp;O1024&amp;U1024&amp;AL1024&amp;AM1024</f>
        <v>AustraliaHawkesbury Shelf bioregion reservesCentrostephanus rodgersiisea urchindensity0.307873264839471Turnbull2018</v>
      </c>
    </row>
    <row r="1025" spans="1:49" ht="14.25" customHeight="1" x14ac:dyDescent="0.35">
      <c r="A1025" s="12">
        <v>1024</v>
      </c>
      <c r="B1025" s="15" t="s">
        <v>66</v>
      </c>
      <c r="C1025" s="15" t="s">
        <v>2824</v>
      </c>
      <c r="D1025" s="15" t="s">
        <v>2825</v>
      </c>
      <c r="E1025" s="15" t="s">
        <v>937</v>
      </c>
      <c r="F1025" s="13" t="s">
        <v>50</v>
      </c>
      <c r="G1025" s="13" t="s">
        <v>51</v>
      </c>
      <c r="H1025" s="16" t="s">
        <v>52</v>
      </c>
      <c r="I1025" s="16" t="s">
        <v>156</v>
      </c>
      <c r="J1025" s="17">
        <v>130.99</v>
      </c>
      <c r="K1025" s="17"/>
      <c r="L1025" s="17" t="s">
        <v>947</v>
      </c>
      <c r="M1025" s="17" t="s">
        <v>948</v>
      </c>
      <c r="N1025" s="17" t="s">
        <v>85</v>
      </c>
      <c r="O1025" s="17" t="s">
        <v>86</v>
      </c>
      <c r="P1025" s="17"/>
      <c r="Q1025" s="17"/>
      <c r="R1025" s="17"/>
      <c r="S1025" s="17">
        <v>362.51170000000002</v>
      </c>
      <c r="T1025" s="17">
        <v>24.537510000000001</v>
      </c>
      <c r="U1025" s="20">
        <f t="shared" si="71"/>
        <v>6.7687498086268658E-2</v>
      </c>
      <c r="V1025" s="41">
        <f t="shared" si="70"/>
        <v>-93.231250191373135</v>
      </c>
      <c r="W1025" s="17"/>
      <c r="X1025" s="17" t="s">
        <v>58</v>
      </c>
      <c r="Z1025" s="17" t="s">
        <v>58</v>
      </c>
      <c r="AA1025" s="17"/>
      <c r="AB1025" s="17" t="s">
        <v>57</v>
      </c>
      <c r="AC1025" s="17">
        <v>2015</v>
      </c>
      <c r="AD1025" s="17">
        <v>2</v>
      </c>
      <c r="AE1025" s="17"/>
      <c r="AF1025" s="17"/>
      <c r="AG1025" s="14" t="s">
        <v>509</v>
      </c>
      <c r="AH1025" s="14" t="str">
        <f t="shared" si="72"/>
        <v>NA</v>
      </c>
      <c r="AI1025" s="17" t="str">
        <f t="shared" si="73"/>
        <v>NA</v>
      </c>
      <c r="AJ1025" s="17"/>
      <c r="AK1025" s="17" t="s">
        <v>56</v>
      </c>
      <c r="AL1025" s="16" t="s">
        <v>939</v>
      </c>
      <c r="AM1025" s="17">
        <v>2018</v>
      </c>
      <c r="AN1025" s="15" t="s">
        <v>309</v>
      </c>
      <c r="AO1025" s="15" t="s">
        <v>56</v>
      </c>
      <c r="AP1025" s="15"/>
      <c r="AQ1025" s="15" t="s">
        <v>56</v>
      </c>
      <c r="AR1025" s="15" t="s">
        <v>58</v>
      </c>
      <c r="AS1025" s="15" t="s">
        <v>62</v>
      </c>
      <c r="AT1025" s="15"/>
      <c r="AU1025" s="45" t="s">
        <v>940</v>
      </c>
      <c r="AV1025" s="15"/>
      <c r="AW1025" s="12" t="str">
        <f>B1025&amp;C1025&amp;L1025&amp;M1025&amp;O1025&amp;U1025&amp;AL1025&amp;AM1025</f>
        <v>AustraliaHawkesbury Shelf bioregion reservesLunella torquatatwisted necklacedensity0.0676874980862687Turnbull2018</v>
      </c>
    </row>
    <row r="1026" spans="1:49" ht="14.25" customHeight="1" x14ac:dyDescent="0.35">
      <c r="A1026" s="12">
        <v>1025</v>
      </c>
      <c r="B1026" s="12" t="s">
        <v>66</v>
      </c>
      <c r="C1026" s="15" t="s">
        <v>2824</v>
      </c>
      <c r="D1026" s="12" t="s">
        <v>2825</v>
      </c>
      <c r="E1026" s="12" t="s">
        <v>937</v>
      </c>
      <c r="F1026" s="13" t="s">
        <v>50</v>
      </c>
      <c r="G1026" s="13" t="s">
        <v>51</v>
      </c>
      <c r="H1026" s="13" t="s">
        <v>52</v>
      </c>
      <c r="I1026" s="13" t="s">
        <v>156</v>
      </c>
      <c r="J1026" s="17">
        <v>130.99</v>
      </c>
      <c r="K1026" s="17"/>
      <c r="L1026" s="14"/>
      <c r="M1026" s="14" t="s">
        <v>291</v>
      </c>
      <c r="N1026" s="53" t="s">
        <v>98</v>
      </c>
      <c r="O1026" s="17" t="s">
        <v>86</v>
      </c>
      <c r="P1026" s="14"/>
      <c r="Q1026" s="14"/>
      <c r="R1026" s="14"/>
      <c r="S1026" s="14">
        <v>1.3867940000000001</v>
      </c>
      <c r="T1026" s="14">
        <v>1.291941</v>
      </c>
      <c r="U1026" s="19">
        <f t="shared" si="71"/>
        <v>0.93160267494667548</v>
      </c>
      <c r="V1026" s="41">
        <f t="shared" ref="V1026:V1089" si="74">IFERROR(IF(U1026 = "", "",(U1026-1)*100),"N/A")</f>
        <v>-6.839732505332452</v>
      </c>
      <c r="W1026" s="14"/>
      <c r="X1026" s="14" t="s">
        <v>58</v>
      </c>
      <c r="Z1026" s="14" t="s">
        <v>58</v>
      </c>
      <c r="AA1026" s="14"/>
      <c r="AB1026" s="14" t="s">
        <v>57</v>
      </c>
      <c r="AC1026" s="14">
        <v>2015</v>
      </c>
      <c r="AD1026" s="14">
        <v>2</v>
      </c>
      <c r="AE1026" s="14"/>
      <c r="AF1026" s="14"/>
      <c r="AG1026" s="14" t="s">
        <v>509</v>
      </c>
      <c r="AH1026" s="14" t="str">
        <f t="shared" si="72"/>
        <v>NA</v>
      </c>
      <c r="AI1026" s="17" t="str">
        <f t="shared" si="73"/>
        <v>NA</v>
      </c>
      <c r="AJ1026" s="14"/>
      <c r="AK1026" s="14" t="s">
        <v>56</v>
      </c>
      <c r="AL1026" s="13" t="s">
        <v>939</v>
      </c>
      <c r="AM1026" s="14">
        <v>2018</v>
      </c>
      <c r="AN1026" s="12" t="s">
        <v>309</v>
      </c>
      <c r="AO1026" s="12" t="s">
        <v>56</v>
      </c>
      <c r="AP1026" s="12"/>
      <c r="AQ1026" s="12" t="s">
        <v>56</v>
      </c>
      <c r="AR1026" s="12" t="s">
        <v>58</v>
      </c>
      <c r="AS1026" s="12" t="s">
        <v>62</v>
      </c>
      <c r="AT1026" s="12"/>
      <c r="AU1026" s="45" t="s">
        <v>940</v>
      </c>
      <c r="AV1026" s="15"/>
      <c r="AW1026" s="12" t="str">
        <f>B1026&amp;C1026&amp;L1026&amp;M1026&amp;O1026&amp;U1026&amp;AL1026&amp;AM1026</f>
        <v>AustraliaHawkesbury Shelf bioregion reservesMacroalgaedensity0.931602674946675Turnbull2018</v>
      </c>
    </row>
    <row r="1027" spans="1:49" ht="14.25" customHeight="1" x14ac:dyDescent="0.35">
      <c r="A1027" s="12">
        <v>1026</v>
      </c>
      <c r="B1027" s="12" t="s">
        <v>805</v>
      </c>
      <c r="C1027" s="15" t="s">
        <v>1360</v>
      </c>
      <c r="D1027" s="12" t="s">
        <v>807</v>
      </c>
      <c r="E1027" s="12" t="s">
        <v>68</v>
      </c>
      <c r="F1027" s="13" t="s">
        <v>50</v>
      </c>
      <c r="G1027" s="13" t="s">
        <v>51</v>
      </c>
      <c r="H1027" s="13" t="s">
        <v>78</v>
      </c>
      <c r="I1027" s="13" t="s">
        <v>156</v>
      </c>
      <c r="J1027" s="17" t="s">
        <v>509</v>
      </c>
      <c r="K1027" s="17"/>
      <c r="L1027" s="14"/>
      <c r="M1027" s="14" t="s">
        <v>473</v>
      </c>
      <c r="N1027" s="53" t="s">
        <v>98</v>
      </c>
      <c r="O1027" s="17" t="s">
        <v>55</v>
      </c>
      <c r="P1027" s="14"/>
      <c r="Q1027" s="14"/>
      <c r="R1027" s="14"/>
      <c r="S1027" s="14">
        <v>2</v>
      </c>
      <c r="T1027" s="14">
        <v>4</v>
      </c>
      <c r="U1027" s="19">
        <f t="shared" si="71"/>
        <v>2</v>
      </c>
      <c r="V1027" s="41">
        <f t="shared" si="74"/>
        <v>100</v>
      </c>
      <c r="W1027" s="14"/>
      <c r="X1027" s="14" t="s">
        <v>56</v>
      </c>
      <c r="Z1027" s="14" t="s">
        <v>56</v>
      </c>
      <c r="AA1027" s="14"/>
      <c r="AB1027" s="14" t="s">
        <v>57</v>
      </c>
      <c r="AC1027" s="14">
        <v>2017</v>
      </c>
      <c r="AD1027" s="14">
        <v>1</v>
      </c>
      <c r="AE1027" s="14"/>
      <c r="AF1027" s="14"/>
      <c r="AG1027" s="14">
        <v>2007</v>
      </c>
      <c r="AH1027" s="14">
        <f t="shared" si="72"/>
        <v>10</v>
      </c>
      <c r="AI1027" s="17">
        <f t="shared" si="73"/>
        <v>11</v>
      </c>
      <c r="AJ1027" s="14"/>
      <c r="AK1027" s="14" t="s">
        <v>56</v>
      </c>
      <c r="AL1027" s="13" t="s">
        <v>808</v>
      </c>
      <c r="AM1027" s="14">
        <v>2019</v>
      </c>
      <c r="AN1027" s="12" t="s">
        <v>343</v>
      </c>
      <c r="AO1027" s="12" t="s">
        <v>56</v>
      </c>
      <c r="AP1027" s="12"/>
      <c r="AQ1027" s="12" t="s">
        <v>56</v>
      </c>
      <c r="AR1027" s="12" t="s">
        <v>58</v>
      </c>
      <c r="AS1027" s="12" t="s">
        <v>62</v>
      </c>
      <c r="AT1027" s="12"/>
      <c r="AU1027" s="45" t="s">
        <v>1361</v>
      </c>
      <c r="AV1027" s="15"/>
      <c r="AW1027" s="12" t="str">
        <f>B1027&amp;C1027&amp;L1027&amp;M1027&amp;O1027&amp;U1027&amp;AL1027&amp;AM1027</f>
        <v>VietnamMay Rut IslandAlgaerichness2Tien2019</v>
      </c>
    </row>
    <row r="1028" spans="1:49" ht="14.25" customHeight="1" x14ac:dyDescent="0.35">
      <c r="A1028" s="12">
        <v>1027</v>
      </c>
      <c r="B1028" s="15" t="s">
        <v>805</v>
      </c>
      <c r="C1028" s="15" t="s">
        <v>2017</v>
      </c>
      <c r="D1028" s="15" t="s">
        <v>807</v>
      </c>
      <c r="E1028" s="15" t="s">
        <v>68</v>
      </c>
      <c r="F1028" s="13" t="s">
        <v>50</v>
      </c>
      <c r="G1028" s="13" t="s">
        <v>51</v>
      </c>
      <c r="H1028" s="16" t="s">
        <v>78</v>
      </c>
      <c r="I1028" s="16" t="s">
        <v>156</v>
      </c>
      <c r="J1028" s="17" t="s">
        <v>509</v>
      </c>
      <c r="K1028" s="17"/>
      <c r="L1028" s="17"/>
      <c r="M1028" s="17" t="s">
        <v>473</v>
      </c>
      <c r="N1028" s="53" t="s">
        <v>98</v>
      </c>
      <c r="O1028" s="17" t="s">
        <v>55</v>
      </c>
      <c r="P1028" s="17"/>
      <c r="Q1028" s="17"/>
      <c r="R1028" s="17"/>
      <c r="S1028" s="17">
        <v>2</v>
      </c>
      <c r="T1028" s="17">
        <v>12</v>
      </c>
      <c r="U1028" s="20">
        <f t="shared" si="71"/>
        <v>6</v>
      </c>
      <c r="V1028" s="41">
        <f t="shared" si="74"/>
        <v>500</v>
      </c>
      <c r="W1028" s="17"/>
      <c r="X1028" s="17" t="s">
        <v>56</v>
      </c>
      <c r="Z1028" s="17" t="s">
        <v>56</v>
      </c>
      <c r="AA1028" s="17"/>
      <c r="AB1028" s="17" t="s">
        <v>57</v>
      </c>
      <c r="AC1028" s="17">
        <v>2017</v>
      </c>
      <c r="AD1028" s="17">
        <v>1</v>
      </c>
      <c r="AE1028" s="17"/>
      <c r="AF1028" s="17"/>
      <c r="AG1028" s="14">
        <v>2007</v>
      </c>
      <c r="AH1028" s="14">
        <f t="shared" si="72"/>
        <v>10</v>
      </c>
      <c r="AI1028" s="17">
        <f t="shared" si="73"/>
        <v>11</v>
      </c>
      <c r="AJ1028" s="17"/>
      <c r="AK1028" s="17" t="s">
        <v>56</v>
      </c>
      <c r="AL1028" s="16" t="s">
        <v>808</v>
      </c>
      <c r="AM1028" s="17">
        <v>2019</v>
      </c>
      <c r="AN1028" s="15" t="s">
        <v>343</v>
      </c>
      <c r="AO1028" s="15" t="s">
        <v>56</v>
      </c>
      <c r="AP1028" s="15"/>
      <c r="AQ1028" s="15" t="s">
        <v>56</v>
      </c>
      <c r="AR1028" s="15" t="s">
        <v>58</v>
      </c>
      <c r="AS1028" s="15" t="s">
        <v>62</v>
      </c>
      <c r="AT1028" s="15"/>
      <c r="AU1028" s="45" t="s">
        <v>2018</v>
      </c>
      <c r="AV1028" s="15"/>
      <c r="AW1028" s="12" t="str">
        <f>B1028&amp;C1028&amp;L1028&amp;M1028&amp;O1028&amp;U1028&amp;AL1028&amp;AM1028</f>
        <v>VietnamVong IslandAlgaerichness6Tien2019</v>
      </c>
    </row>
    <row r="1029" spans="1:49" ht="14.25" customHeight="1" x14ac:dyDescent="0.35">
      <c r="A1029" s="12">
        <v>1028</v>
      </c>
      <c r="B1029" s="15" t="s">
        <v>805</v>
      </c>
      <c r="C1029" s="15" t="s">
        <v>2036</v>
      </c>
      <c r="D1029" s="15" t="s">
        <v>807</v>
      </c>
      <c r="E1029" s="15" t="s">
        <v>68</v>
      </c>
      <c r="F1029" s="13" t="s">
        <v>50</v>
      </c>
      <c r="G1029" s="13" t="s">
        <v>51</v>
      </c>
      <c r="H1029" s="16" t="s">
        <v>78</v>
      </c>
      <c r="I1029" s="16" t="s">
        <v>156</v>
      </c>
      <c r="J1029" s="17" t="s">
        <v>509</v>
      </c>
      <c r="K1029" s="17"/>
      <c r="L1029" s="17"/>
      <c r="M1029" s="17" t="s">
        <v>473</v>
      </c>
      <c r="N1029" s="53" t="s">
        <v>98</v>
      </c>
      <c r="O1029" s="17" t="s">
        <v>55</v>
      </c>
      <c r="P1029" s="17"/>
      <c r="Q1029" s="17"/>
      <c r="R1029" s="17"/>
      <c r="S1029" s="17">
        <v>2</v>
      </c>
      <c r="T1029" s="17">
        <v>6</v>
      </c>
      <c r="U1029" s="20">
        <f t="shared" si="71"/>
        <v>3</v>
      </c>
      <c r="V1029" s="41">
        <f t="shared" si="74"/>
        <v>200</v>
      </c>
      <c r="W1029" s="17"/>
      <c r="X1029" s="17" t="s">
        <v>56</v>
      </c>
      <c r="Z1029" s="17" t="s">
        <v>56</v>
      </c>
      <c r="AA1029" s="17"/>
      <c r="AB1029" s="17" t="s">
        <v>57</v>
      </c>
      <c r="AC1029" s="17">
        <v>2017</v>
      </c>
      <c r="AD1029" s="17">
        <v>1</v>
      </c>
      <c r="AE1029" s="17"/>
      <c r="AF1029" s="17"/>
      <c r="AG1029" s="14">
        <v>2007</v>
      </c>
      <c r="AH1029" s="14">
        <f t="shared" si="72"/>
        <v>10</v>
      </c>
      <c r="AI1029" s="17">
        <f t="shared" si="73"/>
        <v>11</v>
      </c>
      <c r="AJ1029" s="17"/>
      <c r="AK1029" s="17" t="s">
        <v>56</v>
      </c>
      <c r="AL1029" s="16" t="s">
        <v>808</v>
      </c>
      <c r="AM1029" s="17">
        <v>2019</v>
      </c>
      <c r="AN1029" s="12" t="s">
        <v>343</v>
      </c>
      <c r="AO1029" s="15" t="s">
        <v>56</v>
      </c>
      <c r="AP1029" s="15"/>
      <c r="AQ1029" s="15" t="s">
        <v>56</v>
      </c>
      <c r="AR1029" s="15" t="s">
        <v>58</v>
      </c>
      <c r="AS1029" s="15" t="s">
        <v>62</v>
      </c>
      <c r="AT1029" s="15"/>
      <c r="AU1029" s="45" t="s">
        <v>2037</v>
      </c>
      <c r="AV1029" s="15"/>
      <c r="AW1029" s="12" t="str">
        <f>B1029&amp;C1029&amp;L1029&amp;M1029&amp;O1029&amp;U1029&amp;AL1029&amp;AM1029</f>
        <v>VietnamXuon IslandAlgaerichness3Tien2019</v>
      </c>
    </row>
    <row r="1030" spans="1:49" ht="14.25" customHeight="1" x14ac:dyDescent="0.35">
      <c r="A1030" s="12">
        <v>1029</v>
      </c>
      <c r="B1030" s="15" t="s">
        <v>805</v>
      </c>
      <c r="C1030" s="15" t="s">
        <v>806</v>
      </c>
      <c r="D1030" s="15" t="s">
        <v>807</v>
      </c>
      <c r="E1030" s="15" t="s">
        <v>68</v>
      </c>
      <c r="F1030" s="16" t="s">
        <v>50</v>
      </c>
      <c r="G1030" s="16" t="s">
        <v>51</v>
      </c>
      <c r="H1030" s="16" t="s">
        <v>78</v>
      </c>
      <c r="I1030" s="16" t="s">
        <v>156</v>
      </c>
      <c r="J1030" s="14" t="s">
        <v>509</v>
      </c>
      <c r="K1030" s="17"/>
      <c r="L1030" s="17"/>
      <c r="M1030" s="17" t="s">
        <v>473</v>
      </c>
      <c r="N1030" s="53" t="s">
        <v>98</v>
      </c>
      <c r="O1030" s="17" t="s">
        <v>55</v>
      </c>
      <c r="P1030" s="17"/>
      <c r="Q1030" s="17"/>
      <c r="R1030" s="17"/>
      <c r="S1030" s="17">
        <v>2</v>
      </c>
      <c r="T1030" s="17">
        <v>4</v>
      </c>
      <c r="U1030" s="20">
        <f t="shared" si="71"/>
        <v>2</v>
      </c>
      <c r="V1030" s="41">
        <f t="shared" si="74"/>
        <v>100</v>
      </c>
      <c r="W1030" s="17"/>
      <c r="X1030" s="17" t="s">
        <v>56</v>
      </c>
      <c r="Z1030" s="17" t="s">
        <v>56</v>
      </c>
      <c r="AA1030" s="17"/>
      <c r="AB1030" s="17" t="s">
        <v>57</v>
      </c>
      <c r="AC1030" s="17">
        <v>2017</v>
      </c>
      <c r="AD1030" s="17">
        <v>1</v>
      </c>
      <c r="AE1030" s="17"/>
      <c r="AF1030" s="17"/>
      <c r="AG1030" s="14">
        <v>2007</v>
      </c>
      <c r="AH1030" s="14">
        <f t="shared" si="72"/>
        <v>10</v>
      </c>
      <c r="AI1030" s="17">
        <f t="shared" si="73"/>
        <v>11</v>
      </c>
      <c r="AJ1030" s="17"/>
      <c r="AK1030" s="17" t="s">
        <v>56</v>
      </c>
      <c r="AL1030" s="16" t="s">
        <v>808</v>
      </c>
      <c r="AM1030" s="17">
        <v>2019</v>
      </c>
      <c r="AN1030" s="12" t="s">
        <v>343</v>
      </c>
      <c r="AO1030" s="15" t="s">
        <v>56</v>
      </c>
      <c r="AP1030" s="15"/>
      <c r="AQ1030" s="15" t="s">
        <v>56</v>
      </c>
      <c r="AR1030" s="15" t="s">
        <v>58</v>
      </c>
      <c r="AS1030" s="15" t="s">
        <v>62</v>
      </c>
      <c r="AT1030" s="15"/>
      <c r="AU1030" s="45" t="s">
        <v>2565</v>
      </c>
      <c r="AV1030" s="15"/>
      <c r="AW1030" s="12" t="str">
        <f>B1030&amp;C1030&amp;L1030&amp;M1030&amp;O1030&amp;U1030&amp;AL1030&amp;AM1030</f>
        <v>VietnamGam Ghi IslandAlgaerichness2Tien2019</v>
      </c>
    </row>
    <row r="1031" spans="1:49" ht="14.25" customHeight="1" x14ac:dyDescent="0.35">
      <c r="A1031" s="12">
        <v>1030</v>
      </c>
      <c r="B1031" s="15" t="s">
        <v>805</v>
      </c>
      <c r="C1031" s="15" t="s">
        <v>1423</v>
      </c>
      <c r="D1031" s="15" t="s">
        <v>807</v>
      </c>
      <c r="E1031" s="15" t="s">
        <v>68</v>
      </c>
      <c r="F1031" s="16" t="s">
        <v>50</v>
      </c>
      <c r="G1031" s="16" t="s">
        <v>51</v>
      </c>
      <c r="H1031" s="16" t="s">
        <v>78</v>
      </c>
      <c r="I1031" s="16" t="s">
        <v>156</v>
      </c>
      <c r="J1031" s="14" t="s">
        <v>509</v>
      </c>
      <c r="K1031" s="17"/>
      <c r="L1031" s="17"/>
      <c r="M1031" s="17" t="s">
        <v>473</v>
      </c>
      <c r="N1031" s="42" t="s">
        <v>98</v>
      </c>
      <c r="O1031" s="17" t="s">
        <v>55</v>
      </c>
      <c r="P1031" s="17"/>
      <c r="Q1031" s="17"/>
      <c r="R1031" s="17"/>
      <c r="S1031" s="17">
        <v>2</v>
      </c>
      <c r="T1031" s="17">
        <v>2</v>
      </c>
      <c r="U1031" s="20">
        <f t="shared" si="71"/>
        <v>1</v>
      </c>
      <c r="V1031" s="41">
        <f t="shared" si="74"/>
        <v>0</v>
      </c>
      <c r="W1031" s="17"/>
      <c r="X1031" s="17" t="s">
        <v>56</v>
      </c>
      <c r="Z1031" s="17" t="s">
        <v>56</v>
      </c>
      <c r="AA1031" s="17"/>
      <c r="AB1031" s="17" t="s">
        <v>57</v>
      </c>
      <c r="AC1031" s="17">
        <v>2017</v>
      </c>
      <c r="AD1031" s="17">
        <v>1</v>
      </c>
      <c r="AE1031" s="17"/>
      <c r="AF1031" s="17"/>
      <c r="AG1031" s="14">
        <v>2007</v>
      </c>
      <c r="AH1031" s="14">
        <f t="shared" si="72"/>
        <v>10</v>
      </c>
      <c r="AI1031" s="17">
        <f t="shared" si="73"/>
        <v>11</v>
      </c>
      <c r="AJ1031" s="17"/>
      <c r="AK1031" s="17" t="s">
        <v>56</v>
      </c>
      <c r="AL1031" s="16" t="s">
        <v>808</v>
      </c>
      <c r="AM1031" s="17">
        <v>2019</v>
      </c>
      <c r="AN1031" s="12" t="s">
        <v>343</v>
      </c>
      <c r="AO1031" s="15" t="s">
        <v>56</v>
      </c>
      <c r="AP1031" s="15"/>
      <c r="AQ1031" s="15" t="s">
        <v>56</v>
      </c>
      <c r="AR1031" s="15" t="s">
        <v>58</v>
      </c>
      <c r="AS1031" s="15" t="s">
        <v>62</v>
      </c>
      <c r="AT1031" s="15"/>
      <c r="AU1031" s="45" t="s">
        <v>1424</v>
      </c>
      <c r="AV1031" s="15"/>
      <c r="AW1031" s="12" t="str">
        <f>B1031&amp;C1031&amp;L1031&amp;M1031&amp;O1031&amp;U1031&amp;AL1031&amp;AM1031</f>
        <v>VietnamMong Tay IslandAlgaerichness1Tien2019</v>
      </c>
    </row>
    <row r="1032" spans="1:49" ht="14.25" customHeight="1" x14ac:dyDescent="0.35">
      <c r="A1032" s="12">
        <v>1031</v>
      </c>
      <c r="B1032" s="12" t="s">
        <v>796</v>
      </c>
      <c r="C1032" s="15" t="s">
        <v>739</v>
      </c>
      <c r="D1032" s="12" t="s">
        <v>739</v>
      </c>
      <c r="E1032" s="12" t="s">
        <v>2020</v>
      </c>
      <c r="F1032" s="13" t="s">
        <v>50</v>
      </c>
      <c r="G1032" s="13" t="s">
        <v>51</v>
      </c>
      <c r="H1032" s="13" t="s">
        <v>108</v>
      </c>
      <c r="I1032" s="13" t="s">
        <v>156</v>
      </c>
      <c r="J1032" s="14">
        <v>442</v>
      </c>
      <c r="K1032" s="14"/>
      <c r="L1032" s="14" t="s">
        <v>2021</v>
      </c>
      <c r="M1032" s="14" t="s">
        <v>839</v>
      </c>
      <c r="N1032" s="14" t="s">
        <v>85</v>
      </c>
      <c r="O1032" s="17" t="s">
        <v>86</v>
      </c>
      <c r="P1032" s="14"/>
      <c r="Q1032" s="14"/>
      <c r="R1032" s="14"/>
      <c r="S1032" s="14">
        <v>357.2</v>
      </c>
      <c r="T1032" s="14">
        <v>6139.8</v>
      </c>
      <c r="U1032" s="19">
        <f t="shared" si="71"/>
        <v>17.188689809630461</v>
      </c>
      <c r="V1032" s="41">
        <f t="shared" si="74"/>
        <v>1618.8689809630459</v>
      </c>
      <c r="W1032" s="14"/>
      <c r="X1032" s="14" t="s">
        <v>56</v>
      </c>
      <c r="Z1032" s="14" t="s">
        <v>56</v>
      </c>
      <c r="AA1032" s="14"/>
      <c r="AB1032" s="14" t="s">
        <v>57</v>
      </c>
      <c r="AC1032" s="14">
        <v>2011</v>
      </c>
      <c r="AD1032" s="14">
        <v>0</v>
      </c>
      <c r="AE1032" s="14"/>
      <c r="AF1032" s="14"/>
      <c r="AG1032" s="14">
        <v>1958</v>
      </c>
      <c r="AH1032" s="14">
        <f t="shared" si="72"/>
        <v>53</v>
      </c>
      <c r="AI1032" s="17">
        <f t="shared" si="73"/>
        <v>53</v>
      </c>
      <c r="AJ1032" s="14"/>
      <c r="AK1032" s="14" t="s">
        <v>58</v>
      </c>
      <c r="AL1032" s="13" t="s">
        <v>2022</v>
      </c>
      <c r="AM1032" s="14">
        <v>2012</v>
      </c>
      <c r="AN1032" s="12" t="s">
        <v>183</v>
      </c>
      <c r="AO1032" s="12" t="s">
        <v>56</v>
      </c>
      <c r="AP1032" s="12" t="s">
        <v>2023</v>
      </c>
      <c r="AQ1032" s="12" t="s">
        <v>56</v>
      </c>
      <c r="AR1032" s="12" t="s">
        <v>58</v>
      </c>
      <c r="AS1032" s="12" t="s">
        <v>62</v>
      </c>
      <c r="AT1032" s="12"/>
      <c r="AU1032" s="45" t="s">
        <v>2785</v>
      </c>
      <c r="AV1032" s="15"/>
      <c r="AW1032" s="12" t="str">
        <f>B1032&amp;C1032&amp;L1032&amp;M1032&amp;O1032&amp;U1032&amp;AL1032&amp;AM1032</f>
        <v>The BahamasExuma Cays Land and Sea ParkAliger gigasQueen conchdensity17.1886898096305Stoner2012</v>
      </c>
    </row>
    <row r="1033" spans="1:49" ht="14.25" customHeight="1" x14ac:dyDescent="0.35">
      <c r="A1033" s="12">
        <v>1032</v>
      </c>
      <c r="B1033" s="12" t="s">
        <v>75</v>
      </c>
      <c r="C1033" s="15" t="s">
        <v>1964</v>
      </c>
      <c r="D1033" s="12" t="s">
        <v>1964</v>
      </c>
      <c r="E1033" s="12" t="s">
        <v>1965</v>
      </c>
      <c r="F1033" s="13" t="s">
        <v>50</v>
      </c>
      <c r="G1033" s="13" t="s">
        <v>51</v>
      </c>
      <c r="H1033" s="13" t="s">
        <v>78</v>
      </c>
      <c r="I1033" s="13" t="s">
        <v>156</v>
      </c>
      <c r="J1033" s="14">
        <v>0.26</v>
      </c>
      <c r="K1033" s="14"/>
      <c r="L1033" s="14"/>
      <c r="M1033" s="14" t="s">
        <v>726</v>
      </c>
      <c r="N1033" s="14" t="s">
        <v>407</v>
      </c>
      <c r="O1033" s="17" t="s">
        <v>70</v>
      </c>
      <c r="P1033" s="14"/>
      <c r="Q1033" s="14"/>
      <c r="R1033" s="14"/>
      <c r="S1033" s="14">
        <v>13400</v>
      </c>
      <c r="T1033" s="14">
        <v>33000</v>
      </c>
      <c r="U1033" s="19">
        <f t="shared" si="71"/>
        <v>2.4626865671641789</v>
      </c>
      <c r="V1033" s="41">
        <f t="shared" si="74"/>
        <v>146.26865671641789</v>
      </c>
      <c r="W1033" s="14"/>
      <c r="X1033" s="14" t="s">
        <v>56</v>
      </c>
      <c r="Z1033" s="14" t="s">
        <v>56</v>
      </c>
      <c r="AA1033" s="14"/>
      <c r="AB1033" s="14" t="s">
        <v>57</v>
      </c>
      <c r="AC1033" s="14">
        <v>2012</v>
      </c>
      <c r="AD1033" s="14">
        <v>1</v>
      </c>
      <c r="AE1033" s="14"/>
      <c r="AF1033" s="14"/>
      <c r="AG1033" s="14">
        <v>1967</v>
      </c>
      <c r="AH1033" s="14">
        <f t="shared" si="72"/>
        <v>45</v>
      </c>
      <c r="AI1033" s="17">
        <f t="shared" si="73"/>
        <v>46</v>
      </c>
      <c r="AJ1033" s="14"/>
      <c r="AK1033" s="14" t="s">
        <v>56</v>
      </c>
      <c r="AL1033" s="13" t="s">
        <v>1966</v>
      </c>
      <c r="AM1033" s="14">
        <v>2017</v>
      </c>
      <c r="AN1033" s="12" t="s">
        <v>1967</v>
      </c>
      <c r="AO1033" s="12" t="s">
        <v>56</v>
      </c>
      <c r="AP1033" s="12"/>
      <c r="AQ1033" s="12" t="s">
        <v>56</v>
      </c>
      <c r="AR1033" s="12" t="s">
        <v>58</v>
      </c>
      <c r="AS1033" s="12" t="s">
        <v>62</v>
      </c>
      <c r="AT1033" s="12"/>
      <c r="AU1033" s="45"/>
      <c r="AV1033" s="15"/>
      <c r="AW1033" s="12" t="str">
        <f>B1033&amp;C1033&amp;L1033&amp;M1033&amp;O1033&amp;U1033&amp;AL1033&amp;AM1033</f>
        <v>United StatesThe University of Hawai’i Marine Laboratory Refugeherbivorous fishbiomassden2.46268656716418Stamoulis2017</v>
      </c>
    </row>
    <row r="1034" spans="1:49" ht="14.25" customHeight="1" x14ac:dyDescent="0.35">
      <c r="A1034" s="12">
        <v>1033</v>
      </c>
      <c r="B1034" s="15" t="s">
        <v>75</v>
      </c>
      <c r="C1034" s="15" t="s">
        <v>1964</v>
      </c>
      <c r="D1034" s="15" t="s">
        <v>1964</v>
      </c>
      <c r="E1034" s="15" t="s">
        <v>1965</v>
      </c>
      <c r="F1034" s="13" t="s">
        <v>50</v>
      </c>
      <c r="G1034" s="13" t="s">
        <v>51</v>
      </c>
      <c r="H1034" s="16" t="s">
        <v>78</v>
      </c>
      <c r="I1034" s="16" t="s">
        <v>156</v>
      </c>
      <c r="J1034" s="14">
        <v>0.26</v>
      </c>
      <c r="K1034" s="17"/>
      <c r="L1034" s="17" t="s">
        <v>985</v>
      </c>
      <c r="M1034" s="17" t="s">
        <v>786</v>
      </c>
      <c r="N1034" s="17" t="s">
        <v>446</v>
      </c>
      <c r="O1034" s="17" t="s">
        <v>101</v>
      </c>
      <c r="P1034" s="17"/>
      <c r="Q1034" s="17"/>
      <c r="R1034" s="17"/>
      <c r="S1034" s="17">
        <v>24.133330000000001</v>
      </c>
      <c r="T1034" s="17">
        <v>18.366669999999999</v>
      </c>
      <c r="U1034" s="20">
        <f t="shared" si="71"/>
        <v>0.7610499669958517</v>
      </c>
      <c r="V1034" s="41">
        <f t="shared" si="74"/>
        <v>-23.895003300414828</v>
      </c>
      <c r="W1034" s="17"/>
      <c r="X1034" s="17" t="s">
        <v>56</v>
      </c>
      <c r="Z1034" s="17" t="s">
        <v>56</v>
      </c>
      <c r="AA1034" s="17"/>
      <c r="AB1034" s="17" t="s">
        <v>57</v>
      </c>
      <c r="AC1034" s="17">
        <v>2012</v>
      </c>
      <c r="AD1034" s="17">
        <v>1</v>
      </c>
      <c r="AE1034" s="17"/>
      <c r="AF1034" s="17"/>
      <c r="AG1034" s="14">
        <v>1967</v>
      </c>
      <c r="AH1034" s="14">
        <f t="shared" si="72"/>
        <v>45</v>
      </c>
      <c r="AI1034" s="17">
        <f t="shared" si="73"/>
        <v>46</v>
      </c>
      <c r="AJ1034" s="17"/>
      <c r="AK1034" s="17" t="s">
        <v>56</v>
      </c>
      <c r="AL1034" s="16" t="s">
        <v>1966</v>
      </c>
      <c r="AM1034" s="17">
        <v>2017</v>
      </c>
      <c r="AN1034" s="15" t="s">
        <v>1967</v>
      </c>
      <c r="AO1034" s="15" t="s">
        <v>56</v>
      </c>
      <c r="AP1034" s="15"/>
      <c r="AQ1034" s="15" t="s">
        <v>56</v>
      </c>
      <c r="AR1034" s="15" t="s">
        <v>58</v>
      </c>
      <c r="AS1034" s="15" t="s">
        <v>62</v>
      </c>
      <c r="AT1034" s="15"/>
      <c r="AU1034" s="45"/>
      <c r="AV1034" s="15"/>
      <c r="AW1034" s="12" t="str">
        <f>B1034&amp;C1034&amp;L1034&amp;M1034&amp;O1034&amp;U1034&amp;AL1034&amp;AM1034</f>
        <v>United StatesThe University of Hawai’i Marine Laboratory RefugeAnthozoacoralcover0.761049966995852Stamoulis2017</v>
      </c>
    </row>
    <row r="1035" spans="1:49" ht="14.25" customHeight="1" x14ac:dyDescent="0.35">
      <c r="A1035" s="12">
        <v>1034</v>
      </c>
      <c r="B1035" s="12" t="s">
        <v>75</v>
      </c>
      <c r="C1035" s="15" t="s">
        <v>1964</v>
      </c>
      <c r="D1035" s="12" t="s">
        <v>1964</v>
      </c>
      <c r="E1035" s="12" t="s">
        <v>1965</v>
      </c>
      <c r="F1035" s="13" t="s">
        <v>50</v>
      </c>
      <c r="G1035" s="13" t="s">
        <v>51</v>
      </c>
      <c r="H1035" s="13" t="s">
        <v>78</v>
      </c>
      <c r="I1035" s="13" t="s">
        <v>156</v>
      </c>
      <c r="J1035" s="14">
        <v>0.26</v>
      </c>
      <c r="K1035" s="17"/>
      <c r="L1035" s="14"/>
      <c r="M1035" s="14" t="s">
        <v>291</v>
      </c>
      <c r="N1035" s="53" t="s">
        <v>98</v>
      </c>
      <c r="O1035" s="17" t="s">
        <v>101</v>
      </c>
      <c r="P1035" s="14"/>
      <c r="Q1035" s="14"/>
      <c r="R1035" s="14"/>
      <c r="S1035" s="14">
        <v>6.3666669999999996</v>
      </c>
      <c r="T1035" s="14">
        <v>6.766667</v>
      </c>
      <c r="U1035" s="19">
        <f t="shared" si="71"/>
        <v>1.0628272218415067</v>
      </c>
      <c r="V1035" s="41">
        <f t="shared" si="74"/>
        <v>6.2827221841506686</v>
      </c>
      <c r="W1035" s="14"/>
      <c r="X1035" s="14" t="s">
        <v>56</v>
      </c>
      <c r="Z1035" s="14" t="s">
        <v>56</v>
      </c>
      <c r="AA1035" s="14"/>
      <c r="AB1035" s="14" t="s">
        <v>57</v>
      </c>
      <c r="AC1035" s="14">
        <v>2012</v>
      </c>
      <c r="AD1035" s="14">
        <v>1</v>
      </c>
      <c r="AE1035" s="14"/>
      <c r="AF1035" s="14"/>
      <c r="AG1035" s="14">
        <v>1967</v>
      </c>
      <c r="AH1035" s="14">
        <f t="shared" si="72"/>
        <v>45</v>
      </c>
      <c r="AI1035" s="17">
        <f t="shared" si="73"/>
        <v>46</v>
      </c>
      <c r="AJ1035" s="14"/>
      <c r="AK1035" s="14" t="s">
        <v>56</v>
      </c>
      <c r="AL1035" s="13" t="s">
        <v>1966</v>
      </c>
      <c r="AM1035" s="14">
        <v>2017</v>
      </c>
      <c r="AN1035" s="12" t="s">
        <v>1967</v>
      </c>
      <c r="AO1035" s="12" t="s">
        <v>56</v>
      </c>
      <c r="AP1035" s="12"/>
      <c r="AQ1035" s="12" t="s">
        <v>56</v>
      </c>
      <c r="AR1035" s="12" t="s">
        <v>58</v>
      </c>
      <c r="AS1035" s="12" t="s">
        <v>62</v>
      </c>
      <c r="AT1035" s="12"/>
      <c r="AU1035" s="45"/>
      <c r="AV1035" s="15"/>
      <c r="AW1035" s="12" t="str">
        <f>B1035&amp;C1035&amp;L1035&amp;M1035&amp;O1035&amp;U1035&amp;AL1035&amp;AM1035</f>
        <v>United StatesThe University of Hawai’i Marine Laboratory RefugeMacroalgaecover1.06282722184151Stamoulis2017</v>
      </c>
    </row>
    <row r="1036" spans="1:49" ht="14.25" customHeight="1" x14ac:dyDescent="0.35">
      <c r="A1036" s="12">
        <v>1035</v>
      </c>
      <c r="B1036" s="12" t="s">
        <v>75</v>
      </c>
      <c r="C1036" s="15" t="s">
        <v>1964</v>
      </c>
      <c r="D1036" s="15" t="s">
        <v>1964</v>
      </c>
      <c r="E1036" s="12" t="s">
        <v>1965</v>
      </c>
      <c r="F1036" s="13" t="s">
        <v>50</v>
      </c>
      <c r="G1036" s="13" t="s">
        <v>51</v>
      </c>
      <c r="H1036" s="13" t="s">
        <v>78</v>
      </c>
      <c r="I1036" s="13" t="s">
        <v>156</v>
      </c>
      <c r="J1036" s="14">
        <v>0.26</v>
      </c>
      <c r="K1036" s="14"/>
      <c r="L1036" s="14"/>
      <c r="M1036" s="14" t="s">
        <v>1968</v>
      </c>
      <c r="N1036" s="53" t="s">
        <v>98</v>
      </c>
      <c r="O1036" s="17" t="s">
        <v>101</v>
      </c>
      <c r="P1036" s="14"/>
      <c r="Q1036" s="14"/>
      <c r="R1036" s="14"/>
      <c r="S1036" s="14">
        <v>8.4666669999999993</v>
      </c>
      <c r="T1036" s="14">
        <v>7.3666669999999996</v>
      </c>
      <c r="U1036" s="19">
        <f t="shared" si="71"/>
        <v>0.87007874527249041</v>
      </c>
      <c r="V1036" s="41">
        <f t="shared" si="74"/>
        <v>-12.99212547275096</v>
      </c>
      <c r="W1036" s="14"/>
      <c r="X1036" s="14" t="s">
        <v>56</v>
      </c>
      <c r="Z1036" s="14" t="s">
        <v>56</v>
      </c>
      <c r="AA1036" s="14"/>
      <c r="AB1036" s="14" t="s">
        <v>57</v>
      </c>
      <c r="AC1036" s="14">
        <v>2012</v>
      </c>
      <c r="AD1036" s="14">
        <v>1</v>
      </c>
      <c r="AE1036" s="14"/>
      <c r="AF1036" s="14"/>
      <c r="AG1036" s="14">
        <v>1967</v>
      </c>
      <c r="AH1036" s="14">
        <f t="shared" si="72"/>
        <v>45</v>
      </c>
      <c r="AI1036" s="17">
        <f t="shared" si="73"/>
        <v>46</v>
      </c>
      <c r="AJ1036" s="14"/>
      <c r="AK1036" s="14" t="s">
        <v>56</v>
      </c>
      <c r="AL1036" s="13" t="s">
        <v>1966</v>
      </c>
      <c r="AM1036" s="14">
        <v>2017</v>
      </c>
      <c r="AN1036" s="12" t="s">
        <v>1967</v>
      </c>
      <c r="AO1036" s="12" t="s">
        <v>56</v>
      </c>
      <c r="AP1036" s="12"/>
      <c r="AQ1036" s="12" t="s">
        <v>56</v>
      </c>
      <c r="AR1036" s="12" t="s">
        <v>58</v>
      </c>
      <c r="AS1036" s="12" t="s">
        <v>62</v>
      </c>
      <c r="AT1036" s="12"/>
      <c r="AU1036" s="45"/>
      <c r="AV1036" s="15"/>
      <c r="AW1036" s="12" t="str">
        <f>B1036&amp;C1036&amp;L1036&amp;M1036&amp;O1036&amp;U1036&amp;AL1036&amp;AM1036</f>
        <v>United StatesThe University of Hawai’i Marine Laboratory Refugecoralline algaecover0.87007874527249Stamoulis2017</v>
      </c>
    </row>
    <row r="1037" spans="1:49" ht="14.25" customHeight="1" x14ac:dyDescent="0.35">
      <c r="A1037" s="12">
        <v>1036</v>
      </c>
      <c r="B1037" s="12" t="s">
        <v>75</v>
      </c>
      <c r="C1037" s="15" t="s">
        <v>1964</v>
      </c>
      <c r="D1037" s="15" t="s">
        <v>1964</v>
      </c>
      <c r="E1037" s="12" t="s">
        <v>1965</v>
      </c>
      <c r="F1037" s="13" t="s">
        <v>50</v>
      </c>
      <c r="G1037" s="13" t="s">
        <v>51</v>
      </c>
      <c r="H1037" s="13" t="s">
        <v>78</v>
      </c>
      <c r="I1037" s="13" t="s">
        <v>156</v>
      </c>
      <c r="J1037" s="14">
        <v>0.26</v>
      </c>
      <c r="K1037" s="14"/>
      <c r="L1037" s="14"/>
      <c r="M1037" s="14" t="s">
        <v>783</v>
      </c>
      <c r="N1037" s="42" t="s">
        <v>98</v>
      </c>
      <c r="O1037" s="17" t="s">
        <v>101</v>
      </c>
      <c r="P1037" s="14"/>
      <c r="Q1037" s="14"/>
      <c r="R1037" s="14"/>
      <c r="S1037" s="14">
        <v>12.43333</v>
      </c>
      <c r="T1037" s="14">
        <v>15.16667</v>
      </c>
      <c r="U1037" s="19">
        <f t="shared" si="71"/>
        <v>1.2198397372224496</v>
      </c>
      <c r="V1037" s="41">
        <f t="shared" si="74"/>
        <v>21.983973722244965</v>
      </c>
      <c r="W1037" s="14"/>
      <c r="X1037" s="14" t="s">
        <v>56</v>
      </c>
      <c r="Z1037" s="14" t="s">
        <v>56</v>
      </c>
      <c r="AA1037" s="14"/>
      <c r="AB1037" s="14" t="s">
        <v>57</v>
      </c>
      <c r="AC1037" s="14">
        <v>2012</v>
      </c>
      <c r="AD1037" s="14">
        <v>1</v>
      </c>
      <c r="AE1037" s="14"/>
      <c r="AF1037" s="14"/>
      <c r="AG1037" s="14">
        <v>1967</v>
      </c>
      <c r="AH1037" s="14">
        <f t="shared" si="72"/>
        <v>45</v>
      </c>
      <c r="AI1037" s="17">
        <f t="shared" si="73"/>
        <v>46</v>
      </c>
      <c r="AJ1037" s="14"/>
      <c r="AK1037" s="14" t="s">
        <v>56</v>
      </c>
      <c r="AL1037" s="13" t="s">
        <v>1966</v>
      </c>
      <c r="AM1037" s="14">
        <v>2017</v>
      </c>
      <c r="AN1037" s="12" t="s">
        <v>1967</v>
      </c>
      <c r="AO1037" s="12" t="s">
        <v>56</v>
      </c>
      <c r="AP1037" s="12"/>
      <c r="AQ1037" s="12" t="s">
        <v>56</v>
      </c>
      <c r="AR1037" s="12" t="s">
        <v>58</v>
      </c>
      <c r="AS1037" s="12" t="s">
        <v>62</v>
      </c>
      <c r="AT1037" s="12"/>
      <c r="AU1037" s="45"/>
      <c r="AV1037" s="15"/>
      <c r="AW1037" s="12" t="str">
        <f>B1037&amp;C1037&amp;L1037&amp;M1037&amp;O1037&amp;U1037&amp;AL1037&amp;AM1037</f>
        <v>United StatesThe University of Hawai’i Marine Laboratory Refugeturf algaecover1.21983973722245Stamoulis2017</v>
      </c>
    </row>
    <row r="1038" spans="1:49" ht="14.25" customHeight="1" x14ac:dyDescent="0.35">
      <c r="A1038" s="12">
        <v>1037</v>
      </c>
      <c r="B1038" s="12" t="s">
        <v>210</v>
      </c>
      <c r="C1038" s="15" t="s">
        <v>2708</v>
      </c>
      <c r="D1038" s="15" t="s">
        <v>2708</v>
      </c>
      <c r="E1038" s="12" t="s">
        <v>678</v>
      </c>
      <c r="F1038" s="13" t="s">
        <v>50</v>
      </c>
      <c r="G1038" s="13" t="s">
        <v>51</v>
      </c>
      <c r="H1038" s="13" t="s">
        <v>108</v>
      </c>
      <c r="I1038" s="13" t="s">
        <v>53</v>
      </c>
      <c r="K1038" s="17">
        <v>200</v>
      </c>
      <c r="L1038" s="14" t="s">
        <v>1653</v>
      </c>
      <c r="M1038" s="14"/>
      <c r="N1038" s="14" t="s">
        <v>85</v>
      </c>
      <c r="O1038" s="17" t="s">
        <v>104</v>
      </c>
      <c r="P1038" s="14" t="s">
        <v>680</v>
      </c>
      <c r="Q1038" s="14"/>
      <c r="R1038" s="14"/>
      <c r="S1038" s="14">
        <v>12.87</v>
      </c>
      <c r="T1038" s="14">
        <v>18.13</v>
      </c>
      <c r="U1038" s="19">
        <f t="shared" si="71"/>
        <v>1.4087024087024087</v>
      </c>
      <c r="V1038" s="41">
        <f t="shared" si="74"/>
        <v>40.87024087024087</v>
      </c>
      <c r="W1038" s="14"/>
      <c r="X1038" s="14" t="s">
        <v>58</v>
      </c>
      <c r="Y1038" s="14">
        <v>340</v>
      </c>
      <c r="Z1038" s="14" t="s">
        <v>56</v>
      </c>
      <c r="AA1038" s="14"/>
      <c r="AB1038" s="14" t="s">
        <v>57</v>
      </c>
      <c r="AC1038" s="14">
        <v>2017</v>
      </c>
      <c r="AD1038" s="14">
        <v>1</v>
      </c>
      <c r="AE1038" s="14"/>
      <c r="AF1038" s="14"/>
      <c r="AG1038" s="14" t="s">
        <v>509</v>
      </c>
      <c r="AH1038" s="14" t="str">
        <f t="shared" si="72"/>
        <v>NA</v>
      </c>
      <c r="AI1038" s="17" t="str">
        <f t="shared" si="73"/>
        <v>NA</v>
      </c>
      <c r="AJ1038" s="14"/>
      <c r="AK1038" s="14" t="s">
        <v>56</v>
      </c>
      <c r="AL1038" s="13" t="s">
        <v>681</v>
      </c>
      <c r="AM1038" s="14">
        <v>2019</v>
      </c>
      <c r="AN1038" s="12" t="s">
        <v>207</v>
      </c>
      <c r="AO1038" s="12" t="s">
        <v>56</v>
      </c>
      <c r="AP1038" s="12"/>
      <c r="AQ1038" s="12" t="s">
        <v>56</v>
      </c>
      <c r="AR1038" s="12" t="s">
        <v>58</v>
      </c>
      <c r="AS1038" s="12" t="s">
        <v>62</v>
      </c>
      <c r="AT1038" s="12"/>
      <c r="AU1038" s="45"/>
      <c r="AV1038" s="15"/>
      <c r="AW1038" s="12" t="str">
        <f>B1038&amp;C1038&amp;L1038&amp;M1038&amp;O1038&amp;U1038&amp;AL1038&amp;AM1038</f>
        <v>PortugalPorto Santo Island, Rocha do Navio, Desertas Islands, Selvagens Islands MPAsPhorcus sauciatussize1.40870240870241Sousa2019</v>
      </c>
    </row>
    <row r="1039" spans="1:49" ht="14.15" customHeight="1" x14ac:dyDescent="0.35">
      <c r="A1039" s="12">
        <v>1038</v>
      </c>
      <c r="B1039" s="15" t="s">
        <v>210</v>
      </c>
      <c r="C1039" s="15" t="s">
        <v>677</v>
      </c>
      <c r="D1039" s="15" t="s">
        <v>677</v>
      </c>
      <c r="E1039" s="15" t="s">
        <v>678</v>
      </c>
      <c r="F1039" s="13" t="s">
        <v>50</v>
      </c>
      <c r="G1039" s="13" t="s">
        <v>51</v>
      </c>
      <c r="H1039" s="16" t="s">
        <v>108</v>
      </c>
      <c r="I1039" s="16" t="s">
        <v>53</v>
      </c>
      <c r="K1039" s="17">
        <v>96</v>
      </c>
      <c r="L1039" s="17" t="s">
        <v>679</v>
      </c>
      <c r="M1039" s="17"/>
      <c r="N1039" s="14" t="s">
        <v>85</v>
      </c>
      <c r="O1039" s="17" t="s">
        <v>104</v>
      </c>
      <c r="P1039" s="17" t="s">
        <v>680</v>
      </c>
      <c r="Q1039" s="17"/>
      <c r="R1039" s="17"/>
      <c r="S1039" s="17">
        <v>38.15</v>
      </c>
      <c r="T1039" s="17">
        <v>57.11</v>
      </c>
      <c r="U1039" s="20">
        <f t="shared" si="71"/>
        <v>1.4969855832241155</v>
      </c>
      <c r="V1039" s="41">
        <f t="shared" si="74"/>
        <v>49.698558322411543</v>
      </c>
      <c r="W1039" s="17"/>
      <c r="X1039" s="17" t="s">
        <v>56</v>
      </c>
      <c r="Z1039" s="17" t="s">
        <v>56</v>
      </c>
      <c r="AA1039" s="17"/>
      <c r="AB1039" s="17" t="s">
        <v>57</v>
      </c>
      <c r="AC1039" s="17">
        <v>2018</v>
      </c>
      <c r="AD1039" s="17">
        <v>0</v>
      </c>
      <c r="AE1039" s="17"/>
      <c r="AF1039" s="17"/>
      <c r="AG1039" s="14">
        <v>1990</v>
      </c>
      <c r="AH1039" s="14">
        <f t="shared" si="72"/>
        <v>28</v>
      </c>
      <c r="AI1039" s="17">
        <f t="shared" si="73"/>
        <v>28</v>
      </c>
      <c r="AJ1039" s="17"/>
      <c r="AK1039" s="17" t="s">
        <v>56</v>
      </c>
      <c r="AL1039" s="16" t="s">
        <v>681</v>
      </c>
      <c r="AM1039" s="17">
        <v>2020</v>
      </c>
      <c r="AN1039" s="12" t="s">
        <v>682</v>
      </c>
      <c r="AO1039" s="15" t="s">
        <v>56</v>
      </c>
      <c r="AP1039" s="15"/>
      <c r="AQ1039" s="15" t="s">
        <v>56</v>
      </c>
      <c r="AR1039" s="15" t="s">
        <v>58</v>
      </c>
      <c r="AS1039" s="15" t="s">
        <v>62</v>
      </c>
      <c r="AT1039" s="15"/>
      <c r="AU1039" s="45" t="s">
        <v>683</v>
      </c>
      <c r="AV1039" s="15"/>
      <c r="AW1039" s="12" t="str">
        <f>B1039&amp;C1039&amp;L1039&amp;M1039&amp;O1039&amp;U1039&amp;AL1039&amp;AM1039</f>
        <v>PortugalDesertas Islands Nature ReservePatella asperasize1.49698558322412Sousa2020</v>
      </c>
    </row>
    <row r="1040" spans="1:49" ht="14.25" customHeight="1" x14ac:dyDescent="0.35">
      <c r="A1040" s="12">
        <v>1039</v>
      </c>
      <c r="B1040" s="12" t="s">
        <v>210</v>
      </c>
      <c r="C1040" s="15" t="s">
        <v>809</v>
      </c>
      <c r="D1040" s="12" t="s">
        <v>809</v>
      </c>
      <c r="E1040" s="12" t="s">
        <v>678</v>
      </c>
      <c r="F1040" s="13" t="s">
        <v>50</v>
      </c>
      <c r="G1040" s="13" t="s">
        <v>51</v>
      </c>
      <c r="H1040" s="13" t="s">
        <v>108</v>
      </c>
      <c r="I1040" s="13" t="s">
        <v>53</v>
      </c>
      <c r="K1040" s="17">
        <v>3</v>
      </c>
      <c r="L1040" s="14" t="s">
        <v>679</v>
      </c>
      <c r="M1040" s="14"/>
      <c r="N1040" s="14" t="s">
        <v>85</v>
      </c>
      <c r="O1040" s="17" t="s">
        <v>104</v>
      </c>
      <c r="P1040" s="14" t="s">
        <v>680</v>
      </c>
      <c r="Q1040" s="14"/>
      <c r="R1040" s="14"/>
      <c r="S1040" s="14">
        <v>38.15</v>
      </c>
      <c r="T1040" s="14">
        <v>54.35</v>
      </c>
      <c r="U1040" s="19">
        <f t="shared" si="71"/>
        <v>1.4246395806028835</v>
      </c>
      <c r="V1040" s="41">
        <f t="shared" si="74"/>
        <v>42.463958060288356</v>
      </c>
      <c r="W1040" s="14"/>
      <c r="X1040" s="17" t="s">
        <v>56</v>
      </c>
      <c r="Y1040" s="12"/>
      <c r="Z1040" s="14" t="s">
        <v>56</v>
      </c>
      <c r="AA1040" s="14"/>
      <c r="AB1040" s="14" t="s">
        <v>57</v>
      </c>
      <c r="AC1040" s="14">
        <v>2018</v>
      </c>
      <c r="AD1040" s="14">
        <v>0</v>
      </c>
      <c r="AE1040" s="14"/>
      <c r="AF1040" s="14"/>
      <c r="AG1040" s="14">
        <v>1986</v>
      </c>
      <c r="AH1040" s="14">
        <f t="shared" si="72"/>
        <v>32</v>
      </c>
      <c r="AI1040" s="17">
        <f t="shared" si="73"/>
        <v>32</v>
      </c>
      <c r="AJ1040" s="14"/>
      <c r="AK1040" s="14" t="s">
        <v>56</v>
      </c>
      <c r="AL1040" s="13" t="s">
        <v>681</v>
      </c>
      <c r="AM1040" s="14">
        <v>2020</v>
      </c>
      <c r="AN1040" s="12" t="s">
        <v>682</v>
      </c>
      <c r="AO1040" s="12" t="s">
        <v>56</v>
      </c>
      <c r="AP1040" s="12"/>
      <c r="AQ1040" s="12" t="s">
        <v>56</v>
      </c>
      <c r="AR1040" s="12" t="s">
        <v>58</v>
      </c>
      <c r="AS1040" s="12" t="s">
        <v>62</v>
      </c>
      <c r="AT1040" s="12"/>
      <c r="AU1040" s="45" t="s">
        <v>2570</v>
      </c>
      <c r="AV1040" s="15"/>
      <c r="AW1040" s="12" t="str">
        <f>B1040&amp;C1040&amp;L1040&amp;M1040&amp;O1040&amp;U1040&amp;AL1040&amp;AM1040</f>
        <v>PortugalGarajau Marine Natural ReservePatella asperasize1.42463958060288Sousa2020</v>
      </c>
    </row>
    <row r="1041" spans="1:49" ht="14.25" customHeight="1" x14ac:dyDescent="0.35">
      <c r="A1041" s="12">
        <v>1040</v>
      </c>
      <c r="B1041" s="15" t="s">
        <v>210</v>
      </c>
      <c r="C1041" s="15" t="s">
        <v>1747</v>
      </c>
      <c r="D1041" s="15" t="s">
        <v>1747</v>
      </c>
      <c r="E1041" s="15" t="s">
        <v>678</v>
      </c>
      <c r="F1041" s="16" t="s">
        <v>50</v>
      </c>
      <c r="G1041" s="16" t="s">
        <v>51</v>
      </c>
      <c r="H1041" s="16" t="s">
        <v>108</v>
      </c>
      <c r="I1041" s="16" t="s">
        <v>53</v>
      </c>
      <c r="K1041" s="17">
        <v>17</v>
      </c>
      <c r="L1041" s="17" t="s">
        <v>679</v>
      </c>
      <c r="M1041" s="17"/>
      <c r="N1041" s="14" t="s">
        <v>85</v>
      </c>
      <c r="O1041" s="17" t="s">
        <v>104</v>
      </c>
      <c r="P1041" s="17" t="s">
        <v>680</v>
      </c>
      <c r="Q1041" s="17"/>
      <c r="R1041" s="17"/>
      <c r="S1041" s="17">
        <v>38.15</v>
      </c>
      <c r="T1041" s="17">
        <v>52.18</v>
      </c>
      <c r="U1041" s="20">
        <f t="shared" si="71"/>
        <v>1.3677588466579294</v>
      </c>
      <c r="V1041" s="41">
        <f t="shared" si="74"/>
        <v>36.775884665792937</v>
      </c>
      <c r="W1041" s="17"/>
      <c r="X1041" s="17" t="s">
        <v>56</v>
      </c>
      <c r="Z1041" s="17" t="s">
        <v>56</v>
      </c>
      <c r="AA1041" s="17"/>
      <c r="AB1041" s="17" t="s">
        <v>57</v>
      </c>
      <c r="AC1041" s="17">
        <v>2018</v>
      </c>
      <c r="AD1041" s="17">
        <v>0</v>
      </c>
      <c r="AE1041" s="17"/>
      <c r="AF1041" s="17"/>
      <c r="AG1041" s="14">
        <v>1997</v>
      </c>
      <c r="AH1041" s="14">
        <f t="shared" si="72"/>
        <v>21</v>
      </c>
      <c r="AI1041" s="17">
        <f t="shared" si="73"/>
        <v>21</v>
      </c>
      <c r="AJ1041" s="17"/>
      <c r="AK1041" s="17" t="s">
        <v>56</v>
      </c>
      <c r="AL1041" s="16" t="s">
        <v>681</v>
      </c>
      <c r="AM1041" s="17">
        <v>2020</v>
      </c>
      <c r="AN1041" s="15" t="s">
        <v>682</v>
      </c>
      <c r="AO1041" s="15" t="s">
        <v>56</v>
      </c>
      <c r="AP1041" s="15"/>
      <c r="AQ1041" s="15" t="s">
        <v>56</v>
      </c>
      <c r="AR1041" s="15" t="s">
        <v>58</v>
      </c>
      <c r="AS1041" s="15" t="s">
        <v>62</v>
      </c>
      <c r="AT1041" s="15"/>
      <c r="AU1041" s="45" t="s">
        <v>683</v>
      </c>
      <c r="AV1041" s="15"/>
      <c r="AW1041" s="12" t="str">
        <f>B1041&amp;C1041&amp;L1041&amp;M1041&amp;O1041&amp;U1041&amp;AL1041&amp;AM1041</f>
        <v>PortugalRocha do Navio Nature ReservePatella asperasize1.36775884665793Sousa2020</v>
      </c>
    </row>
    <row r="1042" spans="1:49" ht="14.25" customHeight="1" x14ac:dyDescent="0.35">
      <c r="A1042" s="12">
        <v>1041</v>
      </c>
      <c r="B1042" s="12" t="s">
        <v>210</v>
      </c>
      <c r="C1042" s="15" t="s">
        <v>1858</v>
      </c>
      <c r="D1042" s="15" t="s">
        <v>1858</v>
      </c>
      <c r="E1042" s="15" t="s">
        <v>678</v>
      </c>
      <c r="F1042" s="13" t="s">
        <v>50</v>
      </c>
      <c r="G1042" s="13" t="s">
        <v>51</v>
      </c>
      <c r="H1042" s="16" t="s">
        <v>108</v>
      </c>
      <c r="I1042" s="16" t="s">
        <v>53</v>
      </c>
      <c r="K1042" s="17">
        <v>90</v>
      </c>
      <c r="L1042" s="17" t="s">
        <v>679</v>
      </c>
      <c r="M1042" s="17"/>
      <c r="N1042" s="17" t="s">
        <v>85</v>
      </c>
      <c r="O1042" s="17" t="s">
        <v>104</v>
      </c>
      <c r="P1042" s="17" t="s">
        <v>680</v>
      </c>
      <c r="Q1042" s="17"/>
      <c r="R1042" s="17"/>
      <c r="S1042" s="17">
        <v>38.15</v>
      </c>
      <c r="T1042" s="17">
        <v>57.83</v>
      </c>
      <c r="U1042" s="20">
        <f t="shared" si="71"/>
        <v>1.5158584534731323</v>
      </c>
      <c r="V1042" s="41">
        <f t="shared" si="74"/>
        <v>51.585845347313231</v>
      </c>
      <c r="W1042" s="17"/>
      <c r="X1042" s="17" t="s">
        <v>56</v>
      </c>
      <c r="Z1042" s="17" t="s">
        <v>56</v>
      </c>
      <c r="AA1042" s="17"/>
      <c r="AB1042" s="17" t="s">
        <v>57</v>
      </c>
      <c r="AC1042" s="17">
        <v>2018</v>
      </c>
      <c r="AD1042" s="17">
        <v>0</v>
      </c>
      <c r="AE1042" s="17"/>
      <c r="AF1042" s="17"/>
      <c r="AG1042" s="14">
        <v>1971</v>
      </c>
      <c r="AH1042" s="14">
        <f t="shared" si="72"/>
        <v>47</v>
      </c>
      <c r="AI1042" s="17">
        <f t="shared" si="73"/>
        <v>47</v>
      </c>
      <c r="AJ1042" s="17"/>
      <c r="AK1042" s="17" t="s">
        <v>56</v>
      </c>
      <c r="AL1042" s="16" t="s">
        <v>681</v>
      </c>
      <c r="AM1042" s="17">
        <v>2020</v>
      </c>
      <c r="AN1042" s="15" t="s">
        <v>682</v>
      </c>
      <c r="AO1042" s="15" t="s">
        <v>56</v>
      </c>
      <c r="AP1042" s="15"/>
      <c r="AQ1042" s="15" t="s">
        <v>56</v>
      </c>
      <c r="AR1042" s="15" t="s">
        <v>58</v>
      </c>
      <c r="AS1042" s="15" t="s">
        <v>62</v>
      </c>
      <c r="AT1042" s="15"/>
      <c r="AU1042" s="45" t="s">
        <v>683</v>
      </c>
      <c r="AV1042" s="15"/>
      <c r="AW1042" s="12" t="str">
        <f>B1042&amp;C1042&amp;L1042&amp;M1042&amp;O1042&amp;U1042&amp;AL1042&amp;AM1042</f>
        <v>PortugalSelvagens Islands Nature ReservePatella asperasize1.51585845347313Sousa2020</v>
      </c>
    </row>
    <row r="1043" spans="1:49" ht="14.25" customHeight="1" x14ac:dyDescent="0.35">
      <c r="A1043" s="12">
        <v>1042</v>
      </c>
      <c r="B1043" s="12" t="s">
        <v>210</v>
      </c>
      <c r="C1043" s="15" t="s">
        <v>1258</v>
      </c>
      <c r="D1043" s="59" t="s">
        <v>211</v>
      </c>
      <c r="E1043" s="12"/>
      <c r="F1043" s="13" t="s">
        <v>339</v>
      </c>
      <c r="G1043" s="13" t="s">
        <v>51</v>
      </c>
      <c r="H1043" s="13" t="s">
        <v>108</v>
      </c>
      <c r="I1043" s="13" t="s">
        <v>53</v>
      </c>
      <c r="J1043" s="14">
        <v>4.2</v>
      </c>
      <c r="K1043" s="14"/>
      <c r="L1043" s="14"/>
      <c r="M1043" s="14" t="s">
        <v>69</v>
      </c>
      <c r="N1043" s="17" t="s">
        <v>1070</v>
      </c>
      <c r="O1043" s="17" t="s">
        <v>86</v>
      </c>
      <c r="P1043" s="14"/>
      <c r="Q1043" s="14">
        <v>21171.17</v>
      </c>
      <c r="R1043" s="14">
        <v>37837.839999999997</v>
      </c>
      <c r="S1043" s="14">
        <v>22972.97</v>
      </c>
      <c r="T1043" s="14">
        <v>39189.19</v>
      </c>
      <c r="U1043" s="19">
        <f t="shared" si="71"/>
        <v>0.95448182864323061</v>
      </c>
      <c r="V1043" s="41">
        <f t="shared" si="74"/>
        <v>-4.5518171356769388</v>
      </c>
      <c r="W1043" s="14"/>
      <c r="X1043" s="14" t="s">
        <v>56</v>
      </c>
      <c r="Z1043" s="14" t="s">
        <v>56</v>
      </c>
      <c r="AA1043" s="14"/>
      <c r="AB1043" s="14" t="s">
        <v>111</v>
      </c>
      <c r="AC1043" s="14">
        <v>2007</v>
      </c>
      <c r="AD1043" s="14">
        <v>5</v>
      </c>
      <c r="AE1043" s="14"/>
      <c r="AF1043" s="14"/>
      <c r="AG1043" s="14">
        <v>2009</v>
      </c>
      <c r="AH1043" s="14">
        <f t="shared" si="72"/>
        <v>-2</v>
      </c>
      <c r="AI1043" s="17">
        <f t="shared" si="73"/>
        <v>3</v>
      </c>
      <c r="AJ1043" s="14"/>
      <c r="AK1043" s="14" t="s">
        <v>56</v>
      </c>
      <c r="AL1043" s="13" t="s">
        <v>681</v>
      </c>
      <c r="AM1043" s="14">
        <v>2018</v>
      </c>
      <c r="AN1043" s="12" t="s">
        <v>829</v>
      </c>
      <c r="AO1043" s="12" t="s">
        <v>56</v>
      </c>
      <c r="AP1043" s="12"/>
      <c r="AQ1043" s="12" t="s">
        <v>56</v>
      </c>
      <c r="AR1043" s="12" t="s">
        <v>58</v>
      </c>
      <c r="AS1043" s="12" t="s">
        <v>62</v>
      </c>
      <c r="AT1043" s="12"/>
      <c r="AU1043" s="45" t="s">
        <v>1259</v>
      </c>
      <c r="AV1043" s="15"/>
      <c r="AW1043" s="12" t="str">
        <f>B1043&amp;C1043&amp;L1043&amp;M1043&amp;O1043&amp;U1043&amp;AL1043&amp;AM1043</f>
        <v>PortugalLuiz Saldanha Marine Parkfishdensity0.954481828643231Sousa2018</v>
      </c>
    </row>
    <row r="1044" spans="1:49" ht="14.25" customHeight="1" x14ac:dyDescent="0.35">
      <c r="A1044" s="12">
        <v>1043</v>
      </c>
      <c r="B1044" s="12" t="s">
        <v>210</v>
      </c>
      <c r="C1044" s="15" t="s">
        <v>1258</v>
      </c>
      <c r="D1044" s="50" t="s">
        <v>211</v>
      </c>
      <c r="E1044" s="12"/>
      <c r="F1044" s="13" t="s">
        <v>339</v>
      </c>
      <c r="G1044" s="13" t="s">
        <v>51</v>
      </c>
      <c r="H1044" s="13" t="s">
        <v>108</v>
      </c>
      <c r="I1044" s="13" t="s">
        <v>53</v>
      </c>
      <c r="J1044" s="14">
        <v>4.2</v>
      </c>
      <c r="K1044" s="14"/>
      <c r="L1044" s="14"/>
      <c r="M1044" s="14" t="s">
        <v>69</v>
      </c>
      <c r="N1044" s="17" t="s">
        <v>1070</v>
      </c>
      <c r="O1044" s="17" t="s">
        <v>70</v>
      </c>
      <c r="P1044" s="14"/>
      <c r="Q1044" s="14">
        <v>4559.3869999999997</v>
      </c>
      <c r="R1044" s="14">
        <v>11144.64</v>
      </c>
      <c r="S1044" s="14">
        <v>6115.9</v>
      </c>
      <c r="T1044" s="14">
        <v>15454.98</v>
      </c>
      <c r="U1044" s="19">
        <f t="shared" si="71"/>
        <v>1.033828461087944</v>
      </c>
      <c r="V1044" s="41">
        <f t="shared" si="74"/>
        <v>3.3828461087944017</v>
      </c>
      <c r="W1044" s="14"/>
      <c r="X1044" s="14" t="s">
        <v>56</v>
      </c>
      <c r="Z1044" s="14" t="s">
        <v>56</v>
      </c>
      <c r="AA1044" s="14"/>
      <c r="AB1044" s="14" t="s">
        <v>111</v>
      </c>
      <c r="AC1044" s="14">
        <v>2007</v>
      </c>
      <c r="AD1044" s="14">
        <v>5</v>
      </c>
      <c r="AE1044" s="14"/>
      <c r="AF1044" s="14"/>
      <c r="AG1044" s="14">
        <v>2009</v>
      </c>
      <c r="AH1044" s="14">
        <f t="shared" si="72"/>
        <v>-2</v>
      </c>
      <c r="AI1044" s="17">
        <f t="shared" si="73"/>
        <v>3</v>
      </c>
      <c r="AJ1044" s="14"/>
      <c r="AK1044" s="14" t="s">
        <v>56</v>
      </c>
      <c r="AL1044" s="13" t="s">
        <v>681</v>
      </c>
      <c r="AM1044" s="14">
        <v>2018</v>
      </c>
      <c r="AN1044" s="12" t="s">
        <v>829</v>
      </c>
      <c r="AO1044" s="12" t="s">
        <v>56</v>
      </c>
      <c r="AP1044" s="12"/>
      <c r="AQ1044" s="12" t="s">
        <v>56</v>
      </c>
      <c r="AR1044" s="12" t="s">
        <v>58</v>
      </c>
      <c r="AS1044" s="12" t="s">
        <v>62</v>
      </c>
      <c r="AT1044" s="12"/>
      <c r="AU1044" s="45" t="s">
        <v>1259</v>
      </c>
      <c r="AV1044" s="15"/>
      <c r="AW1044" s="12" t="str">
        <f>B1044&amp;C1044&amp;L1044&amp;M1044&amp;O1044&amp;U1044&amp;AL1044&amp;AM1044</f>
        <v>PortugalLuiz Saldanha Marine Parkfishbiomassden1.03382846108794Sousa2018</v>
      </c>
    </row>
    <row r="1045" spans="1:49" ht="14.25" customHeight="1" x14ac:dyDescent="0.35">
      <c r="A1045" s="12">
        <v>1044</v>
      </c>
      <c r="B1045" s="12" t="s">
        <v>271</v>
      </c>
      <c r="C1045" s="15" t="s">
        <v>2721</v>
      </c>
      <c r="D1045" s="15" t="s">
        <v>2721</v>
      </c>
      <c r="E1045" s="15" t="s">
        <v>1869</v>
      </c>
      <c r="F1045" s="13" t="s">
        <v>339</v>
      </c>
      <c r="G1045" s="13" t="s">
        <v>51</v>
      </c>
      <c r="H1045" s="16" t="s">
        <v>108</v>
      </c>
      <c r="I1045" s="16" t="s">
        <v>53</v>
      </c>
      <c r="J1045" s="14">
        <v>653</v>
      </c>
      <c r="K1045" s="17"/>
      <c r="L1045" s="17"/>
      <c r="M1045" s="17" t="s">
        <v>1870</v>
      </c>
      <c r="N1045" s="53" t="s">
        <v>98</v>
      </c>
      <c r="O1045" s="17" t="s">
        <v>55</v>
      </c>
      <c r="P1045" s="17"/>
      <c r="Q1045" s="17">
        <v>20.182480000000002</v>
      </c>
      <c r="R1045" s="17">
        <v>24.124089999999999</v>
      </c>
      <c r="S1045" s="17">
        <v>23.905110000000001</v>
      </c>
      <c r="T1045" s="17">
        <v>23.759119999999999</v>
      </c>
      <c r="U1045" s="20">
        <f t="shared" si="71"/>
        <v>0.83150180313303679</v>
      </c>
      <c r="V1045" s="41">
        <f t="shared" si="74"/>
        <v>-16.849819686696321</v>
      </c>
      <c r="W1045" s="17"/>
      <c r="X1045" s="17" t="s">
        <v>56</v>
      </c>
      <c r="Z1045" s="17" t="s">
        <v>56</v>
      </c>
      <c r="AA1045" s="17"/>
      <c r="AB1045" s="17" t="s">
        <v>111</v>
      </c>
      <c r="AC1045" s="17">
        <v>2009</v>
      </c>
      <c r="AD1045" s="17">
        <v>5</v>
      </c>
      <c r="AE1045" s="17"/>
      <c r="AF1045" s="17"/>
      <c r="AG1045" s="14">
        <v>2009</v>
      </c>
      <c r="AH1045" s="14">
        <f t="shared" si="72"/>
        <v>0</v>
      </c>
      <c r="AI1045" s="17">
        <f t="shared" si="73"/>
        <v>5</v>
      </c>
      <c r="AJ1045" s="17"/>
      <c r="AK1045" s="17" t="s">
        <v>58</v>
      </c>
      <c r="AL1045" s="16" t="s">
        <v>1871</v>
      </c>
      <c r="AM1045" s="17">
        <v>2018</v>
      </c>
      <c r="AN1045" s="15" t="s">
        <v>183</v>
      </c>
      <c r="AO1045" s="15" t="s">
        <v>56</v>
      </c>
      <c r="AP1045" s="15"/>
      <c r="AQ1045" s="15" t="s">
        <v>56</v>
      </c>
      <c r="AR1045" s="15" t="s">
        <v>58</v>
      </c>
      <c r="AS1045" s="15" t="s">
        <v>62</v>
      </c>
      <c r="AT1045" s="15"/>
      <c r="AU1045" s="45" t="s">
        <v>1872</v>
      </c>
      <c r="AV1045" s="15"/>
      <c r="AW1045" s="12" t="str">
        <f>B1045&amp;C1045&amp;L1045&amp;M1045&amp;O1045&amp;U1045&amp;AL1045&amp;AM1045</f>
        <v>SwedenKattegat MPAmacrofaunarichness0.831501803133037Skold2018</v>
      </c>
    </row>
    <row r="1046" spans="1:49" ht="14.25" customHeight="1" x14ac:dyDescent="0.35">
      <c r="A1046" s="12">
        <v>1045</v>
      </c>
      <c r="B1046" s="12" t="s">
        <v>271</v>
      </c>
      <c r="C1046" s="15" t="s">
        <v>2721</v>
      </c>
      <c r="D1046" s="15" t="s">
        <v>2721</v>
      </c>
      <c r="E1046" s="15" t="s">
        <v>1869</v>
      </c>
      <c r="F1046" s="13" t="s">
        <v>339</v>
      </c>
      <c r="G1046" s="13" t="s">
        <v>51</v>
      </c>
      <c r="H1046" s="16" t="s">
        <v>108</v>
      </c>
      <c r="I1046" s="16" t="s">
        <v>53</v>
      </c>
      <c r="J1046" s="14">
        <v>653</v>
      </c>
      <c r="K1046" s="17"/>
      <c r="L1046" s="17"/>
      <c r="M1046" s="17" t="s">
        <v>1870</v>
      </c>
      <c r="N1046" s="53" t="s">
        <v>98</v>
      </c>
      <c r="O1046" s="17" t="s">
        <v>86</v>
      </c>
      <c r="P1046" s="17"/>
      <c r="Q1046" s="17">
        <v>1091777</v>
      </c>
      <c r="R1046" s="17">
        <v>1164179</v>
      </c>
      <c r="S1046" s="17">
        <v>1299330</v>
      </c>
      <c r="T1046" s="17">
        <v>879396.6</v>
      </c>
      <c r="U1046" s="20">
        <f t="shared" si="71"/>
        <v>0.63471607310374012</v>
      </c>
      <c r="V1046" s="41">
        <f t="shared" si="74"/>
        <v>-36.528392689625989</v>
      </c>
      <c r="W1046" s="17"/>
      <c r="X1046" s="17" t="s">
        <v>56</v>
      </c>
      <c r="Z1046" s="17" t="s">
        <v>56</v>
      </c>
      <c r="AA1046" s="17"/>
      <c r="AB1046" s="17" t="s">
        <v>111</v>
      </c>
      <c r="AC1046" s="17">
        <v>2009</v>
      </c>
      <c r="AD1046" s="17">
        <v>5</v>
      </c>
      <c r="AE1046" s="17"/>
      <c r="AF1046" s="17"/>
      <c r="AG1046" s="14">
        <v>2009</v>
      </c>
      <c r="AH1046" s="14">
        <f t="shared" si="72"/>
        <v>0</v>
      </c>
      <c r="AI1046" s="17">
        <f t="shared" si="73"/>
        <v>5</v>
      </c>
      <c r="AJ1046" s="17"/>
      <c r="AK1046" s="17" t="s">
        <v>58</v>
      </c>
      <c r="AL1046" s="16" t="s">
        <v>1871</v>
      </c>
      <c r="AM1046" s="17">
        <v>2018</v>
      </c>
      <c r="AN1046" s="15" t="s">
        <v>183</v>
      </c>
      <c r="AO1046" s="15" t="s">
        <v>56</v>
      </c>
      <c r="AP1046" s="15"/>
      <c r="AQ1046" s="15" t="s">
        <v>56</v>
      </c>
      <c r="AR1046" s="15" t="s">
        <v>58</v>
      </c>
      <c r="AS1046" s="15" t="s">
        <v>62</v>
      </c>
      <c r="AT1046" s="15"/>
      <c r="AU1046" s="45" t="s">
        <v>1872</v>
      </c>
      <c r="AV1046" s="15"/>
      <c r="AW1046" s="12" t="str">
        <f>B1046&amp;C1046&amp;L1046&amp;M1046&amp;O1046&amp;U1046&amp;AL1046&amp;AM1046</f>
        <v>SwedenKattegat MPAmacrofaunadensity0.63471607310374Skold2018</v>
      </c>
    </row>
    <row r="1047" spans="1:49" ht="14.25" customHeight="1" x14ac:dyDescent="0.35">
      <c r="A1047" s="12">
        <v>1046</v>
      </c>
      <c r="B1047" s="12" t="s">
        <v>271</v>
      </c>
      <c r="C1047" s="12" t="s">
        <v>2721</v>
      </c>
      <c r="D1047" s="12" t="s">
        <v>2721</v>
      </c>
      <c r="E1047" s="12" t="s">
        <v>1869</v>
      </c>
      <c r="F1047" s="13" t="s">
        <v>339</v>
      </c>
      <c r="G1047" s="13" t="s">
        <v>51</v>
      </c>
      <c r="H1047" s="13" t="s">
        <v>108</v>
      </c>
      <c r="I1047" s="13" t="s">
        <v>53</v>
      </c>
      <c r="J1047" s="14">
        <v>653</v>
      </c>
      <c r="K1047" s="14"/>
      <c r="L1047" s="14"/>
      <c r="M1047" s="14" t="s">
        <v>1870</v>
      </c>
      <c r="N1047" s="42" t="s">
        <v>98</v>
      </c>
      <c r="O1047" s="17" t="s">
        <v>70</v>
      </c>
      <c r="P1047" s="14"/>
      <c r="Q1047" s="14">
        <v>107920</v>
      </c>
      <c r="R1047" s="14">
        <v>86800</v>
      </c>
      <c r="S1047" s="14">
        <v>109360</v>
      </c>
      <c r="T1047" s="14">
        <v>50800</v>
      </c>
      <c r="U1047" s="19">
        <f t="shared" si="71"/>
        <v>0.57754711956283566</v>
      </c>
      <c r="V1047" s="41">
        <f t="shared" si="74"/>
        <v>-42.245288043716435</v>
      </c>
      <c r="W1047" s="14"/>
      <c r="X1047" s="14" t="s">
        <v>56</v>
      </c>
      <c r="Z1047" s="14" t="s">
        <v>56</v>
      </c>
      <c r="AA1047" s="14"/>
      <c r="AB1047" s="14" t="s">
        <v>111</v>
      </c>
      <c r="AC1047" s="14">
        <v>2009</v>
      </c>
      <c r="AD1047" s="14">
        <v>5</v>
      </c>
      <c r="AE1047" s="14"/>
      <c r="AF1047" s="14"/>
      <c r="AG1047" s="14">
        <v>2009</v>
      </c>
      <c r="AH1047" s="14">
        <f t="shared" si="72"/>
        <v>0</v>
      </c>
      <c r="AI1047" s="17">
        <f t="shared" si="73"/>
        <v>5</v>
      </c>
      <c r="AJ1047" s="14"/>
      <c r="AK1047" s="14" t="s">
        <v>58</v>
      </c>
      <c r="AL1047" s="13" t="s">
        <v>1871</v>
      </c>
      <c r="AM1047" s="14">
        <v>2018</v>
      </c>
      <c r="AN1047" s="12" t="s">
        <v>183</v>
      </c>
      <c r="AO1047" s="12" t="s">
        <v>56</v>
      </c>
      <c r="AP1047" s="12"/>
      <c r="AQ1047" s="12" t="s">
        <v>56</v>
      </c>
      <c r="AR1047" s="12" t="s">
        <v>58</v>
      </c>
      <c r="AS1047" s="12" t="s">
        <v>62</v>
      </c>
      <c r="AT1047" s="12"/>
      <c r="AU1047" s="45" t="s">
        <v>1873</v>
      </c>
      <c r="AV1047" s="15"/>
      <c r="AW1047" s="12" t="str">
        <f>B1047&amp;C1047&amp;L1047&amp;M1047&amp;O1047&amp;U1047&amp;AL1047&amp;AM1047</f>
        <v>SwedenKattegat MPAmacrofaunabiomassden0.577547119562836Skold2018</v>
      </c>
    </row>
    <row r="1048" spans="1:49" ht="14.25" customHeight="1" x14ac:dyDescent="0.35">
      <c r="A1048" s="12">
        <v>1047</v>
      </c>
      <c r="B1048" s="12" t="s">
        <v>271</v>
      </c>
      <c r="C1048" s="15" t="s">
        <v>2721</v>
      </c>
      <c r="D1048" s="15" t="s">
        <v>2721</v>
      </c>
      <c r="E1048" s="15" t="s">
        <v>1869</v>
      </c>
      <c r="F1048" s="13" t="s">
        <v>339</v>
      </c>
      <c r="G1048" s="13" t="s">
        <v>51</v>
      </c>
      <c r="H1048" s="16" t="s">
        <v>108</v>
      </c>
      <c r="I1048" s="16" t="s">
        <v>53</v>
      </c>
      <c r="J1048" s="17">
        <v>653</v>
      </c>
      <c r="K1048" s="17"/>
      <c r="L1048" s="17" t="s">
        <v>1874</v>
      </c>
      <c r="M1048" s="17"/>
      <c r="N1048" s="14" t="s">
        <v>85</v>
      </c>
      <c r="O1048" s="17" t="s">
        <v>86</v>
      </c>
      <c r="P1048" s="17"/>
      <c r="Q1048" s="17">
        <v>476422.8</v>
      </c>
      <c r="R1048" s="17">
        <v>476422.8</v>
      </c>
      <c r="S1048" s="17">
        <v>508943.1</v>
      </c>
      <c r="T1048" s="17">
        <v>323577.2</v>
      </c>
      <c r="U1048" s="20">
        <f t="shared" si="71"/>
        <v>0.63578266411313955</v>
      </c>
      <c r="V1048" s="41">
        <f t="shared" si="74"/>
        <v>-36.421733588686045</v>
      </c>
      <c r="W1048" s="17"/>
      <c r="X1048" s="17" t="s">
        <v>56</v>
      </c>
      <c r="Z1048" s="17" t="s">
        <v>56</v>
      </c>
      <c r="AA1048" s="17"/>
      <c r="AB1048" s="17" t="s">
        <v>111</v>
      </c>
      <c r="AC1048" s="17">
        <v>2009</v>
      </c>
      <c r="AD1048" s="17">
        <v>5</v>
      </c>
      <c r="AE1048" s="17"/>
      <c r="AF1048" s="17"/>
      <c r="AG1048" s="14">
        <v>2009</v>
      </c>
      <c r="AH1048" s="14">
        <f t="shared" si="72"/>
        <v>0</v>
      </c>
      <c r="AI1048" s="17">
        <f t="shared" si="73"/>
        <v>5</v>
      </c>
      <c r="AJ1048" s="17"/>
      <c r="AK1048" s="17" t="s">
        <v>58</v>
      </c>
      <c r="AL1048" s="16" t="s">
        <v>1871</v>
      </c>
      <c r="AM1048" s="17">
        <v>2018</v>
      </c>
      <c r="AN1048" s="15" t="s">
        <v>183</v>
      </c>
      <c r="AO1048" s="15" t="s">
        <v>56</v>
      </c>
      <c r="AP1048" s="15"/>
      <c r="AQ1048" s="15" t="s">
        <v>56</v>
      </c>
      <c r="AR1048" s="15" t="s">
        <v>58</v>
      </c>
      <c r="AS1048" s="15" t="s">
        <v>62</v>
      </c>
      <c r="AT1048" s="15"/>
      <c r="AU1048" s="45"/>
      <c r="AV1048" s="15"/>
      <c r="AW1048" s="12" t="str">
        <f>B1048&amp;C1048&amp;L1048&amp;M1048&amp;O1048&amp;U1048&amp;AL1048&amp;AM1048</f>
        <v>SwedenKattegat MPAAmphiura fillformisdensity0.63578266411314Skold2018</v>
      </c>
    </row>
    <row r="1049" spans="1:49" ht="14.25" customHeight="1" x14ac:dyDescent="0.35">
      <c r="A1049" s="12">
        <v>1048</v>
      </c>
      <c r="B1049" s="12" t="s">
        <v>271</v>
      </c>
      <c r="C1049" s="15" t="s">
        <v>2721</v>
      </c>
      <c r="D1049" s="12" t="s">
        <v>2721</v>
      </c>
      <c r="E1049" s="15" t="s">
        <v>1869</v>
      </c>
      <c r="F1049" s="16" t="s">
        <v>339</v>
      </c>
      <c r="G1049" s="16" t="s">
        <v>51</v>
      </c>
      <c r="H1049" s="16" t="s">
        <v>108</v>
      </c>
      <c r="I1049" s="16" t="s">
        <v>53</v>
      </c>
      <c r="J1049" s="17">
        <v>653</v>
      </c>
      <c r="K1049" s="17"/>
      <c r="L1049" s="17" t="s">
        <v>1875</v>
      </c>
      <c r="M1049" s="17"/>
      <c r="N1049" s="14" t="s">
        <v>85</v>
      </c>
      <c r="O1049" s="17" t="s">
        <v>86</v>
      </c>
      <c r="P1049" s="17"/>
      <c r="Q1049" s="17">
        <v>266666.7</v>
      </c>
      <c r="R1049" s="17">
        <v>236666.7</v>
      </c>
      <c r="S1049" s="17">
        <v>246666.7</v>
      </c>
      <c r="T1049" s="17">
        <v>93333.33</v>
      </c>
      <c r="U1049" s="20">
        <f t="shared" si="71"/>
        <v>0.426341755196879</v>
      </c>
      <c r="V1049" s="41">
        <f t="shared" si="74"/>
        <v>-57.365824480312099</v>
      </c>
      <c r="W1049" s="17"/>
      <c r="X1049" s="17" t="s">
        <v>56</v>
      </c>
      <c r="Z1049" s="17" t="s">
        <v>56</v>
      </c>
      <c r="AA1049" s="17"/>
      <c r="AB1049" s="17" t="s">
        <v>111</v>
      </c>
      <c r="AC1049" s="17">
        <v>2009</v>
      </c>
      <c r="AD1049" s="17">
        <v>5</v>
      </c>
      <c r="AE1049" s="17"/>
      <c r="AF1049" s="17"/>
      <c r="AG1049" s="17">
        <v>2009</v>
      </c>
      <c r="AH1049" s="14">
        <f t="shared" si="72"/>
        <v>0</v>
      </c>
      <c r="AI1049" s="17">
        <f t="shared" si="73"/>
        <v>5</v>
      </c>
      <c r="AJ1049" s="17"/>
      <c r="AK1049" s="17" t="s">
        <v>58</v>
      </c>
      <c r="AL1049" s="16" t="s">
        <v>1871</v>
      </c>
      <c r="AM1049" s="17">
        <v>2018</v>
      </c>
      <c r="AN1049" s="15" t="s">
        <v>183</v>
      </c>
      <c r="AO1049" s="15" t="s">
        <v>56</v>
      </c>
      <c r="AP1049" s="15"/>
      <c r="AQ1049" s="15" t="s">
        <v>56</v>
      </c>
      <c r="AR1049" s="15" t="s">
        <v>58</v>
      </c>
      <c r="AS1049" s="15" t="s">
        <v>62</v>
      </c>
      <c r="AT1049" s="15"/>
      <c r="AU1049" s="45"/>
      <c r="AV1049" s="15"/>
      <c r="AW1049" s="12" t="str">
        <f>B1049&amp;C1049&amp;L1049&amp;M1049&amp;O1049&amp;U1049&amp;AL1049&amp;AM1049</f>
        <v>SwedenKattegat MPAAmphiura chiajeidensity0.426341755196879Skold2018</v>
      </c>
    </row>
    <row r="1050" spans="1:49" ht="14.25" customHeight="1" x14ac:dyDescent="0.35">
      <c r="A1050" s="12">
        <v>1049</v>
      </c>
      <c r="B1050" s="15" t="s">
        <v>75</v>
      </c>
      <c r="C1050" s="59" t="s">
        <v>106</v>
      </c>
      <c r="D1050" s="50" t="s">
        <v>77</v>
      </c>
      <c r="E1050" s="15" t="s">
        <v>136</v>
      </c>
      <c r="F1050" s="16" t="s">
        <v>50</v>
      </c>
      <c r="G1050" s="16" t="s">
        <v>51</v>
      </c>
      <c r="H1050" s="16" t="s">
        <v>78</v>
      </c>
      <c r="I1050" s="16" t="s">
        <v>53</v>
      </c>
      <c r="J1050" s="17">
        <v>0.12</v>
      </c>
      <c r="K1050" s="17"/>
      <c r="L1050" s="17" t="s">
        <v>137</v>
      </c>
      <c r="M1050" s="17" t="s">
        <v>138</v>
      </c>
      <c r="N1050" s="14" t="s">
        <v>85</v>
      </c>
      <c r="O1050" s="17" t="s">
        <v>86</v>
      </c>
      <c r="P1050" s="17"/>
      <c r="Q1050" s="17"/>
      <c r="R1050" s="17"/>
      <c r="S1050" s="17">
        <v>2589.9279999999999</v>
      </c>
      <c r="T1050" s="17">
        <v>3165.4679999999998</v>
      </c>
      <c r="U1050" s="20">
        <f t="shared" si="71"/>
        <v>1.2222223938271644</v>
      </c>
      <c r="V1050" s="41">
        <f t="shared" si="74"/>
        <v>22.222239382716435</v>
      </c>
      <c r="W1050" s="17"/>
      <c r="X1050" s="17" t="s">
        <v>56</v>
      </c>
      <c r="Z1050" s="17" t="s">
        <v>56</v>
      </c>
      <c r="AA1050" s="17"/>
      <c r="AB1050" s="17" t="s">
        <v>57</v>
      </c>
      <c r="AC1050" s="17">
        <v>1982</v>
      </c>
      <c r="AD1050" s="17">
        <v>21</v>
      </c>
      <c r="AE1050" s="17"/>
      <c r="AF1050" s="17"/>
      <c r="AG1050" s="17">
        <v>1978</v>
      </c>
      <c r="AH1050" s="14">
        <f t="shared" si="72"/>
        <v>4</v>
      </c>
      <c r="AI1050" s="17">
        <f t="shared" si="73"/>
        <v>25</v>
      </c>
      <c r="AJ1050" s="17"/>
      <c r="AK1050" s="17" t="s">
        <v>58</v>
      </c>
      <c r="AL1050" s="16" t="s">
        <v>139</v>
      </c>
      <c r="AM1050" s="17">
        <v>2012</v>
      </c>
      <c r="AN1050" s="15" t="s">
        <v>140</v>
      </c>
      <c r="AO1050" s="15" t="s">
        <v>56</v>
      </c>
      <c r="AP1050" s="15"/>
      <c r="AQ1050" s="15" t="s">
        <v>56</v>
      </c>
      <c r="AR1050" s="15" t="s">
        <v>58</v>
      </c>
      <c r="AS1050" s="15" t="s">
        <v>62</v>
      </c>
      <c r="AT1050" s="15"/>
      <c r="AU1050" s="45"/>
      <c r="AV1050" s="15"/>
      <c r="AW1050" s="12" t="str">
        <f>B1050&amp;C1050&amp;L1050&amp;M1050&amp;O1050&amp;U1050&amp;AL1050&amp;AM1050</f>
        <v>United StatesAnacapa Island State Marine Reserve (old)Strongylocentrotus purpuratuspurple urchindensity1.22222239382716Shears2012</v>
      </c>
    </row>
    <row r="1051" spans="1:49" ht="14.25" customHeight="1" x14ac:dyDescent="0.35">
      <c r="A1051" s="12">
        <v>1050</v>
      </c>
      <c r="B1051" s="15" t="s">
        <v>75</v>
      </c>
      <c r="C1051" s="59" t="s">
        <v>106</v>
      </c>
      <c r="D1051" s="50" t="s">
        <v>77</v>
      </c>
      <c r="E1051" s="15" t="s">
        <v>136</v>
      </c>
      <c r="F1051" s="16" t="s">
        <v>50</v>
      </c>
      <c r="G1051" s="16" t="s">
        <v>51</v>
      </c>
      <c r="H1051" s="16" t="s">
        <v>78</v>
      </c>
      <c r="I1051" s="16" t="s">
        <v>53</v>
      </c>
      <c r="J1051" s="17">
        <v>0.12</v>
      </c>
      <c r="K1051" s="17"/>
      <c r="L1051" s="17" t="s">
        <v>141</v>
      </c>
      <c r="M1051" s="17" t="s">
        <v>142</v>
      </c>
      <c r="N1051" s="14" t="s">
        <v>85</v>
      </c>
      <c r="O1051" s="17" t="s">
        <v>86</v>
      </c>
      <c r="P1051" s="17"/>
      <c r="Q1051" s="17"/>
      <c r="R1051" s="17"/>
      <c r="S1051" s="17">
        <v>6622.951</v>
      </c>
      <c r="T1051" s="17">
        <v>4032.7869999999998</v>
      </c>
      <c r="U1051" s="20">
        <f t="shared" si="71"/>
        <v>0.60891089183658464</v>
      </c>
      <c r="V1051" s="41">
        <f t="shared" si="74"/>
        <v>-39.108910816341535</v>
      </c>
      <c r="W1051" s="17"/>
      <c r="X1051" s="17" t="s">
        <v>56</v>
      </c>
      <c r="Z1051" s="17" t="s">
        <v>56</v>
      </c>
      <c r="AA1051" s="17"/>
      <c r="AB1051" s="17" t="s">
        <v>57</v>
      </c>
      <c r="AC1051" s="17">
        <v>1982</v>
      </c>
      <c r="AD1051" s="17">
        <v>21</v>
      </c>
      <c r="AE1051" s="17"/>
      <c r="AF1051" s="17"/>
      <c r="AG1051" s="17">
        <v>1978</v>
      </c>
      <c r="AH1051" s="14">
        <f t="shared" si="72"/>
        <v>4</v>
      </c>
      <c r="AI1051" s="17">
        <f t="shared" si="73"/>
        <v>25</v>
      </c>
      <c r="AJ1051" s="17"/>
      <c r="AK1051" s="17" t="s">
        <v>58</v>
      </c>
      <c r="AL1051" s="16" t="s">
        <v>139</v>
      </c>
      <c r="AM1051" s="17">
        <v>2012</v>
      </c>
      <c r="AN1051" s="15" t="s">
        <v>140</v>
      </c>
      <c r="AO1051" s="15" t="s">
        <v>56</v>
      </c>
      <c r="AP1051" s="15"/>
      <c r="AQ1051" s="15" t="s">
        <v>56</v>
      </c>
      <c r="AR1051" s="15" t="s">
        <v>58</v>
      </c>
      <c r="AS1051" s="15" t="s">
        <v>62</v>
      </c>
      <c r="AT1051" s="15"/>
      <c r="AU1051" s="45"/>
      <c r="AV1051" s="15"/>
      <c r="AW1051" s="12" t="str">
        <f>B1051&amp;C1051&amp;L1051&amp;M1051&amp;O1051&amp;U1051&amp;AL1051&amp;AM1051</f>
        <v>United StatesAnacapa Island State Marine Reserve (old)Mesocentrotus franciscanusred urchindensity0.608910891836585Shears2012</v>
      </c>
    </row>
    <row r="1052" spans="1:49" ht="14.25" customHeight="1" x14ac:dyDescent="0.35">
      <c r="A1052" s="12">
        <v>1051</v>
      </c>
      <c r="B1052" s="15" t="s">
        <v>75</v>
      </c>
      <c r="C1052" s="59" t="s">
        <v>106</v>
      </c>
      <c r="D1052" s="50" t="s">
        <v>77</v>
      </c>
      <c r="E1052" s="15" t="s">
        <v>136</v>
      </c>
      <c r="F1052" s="13" t="s">
        <v>50</v>
      </c>
      <c r="G1052" s="13" t="s">
        <v>51</v>
      </c>
      <c r="H1052" s="16" t="s">
        <v>78</v>
      </c>
      <c r="I1052" s="16" t="s">
        <v>53</v>
      </c>
      <c r="J1052" s="17">
        <v>0.12</v>
      </c>
      <c r="K1052" s="17"/>
      <c r="L1052" s="17" t="s">
        <v>137</v>
      </c>
      <c r="M1052" s="17" t="s">
        <v>138</v>
      </c>
      <c r="N1052" s="14" t="s">
        <v>85</v>
      </c>
      <c r="O1052" s="17" t="s">
        <v>70</v>
      </c>
      <c r="P1052" s="17"/>
      <c r="Q1052" s="17"/>
      <c r="R1052" s="17"/>
      <c r="S1052" s="17">
        <v>40160.639999999999</v>
      </c>
      <c r="T1052" s="17">
        <v>208835.3</v>
      </c>
      <c r="U1052" s="20">
        <f t="shared" si="71"/>
        <v>5.1999993027999549</v>
      </c>
      <c r="V1052" s="41">
        <f t="shared" si="74"/>
        <v>419.99993027999551</v>
      </c>
      <c r="W1052" s="17"/>
      <c r="X1052" s="17" t="s">
        <v>56</v>
      </c>
      <c r="Z1052" s="17" t="s">
        <v>56</v>
      </c>
      <c r="AA1052" s="17"/>
      <c r="AB1052" s="17" t="s">
        <v>57</v>
      </c>
      <c r="AC1052" s="17">
        <v>1982</v>
      </c>
      <c r="AD1052" s="17">
        <v>21</v>
      </c>
      <c r="AE1052" s="17"/>
      <c r="AF1052" s="17"/>
      <c r="AG1052" s="17">
        <v>1978</v>
      </c>
      <c r="AH1052" s="14">
        <f t="shared" si="72"/>
        <v>4</v>
      </c>
      <c r="AI1052" s="17">
        <f t="shared" si="73"/>
        <v>25</v>
      </c>
      <c r="AJ1052" s="17"/>
      <c r="AK1052" s="17" t="s">
        <v>58</v>
      </c>
      <c r="AL1052" s="16" t="s">
        <v>139</v>
      </c>
      <c r="AM1052" s="17">
        <v>2012</v>
      </c>
      <c r="AN1052" s="15" t="s">
        <v>140</v>
      </c>
      <c r="AO1052" s="15" t="s">
        <v>56</v>
      </c>
      <c r="AP1052" s="15"/>
      <c r="AQ1052" s="15" t="s">
        <v>56</v>
      </c>
      <c r="AR1052" s="15" t="s">
        <v>58</v>
      </c>
      <c r="AS1052" s="15" t="s">
        <v>62</v>
      </c>
      <c r="AT1052" s="15"/>
      <c r="AU1052" s="45"/>
      <c r="AV1052" s="15"/>
      <c r="AW1052" s="12" t="str">
        <f>B1052&amp;C1052&amp;L1052&amp;M1052&amp;O1052&amp;U1052&amp;AL1052&amp;AM1052</f>
        <v>United StatesAnacapa Island State Marine Reserve (old)Strongylocentrotus purpuratuspurple urchinbiomassden5.19999930279995Shears2012</v>
      </c>
    </row>
    <row r="1053" spans="1:49" ht="14.25" customHeight="1" x14ac:dyDescent="0.35">
      <c r="A1053" s="12">
        <v>1052</v>
      </c>
      <c r="B1053" s="15" t="s">
        <v>75</v>
      </c>
      <c r="C1053" s="59" t="s">
        <v>106</v>
      </c>
      <c r="D1053" s="59" t="s">
        <v>77</v>
      </c>
      <c r="E1053" s="15" t="s">
        <v>136</v>
      </c>
      <c r="F1053" s="13" t="s">
        <v>50</v>
      </c>
      <c r="G1053" s="13" t="s">
        <v>51</v>
      </c>
      <c r="H1053" s="16" t="s">
        <v>78</v>
      </c>
      <c r="I1053" s="16" t="s">
        <v>53</v>
      </c>
      <c r="J1053" s="17">
        <v>0.12</v>
      </c>
      <c r="K1053" s="17"/>
      <c r="L1053" s="17" t="s">
        <v>141</v>
      </c>
      <c r="M1053" s="17" t="s">
        <v>142</v>
      </c>
      <c r="N1053" s="14" t="s">
        <v>85</v>
      </c>
      <c r="O1053" s="17" t="s">
        <v>70</v>
      </c>
      <c r="P1053" s="17"/>
      <c r="Q1053" s="17"/>
      <c r="R1053" s="17"/>
      <c r="S1053" s="17">
        <v>1041667</v>
      </c>
      <c r="T1053" s="17">
        <v>2500000</v>
      </c>
      <c r="U1053" s="20">
        <f t="shared" si="71"/>
        <v>2.3999992320002459</v>
      </c>
      <c r="V1053" s="41">
        <f t="shared" si="74"/>
        <v>139.9999232000246</v>
      </c>
      <c r="W1053" s="17"/>
      <c r="X1053" s="17" t="s">
        <v>56</v>
      </c>
      <c r="Z1053" s="17" t="s">
        <v>56</v>
      </c>
      <c r="AA1053" s="17"/>
      <c r="AB1053" s="17" t="s">
        <v>57</v>
      </c>
      <c r="AC1053" s="17">
        <v>1982</v>
      </c>
      <c r="AD1053" s="17">
        <v>21</v>
      </c>
      <c r="AE1053" s="17"/>
      <c r="AF1053" s="17"/>
      <c r="AG1053" s="17">
        <v>1978</v>
      </c>
      <c r="AH1053" s="14">
        <f t="shared" si="72"/>
        <v>4</v>
      </c>
      <c r="AI1053" s="17">
        <f t="shared" si="73"/>
        <v>25</v>
      </c>
      <c r="AJ1053" s="17"/>
      <c r="AK1053" s="17" t="s">
        <v>58</v>
      </c>
      <c r="AL1053" s="16" t="s">
        <v>139</v>
      </c>
      <c r="AM1053" s="17">
        <v>2012</v>
      </c>
      <c r="AN1053" s="15" t="s">
        <v>140</v>
      </c>
      <c r="AO1053" s="15" t="s">
        <v>56</v>
      </c>
      <c r="AP1053" s="15"/>
      <c r="AQ1053" s="15" t="s">
        <v>56</v>
      </c>
      <c r="AR1053" s="15" t="s">
        <v>58</v>
      </c>
      <c r="AS1053" s="15" t="s">
        <v>62</v>
      </c>
      <c r="AT1053" s="15"/>
      <c r="AU1053" s="45"/>
      <c r="AV1053" s="15"/>
      <c r="AW1053" s="12" t="str">
        <f>B1053&amp;C1053&amp;L1053&amp;M1053&amp;O1053&amp;U1053&amp;AL1053&amp;AM1053</f>
        <v>United StatesAnacapa Island State Marine Reserve (old)Mesocentrotus franciscanusred urchinbiomassden2.39999923200025Shears2012</v>
      </c>
    </row>
    <row r="1054" spans="1:49" ht="14.25" customHeight="1" x14ac:dyDescent="0.35">
      <c r="A1054" s="12">
        <v>1053</v>
      </c>
      <c r="B1054" s="12" t="s">
        <v>75</v>
      </c>
      <c r="C1054" s="12" t="s">
        <v>583</v>
      </c>
      <c r="D1054" s="15" t="s">
        <v>584</v>
      </c>
      <c r="E1054" s="12" t="s">
        <v>187</v>
      </c>
      <c r="F1054" s="13" t="s">
        <v>50</v>
      </c>
      <c r="G1054" s="13" t="s">
        <v>51</v>
      </c>
      <c r="H1054" s="13" t="s">
        <v>78</v>
      </c>
      <c r="I1054" s="13" t="s">
        <v>53</v>
      </c>
      <c r="J1054" s="17">
        <f>(0.13+0.18)/2</f>
        <v>0.155</v>
      </c>
      <c r="K1054" s="17"/>
      <c r="L1054" s="14" t="s">
        <v>115</v>
      </c>
      <c r="M1054" s="14" t="s">
        <v>91</v>
      </c>
      <c r="N1054" s="14" t="s">
        <v>85</v>
      </c>
      <c r="O1054" s="17" t="s">
        <v>70</v>
      </c>
      <c r="P1054" s="14"/>
      <c r="Q1054" s="14"/>
      <c r="R1054" s="14"/>
      <c r="S1054" s="14">
        <v>2136.15</v>
      </c>
      <c r="T1054" s="14">
        <v>4882.6289999999999</v>
      </c>
      <c r="U1054" s="19">
        <f t="shared" si="71"/>
        <v>2.2857144863422509</v>
      </c>
      <c r="V1054" s="41">
        <f t="shared" si="74"/>
        <v>128.57144863422511</v>
      </c>
      <c r="W1054" s="14"/>
      <c r="X1054" s="14" t="s">
        <v>56</v>
      </c>
      <c r="Z1054" s="14" t="s">
        <v>56</v>
      </c>
      <c r="AA1054" s="14"/>
      <c r="AB1054" s="14" t="s">
        <v>57</v>
      </c>
      <c r="AC1054" s="14">
        <v>2010</v>
      </c>
      <c r="AD1054" s="14">
        <v>1</v>
      </c>
      <c r="AE1054" s="14"/>
      <c r="AF1054" s="14"/>
      <c r="AG1054" s="14">
        <v>1988</v>
      </c>
      <c r="AH1054" s="14">
        <f t="shared" si="72"/>
        <v>22</v>
      </c>
      <c r="AI1054" s="17">
        <f t="shared" si="73"/>
        <v>23</v>
      </c>
      <c r="AJ1054" s="14"/>
      <c r="AK1054" s="14" t="s">
        <v>56</v>
      </c>
      <c r="AL1054" s="13" t="s">
        <v>585</v>
      </c>
      <c r="AM1054" s="14">
        <v>2017</v>
      </c>
      <c r="AN1054" s="12" t="s">
        <v>82</v>
      </c>
      <c r="AO1054" s="12" t="s">
        <v>56</v>
      </c>
      <c r="AP1054" s="12"/>
      <c r="AQ1054" s="12" t="s">
        <v>56</v>
      </c>
      <c r="AR1054" s="12" t="s">
        <v>58</v>
      </c>
      <c r="AS1054" s="12" t="s">
        <v>62</v>
      </c>
      <c r="AT1054" s="12"/>
      <c r="AU1054" s="45" t="s">
        <v>2651</v>
      </c>
      <c r="AV1054" s="15"/>
      <c r="AW1054" s="12" t="str">
        <f>B1054&amp;C1054&amp;L1054&amp;M1054&amp;O1054&amp;U1054&amp;AL1054&amp;AM1054</f>
        <v>United StatesCatalina Marine Science Center Marine Life RefugeSemicossyphus pulcherCalifornia sheepheadbiomassden2.28571448634225Selden2017</v>
      </c>
    </row>
    <row r="1055" spans="1:49" ht="14.25" customHeight="1" x14ac:dyDescent="0.35">
      <c r="A1055" s="12">
        <v>1054</v>
      </c>
      <c r="B1055" s="12" t="s">
        <v>75</v>
      </c>
      <c r="C1055" s="15" t="s">
        <v>583</v>
      </c>
      <c r="D1055" s="15" t="s">
        <v>584</v>
      </c>
      <c r="E1055" s="15" t="s">
        <v>187</v>
      </c>
      <c r="F1055" s="13" t="s">
        <v>50</v>
      </c>
      <c r="G1055" s="13" t="s">
        <v>51</v>
      </c>
      <c r="H1055" s="16" t="s">
        <v>78</v>
      </c>
      <c r="I1055" s="16" t="s">
        <v>53</v>
      </c>
      <c r="J1055" s="14">
        <f>(0.13+0.18)/2</f>
        <v>0.155</v>
      </c>
      <c r="K1055" s="17"/>
      <c r="L1055" s="17" t="s">
        <v>115</v>
      </c>
      <c r="M1055" s="17" t="s">
        <v>91</v>
      </c>
      <c r="N1055" s="17" t="s">
        <v>85</v>
      </c>
      <c r="O1055" s="17" t="s">
        <v>104</v>
      </c>
      <c r="P1055" s="17" t="s">
        <v>457</v>
      </c>
      <c r="Q1055" s="17"/>
      <c r="R1055" s="17"/>
      <c r="S1055" s="17">
        <v>22.994969999999999</v>
      </c>
      <c r="T1055" s="17">
        <v>26.861830000000001</v>
      </c>
      <c r="U1055" s="20">
        <f t="shared" si="71"/>
        <v>1.1681611239327558</v>
      </c>
      <c r="V1055" s="41">
        <f t="shared" si="74"/>
        <v>16.816112393275585</v>
      </c>
      <c r="W1055" s="17"/>
      <c r="X1055" s="17" t="s">
        <v>56</v>
      </c>
      <c r="Z1055" s="17" t="s">
        <v>56</v>
      </c>
      <c r="AA1055" s="17"/>
      <c r="AB1055" s="17" t="s">
        <v>57</v>
      </c>
      <c r="AC1055" s="17">
        <v>2010</v>
      </c>
      <c r="AD1055" s="17">
        <v>1</v>
      </c>
      <c r="AE1055" s="17"/>
      <c r="AF1055" s="17"/>
      <c r="AG1055" s="17">
        <v>1988</v>
      </c>
      <c r="AH1055" s="14">
        <f t="shared" si="72"/>
        <v>22</v>
      </c>
      <c r="AI1055" s="17">
        <f t="shared" si="73"/>
        <v>23</v>
      </c>
      <c r="AJ1055" s="17"/>
      <c r="AK1055" s="17" t="s">
        <v>56</v>
      </c>
      <c r="AL1055" s="16" t="s">
        <v>585</v>
      </c>
      <c r="AM1055" s="17">
        <v>2017</v>
      </c>
      <c r="AN1055" s="15" t="s">
        <v>82</v>
      </c>
      <c r="AO1055" s="15" t="s">
        <v>56</v>
      </c>
      <c r="AP1055" s="15"/>
      <c r="AQ1055" s="15" t="s">
        <v>56</v>
      </c>
      <c r="AR1055" s="15" t="s">
        <v>58</v>
      </c>
      <c r="AS1055" s="15" t="s">
        <v>62</v>
      </c>
      <c r="AT1055" s="15"/>
      <c r="AU1055" s="45" t="s">
        <v>2651</v>
      </c>
      <c r="AV1055" s="15"/>
      <c r="AW1055" s="12" t="str">
        <f>B1055&amp;C1055&amp;L1055&amp;M1055&amp;O1055&amp;U1055&amp;AL1055&amp;AM1055</f>
        <v>United StatesCatalina Marine Science Center Marine Life RefugeSemicossyphus pulcherCalifornia sheepheadsize1.16816112393276Selden2017</v>
      </c>
    </row>
    <row r="1056" spans="1:49" ht="14.25" customHeight="1" x14ac:dyDescent="0.35">
      <c r="A1056" s="12">
        <v>1055</v>
      </c>
      <c r="B1056" s="12" t="s">
        <v>536</v>
      </c>
      <c r="C1056" s="15" t="s">
        <v>537</v>
      </c>
      <c r="D1056" s="15" t="s">
        <v>537</v>
      </c>
      <c r="E1056" s="12" t="s">
        <v>538</v>
      </c>
      <c r="F1056" s="13" t="s">
        <v>339</v>
      </c>
      <c r="G1056" s="13" t="s">
        <v>51</v>
      </c>
      <c r="H1056" s="13" t="s">
        <v>481</v>
      </c>
      <c r="I1056" s="13" t="s">
        <v>53</v>
      </c>
      <c r="J1056" s="14">
        <v>4.5</v>
      </c>
      <c r="K1056" s="17"/>
      <c r="L1056" s="14"/>
      <c r="M1056" s="14" t="s">
        <v>69</v>
      </c>
      <c r="N1056" s="17" t="s">
        <v>1070</v>
      </c>
      <c r="O1056" s="17" t="s">
        <v>70</v>
      </c>
      <c r="P1056" s="14"/>
      <c r="Q1056" s="14"/>
      <c r="R1056" s="14"/>
      <c r="S1056" s="14">
        <v>5180</v>
      </c>
      <c r="T1056" s="14">
        <v>4123.75</v>
      </c>
      <c r="U1056" s="19">
        <f t="shared" si="71"/>
        <v>0.79609073359073357</v>
      </c>
      <c r="V1056" s="41">
        <f t="shared" si="74"/>
        <v>-20.390926640926644</v>
      </c>
      <c r="W1056" s="14"/>
      <c r="X1056" s="17" t="s">
        <v>56</v>
      </c>
      <c r="Z1056" s="14" t="s">
        <v>58</v>
      </c>
      <c r="AA1056" s="14"/>
      <c r="AB1056" s="14" t="s">
        <v>57</v>
      </c>
      <c r="AC1056" s="14">
        <v>2007</v>
      </c>
      <c r="AD1056" s="14">
        <v>0</v>
      </c>
      <c r="AE1056" s="14"/>
      <c r="AF1056" s="14"/>
      <c r="AG1056" s="17">
        <v>2003</v>
      </c>
      <c r="AH1056" s="14">
        <f t="shared" si="72"/>
        <v>4</v>
      </c>
      <c r="AI1056" s="17">
        <f t="shared" si="73"/>
        <v>4</v>
      </c>
      <c r="AJ1056" s="14"/>
      <c r="AK1056" s="14" t="s">
        <v>58</v>
      </c>
      <c r="AL1056" s="13" t="s">
        <v>539</v>
      </c>
      <c r="AM1056" s="14">
        <v>2009</v>
      </c>
      <c r="AN1056" s="12" t="s">
        <v>60</v>
      </c>
      <c r="AO1056" s="12" t="s">
        <v>56</v>
      </c>
      <c r="AP1056" s="12"/>
      <c r="AQ1056" s="12" t="s">
        <v>56</v>
      </c>
      <c r="AR1056" s="12" t="s">
        <v>58</v>
      </c>
      <c r="AS1056" s="12" t="s">
        <v>62</v>
      </c>
      <c r="AT1056" s="12"/>
      <c r="AU1056" s="45" t="s">
        <v>540</v>
      </c>
      <c r="AV1056" s="15"/>
      <c r="AW1056" s="12" t="str">
        <f>B1056&amp;C1056&amp;L1056&amp;M1056&amp;O1056&amp;U1056&amp;AL1056&amp;AM1056</f>
        <v>FranceCap Roux Marine Protected Areafishbiomassden0.796090733590734Seytre2009</v>
      </c>
    </row>
    <row r="1057" spans="1:49" ht="14.25" customHeight="1" x14ac:dyDescent="0.35">
      <c r="A1057" s="12">
        <v>1056</v>
      </c>
      <c r="B1057" s="15" t="s">
        <v>536</v>
      </c>
      <c r="C1057" s="15" t="s">
        <v>537</v>
      </c>
      <c r="D1057" s="15" t="s">
        <v>537</v>
      </c>
      <c r="E1057" s="15" t="s">
        <v>538</v>
      </c>
      <c r="F1057" s="16" t="s">
        <v>339</v>
      </c>
      <c r="G1057" s="16" t="s">
        <v>51</v>
      </c>
      <c r="H1057" s="16" t="s">
        <v>481</v>
      </c>
      <c r="I1057" s="16" t="s">
        <v>53</v>
      </c>
      <c r="J1057" s="14">
        <v>4.5</v>
      </c>
      <c r="K1057" s="17"/>
      <c r="L1057" s="17"/>
      <c r="M1057" s="17" t="s">
        <v>69</v>
      </c>
      <c r="N1057" s="17" t="s">
        <v>1070</v>
      </c>
      <c r="O1057" s="17" t="s">
        <v>55</v>
      </c>
      <c r="P1057" s="17"/>
      <c r="Q1057" s="17"/>
      <c r="R1057" s="17"/>
      <c r="S1057" s="17">
        <v>5.0250000000000004</v>
      </c>
      <c r="T1057" s="17">
        <v>54.35</v>
      </c>
      <c r="U1057" s="20">
        <f t="shared" si="71"/>
        <v>10.815920398009951</v>
      </c>
      <c r="V1057" s="41">
        <f t="shared" si="74"/>
        <v>981.59203980099505</v>
      </c>
      <c r="W1057" s="17"/>
      <c r="X1057" s="17" t="s">
        <v>56</v>
      </c>
      <c r="Z1057" s="17" t="s">
        <v>58</v>
      </c>
      <c r="AA1057" s="17"/>
      <c r="AB1057" s="17" t="s">
        <v>57</v>
      </c>
      <c r="AC1057" s="17">
        <v>2007</v>
      </c>
      <c r="AD1057" s="17">
        <v>0</v>
      </c>
      <c r="AE1057" s="17"/>
      <c r="AF1057" s="17"/>
      <c r="AG1057" s="17">
        <v>2003</v>
      </c>
      <c r="AH1057" s="14">
        <f t="shared" si="72"/>
        <v>4</v>
      </c>
      <c r="AI1057" s="17">
        <f t="shared" si="73"/>
        <v>4</v>
      </c>
      <c r="AJ1057" s="17"/>
      <c r="AK1057" s="17" t="s">
        <v>58</v>
      </c>
      <c r="AL1057" s="16" t="s">
        <v>539</v>
      </c>
      <c r="AM1057" s="17">
        <v>2009</v>
      </c>
      <c r="AN1057" s="15" t="s">
        <v>60</v>
      </c>
      <c r="AO1057" s="15" t="s">
        <v>56</v>
      </c>
      <c r="AP1057" s="15"/>
      <c r="AQ1057" s="15" t="s">
        <v>56</v>
      </c>
      <c r="AR1057" s="15" t="s">
        <v>58</v>
      </c>
      <c r="AS1057" s="15" t="s">
        <v>62</v>
      </c>
      <c r="AT1057" s="15"/>
      <c r="AU1057" s="45" t="s">
        <v>540</v>
      </c>
      <c r="AV1057" s="15"/>
      <c r="AW1057" s="12" t="str">
        <f>B1057&amp;C1057&amp;L1057&amp;M1057&amp;O1057&amp;U1057&amp;AL1057&amp;AM1057</f>
        <v>FranceCap Roux Marine Protected Areafishrichness10.81592039801Seytre2009</v>
      </c>
    </row>
    <row r="1058" spans="1:49" ht="14.25" customHeight="1" x14ac:dyDescent="0.35">
      <c r="A1058" s="12">
        <v>1057</v>
      </c>
      <c r="B1058" s="12" t="s">
        <v>536</v>
      </c>
      <c r="C1058" s="15" t="s">
        <v>537</v>
      </c>
      <c r="D1058" s="15" t="s">
        <v>537</v>
      </c>
      <c r="E1058" s="12" t="s">
        <v>538</v>
      </c>
      <c r="F1058" s="13" t="s">
        <v>339</v>
      </c>
      <c r="G1058" s="13" t="s">
        <v>51</v>
      </c>
      <c r="H1058" s="13" t="s">
        <v>481</v>
      </c>
      <c r="I1058" s="13" t="s">
        <v>53</v>
      </c>
      <c r="J1058" s="14">
        <v>4.5</v>
      </c>
      <c r="K1058" s="17"/>
      <c r="L1058" s="14"/>
      <c r="M1058" s="14" t="s">
        <v>69</v>
      </c>
      <c r="N1058" s="14" t="s">
        <v>1070</v>
      </c>
      <c r="O1058" s="17" t="s">
        <v>86</v>
      </c>
      <c r="P1058" s="14"/>
      <c r="Q1058" s="14"/>
      <c r="R1058" s="14"/>
      <c r="S1058" s="14">
        <v>636.875</v>
      </c>
      <c r="T1058" s="14">
        <v>595</v>
      </c>
      <c r="U1058" s="19">
        <f t="shared" si="71"/>
        <v>0.93424926398429831</v>
      </c>
      <c r="V1058" s="41">
        <f t="shared" si="74"/>
        <v>-6.5750736015701694</v>
      </c>
      <c r="W1058" s="14"/>
      <c r="X1058" s="17" t="s">
        <v>56</v>
      </c>
      <c r="Z1058" s="14" t="s">
        <v>58</v>
      </c>
      <c r="AA1058" s="14"/>
      <c r="AB1058" s="14" t="s">
        <v>57</v>
      </c>
      <c r="AC1058" s="14">
        <v>2007</v>
      </c>
      <c r="AD1058" s="14">
        <v>0</v>
      </c>
      <c r="AE1058" s="14"/>
      <c r="AF1058" s="14"/>
      <c r="AG1058" s="17">
        <v>2003</v>
      </c>
      <c r="AH1058" s="14">
        <f t="shared" si="72"/>
        <v>4</v>
      </c>
      <c r="AI1058" s="17">
        <f t="shared" si="73"/>
        <v>4</v>
      </c>
      <c r="AJ1058" s="14"/>
      <c r="AK1058" s="14" t="s">
        <v>58</v>
      </c>
      <c r="AL1058" s="13" t="s">
        <v>539</v>
      </c>
      <c r="AM1058" s="14">
        <v>2009</v>
      </c>
      <c r="AN1058" s="12" t="s">
        <v>60</v>
      </c>
      <c r="AO1058" s="12" t="s">
        <v>56</v>
      </c>
      <c r="AP1058" s="12"/>
      <c r="AQ1058" s="12" t="s">
        <v>56</v>
      </c>
      <c r="AR1058" s="12" t="s">
        <v>58</v>
      </c>
      <c r="AS1058" s="12" t="s">
        <v>62</v>
      </c>
      <c r="AT1058" s="12"/>
      <c r="AU1058" s="45" t="s">
        <v>540</v>
      </c>
      <c r="AV1058" s="15"/>
      <c r="AW1058" s="12" t="str">
        <f>B1058&amp;C1058&amp;L1058&amp;M1058&amp;O1058&amp;U1058&amp;AL1058&amp;AM1058</f>
        <v>FranceCap Roux Marine Protected Areafishdensity0.934249263984298Seytre2009</v>
      </c>
    </row>
    <row r="1059" spans="1:49" ht="14.25" customHeight="1" x14ac:dyDescent="0.35">
      <c r="A1059" s="12">
        <v>1058</v>
      </c>
      <c r="B1059" s="12" t="s">
        <v>536</v>
      </c>
      <c r="C1059" s="15" t="s">
        <v>537</v>
      </c>
      <c r="D1059" s="15" t="s">
        <v>537</v>
      </c>
      <c r="E1059" s="12" t="s">
        <v>538</v>
      </c>
      <c r="F1059" s="13" t="s">
        <v>339</v>
      </c>
      <c r="G1059" s="13" t="s">
        <v>51</v>
      </c>
      <c r="H1059" s="13" t="s">
        <v>481</v>
      </c>
      <c r="I1059" s="13" t="s">
        <v>53</v>
      </c>
      <c r="J1059" s="14">
        <v>4.5</v>
      </c>
      <c r="K1059" s="17"/>
      <c r="L1059" s="14" t="s">
        <v>265</v>
      </c>
      <c r="M1059" s="14" t="s">
        <v>266</v>
      </c>
      <c r="N1059" s="14" t="s">
        <v>170</v>
      </c>
      <c r="O1059" s="17" t="s">
        <v>86</v>
      </c>
      <c r="P1059" s="14"/>
      <c r="Q1059" s="14"/>
      <c r="R1059" s="14"/>
      <c r="S1059" s="14">
        <v>235</v>
      </c>
      <c r="T1059" s="14">
        <v>187.5</v>
      </c>
      <c r="U1059" s="19">
        <f t="shared" si="71"/>
        <v>0.7978723404255319</v>
      </c>
      <c r="V1059" s="41">
        <f t="shared" si="74"/>
        <v>-20.212765957446809</v>
      </c>
      <c r="W1059" s="14"/>
      <c r="X1059" s="17" t="s">
        <v>56</v>
      </c>
      <c r="Z1059" s="14" t="s">
        <v>58</v>
      </c>
      <c r="AA1059" s="14"/>
      <c r="AB1059" s="14" t="s">
        <v>57</v>
      </c>
      <c r="AC1059" s="14">
        <v>2007</v>
      </c>
      <c r="AD1059" s="14">
        <v>0</v>
      </c>
      <c r="AE1059" s="14"/>
      <c r="AF1059" s="14"/>
      <c r="AG1059" s="17">
        <v>2003</v>
      </c>
      <c r="AH1059" s="14">
        <f t="shared" si="72"/>
        <v>4</v>
      </c>
      <c r="AI1059" s="17">
        <f t="shared" si="73"/>
        <v>4</v>
      </c>
      <c r="AJ1059" s="14"/>
      <c r="AK1059" s="14" t="s">
        <v>58</v>
      </c>
      <c r="AL1059" s="13" t="s">
        <v>539</v>
      </c>
      <c r="AM1059" s="14">
        <v>2009</v>
      </c>
      <c r="AN1059" s="12" t="s">
        <v>60</v>
      </c>
      <c r="AO1059" s="12" t="s">
        <v>56</v>
      </c>
      <c r="AP1059" s="12"/>
      <c r="AQ1059" s="12" t="s">
        <v>56</v>
      </c>
      <c r="AR1059" s="12" t="s">
        <v>58</v>
      </c>
      <c r="AS1059" s="12" t="s">
        <v>62</v>
      </c>
      <c r="AT1059" s="12"/>
      <c r="AU1059" s="45" t="s">
        <v>540</v>
      </c>
      <c r="AV1059" s="15"/>
      <c r="AW1059" s="12" t="str">
        <f>B1059&amp;C1059&amp;L1059&amp;M1059&amp;O1059&amp;U1059&amp;AL1059&amp;AM1059</f>
        <v>FranceCap Roux Marine Protected AreaLabridaewrassesdensity0.797872340425532Seytre2009</v>
      </c>
    </row>
    <row r="1060" spans="1:49" ht="14.25" customHeight="1" x14ac:dyDescent="0.35">
      <c r="A1060" s="12">
        <v>1059</v>
      </c>
      <c r="B1060" s="15" t="s">
        <v>536</v>
      </c>
      <c r="C1060" s="15" t="s">
        <v>537</v>
      </c>
      <c r="D1060" s="15" t="s">
        <v>537</v>
      </c>
      <c r="E1060" s="15" t="s">
        <v>538</v>
      </c>
      <c r="F1060" s="16" t="s">
        <v>339</v>
      </c>
      <c r="G1060" s="16" t="s">
        <v>51</v>
      </c>
      <c r="H1060" s="16" t="s">
        <v>481</v>
      </c>
      <c r="I1060" s="16" t="s">
        <v>53</v>
      </c>
      <c r="J1060" s="14">
        <v>4.5</v>
      </c>
      <c r="K1060" s="17"/>
      <c r="L1060" s="17" t="s">
        <v>541</v>
      </c>
      <c r="M1060" s="17" t="s">
        <v>542</v>
      </c>
      <c r="N1060" s="17" t="s">
        <v>170</v>
      </c>
      <c r="O1060" s="17" t="s">
        <v>86</v>
      </c>
      <c r="P1060" s="17"/>
      <c r="Q1060" s="17"/>
      <c r="R1060" s="17"/>
      <c r="S1060" s="17">
        <v>116.875</v>
      </c>
      <c r="T1060" s="17">
        <v>120</v>
      </c>
      <c r="U1060" s="20">
        <f t="shared" si="71"/>
        <v>1.0267379679144386</v>
      </c>
      <c r="V1060" s="41">
        <f t="shared" si="74"/>
        <v>2.673796791443861</v>
      </c>
      <c r="W1060" s="17"/>
      <c r="X1060" s="17" t="s">
        <v>56</v>
      </c>
      <c r="Z1060" s="17" t="s">
        <v>58</v>
      </c>
      <c r="AA1060" s="17"/>
      <c r="AB1060" s="17" t="s">
        <v>57</v>
      </c>
      <c r="AC1060" s="17">
        <v>2007</v>
      </c>
      <c r="AD1060" s="17">
        <v>0</v>
      </c>
      <c r="AE1060" s="17"/>
      <c r="AF1060" s="17"/>
      <c r="AG1060" s="17">
        <v>2003</v>
      </c>
      <c r="AH1060" s="14">
        <f t="shared" si="72"/>
        <v>4</v>
      </c>
      <c r="AI1060" s="17">
        <f t="shared" si="73"/>
        <v>4</v>
      </c>
      <c r="AJ1060" s="17"/>
      <c r="AK1060" s="17" t="s">
        <v>58</v>
      </c>
      <c r="AL1060" s="16" t="s">
        <v>539</v>
      </c>
      <c r="AM1060" s="17">
        <v>2009</v>
      </c>
      <c r="AN1060" s="15" t="s">
        <v>60</v>
      </c>
      <c r="AO1060" s="15" t="s">
        <v>56</v>
      </c>
      <c r="AP1060" s="15"/>
      <c r="AQ1060" s="15" t="s">
        <v>56</v>
      </c>
      <c r="AR1060" s="15" t="s">
        <v>58</v>
      </c>
      <c r="AS1060" s="15" t="s">
        <v>62</v>
      </c>
      <c r="AT1060" s="15"/>
      <c r="AU1060" s="45" t="s">
        <v>540</v>
      </c>
      <c r="AV1060" s="15"/>
      <c r="AW1060" s="12" t="str">
        <f>B1060&amp;C1060&amp;L1060&amp;M1060&amp;O1060&amp;U1060&amp;AL1060&amp;AM1060</f>
        <v>FranceCap Roux Marine Protected AreaSparidaesea breams and porgiesdensity1.02673796791444Seytre2009</v>
      </c>
    </row>
    <row r="1061" spans="1:49" ht="14.25" customHeight="1" x14ac:dyDescent="0.35">
      <c r="A1061" s="12">
        <v>1060</v>
      </c>
      <c r="B1061" s="15" t="s">
        <v>536</v>
      </c>
      <c r="C1061" s="15" t="s">
        <v>537</v>
      </c>
      <c r="D1061" s="15" t="s">
        <v>537</v>
      </c>
      <c r="E1061" s="15" t="s">
        <v>538</v>
      </c>
      <c r="F1061" s="13" t="s">
        <v>339</v>
      </c>
      <c r="G1061" s="13" t="s">
        <v>51</v>
      </c>
      <c r="H1061" s="16" t="s">
        <v>481</v>
      </c>
      <c r="I1061" s="16" t="s">
        <v>53</v>
      </c>
      <c r="J1061" s="14">
        <v>4.5</v>
      </c>
      <c r="K1061" s="17"/>
      <c r="L1061" s="17" t="s">
        <v>543</v>
      </c>
      <c r="M1061" s="17" t="s">
        <v>544</v>
      </c>
      <c r="N1061" s="17" t="s">
        <v>170</v>
      </c>
      <c r="O1061" s="17" t="s">
        <v>86</v>
      </c>
      <c r="P1061" s="17"/>
      <c r="Q1061" s="17"/>
      <c r="R1061" s="17"/>
      <c r="S1061" s="17">
        <v>11.25</v>
      </c>
      <c r="T1061" s="17">
        <v>18.75</v>
      </c>
      <c r="U1061" s="20">
        <f t="shared" si="71"/>
        <v>1.6666666666666667</v>
      </c>
      <c r="V1061" s="41">
        <f t="shared" si="74"/>
        <v>66.666666666666671</v>
      </c>
      <c r="W1061" s="17"/>
      <c r="X1061" s="17" t="s">
        <v>56</v>
      </c>
      <c r="Z1061" s="17" t="s">
        <v>58</v>
      </c>
      <c r="AA1061" s="17"/>
      <c r="AB1061" s="17" t="s">
        <v>57</v>
      </c>
      <c r="AC1061" s="17">
        <v>2007</v>
      </c>
      <c r="AD1061" s="17">
        <v>0</v>
      </c>
      <c r="AE1061" s="17"/>
      <c r="AF1061" s="17"/>
      <c r="AG1061" s="17">
        <v>2003</v>
      </c>
      <c r="AH1061" s="14">
        <f t="shared" si="72"/>
        <v>4</v>
      </c>
      <c r="AI1061" s="17">
        <f t="shared" si="73"/>
        <v>4</v>
      </c>
      <c r="AJ1061" s="17"/>
      <c r="AK1061" s="17" t="s">
        <v>58</v>
      </c>
      <c r="AL1061" s="16" t="s">
        <v>539</v>
      </c>
      <c r="AM1061" s="17">
        <v>2009</v>
      </c>
      <c r="AN1061" s="15" t="s">
        <v>60</v>
      </c>
      <c r="AO1061" s="15" t="s">
        <v>56</v>
      </c>
      <c r="AP1061" s="15"/>
      <c r="AQ1061" s="15" t="s">
        <v>56</v>
      </c>
      <c r="AR1061" s="15" t="s">
        <v>58</v>
      </c>
      <c r="AS1061" s="15" t="s">
        <v>62</v>
      </c>
      <c r="AT1061" s="15"/>
      <c r="AU1061" s="45" t="s">
        <v>540</v>
      </c>
      <c r="AV1061" s="15"/>
      <c r="AW1061" s="12" t="str">
        <f>B1061&amp;C1061&amp;L1061&amp;M1061&amp;O1061&amp;U1061&amp;AL1061&amp;AM1061</f>
        <v>FranceCap Roux Marine Protected AreaSerranidaebass and groupersdensity1.66666666666667Seytre2009</v>
      </c>
    </row>
    <row r="1062" spans="1:49" ht="14.25" customHeight="1" x14ac:dyDescent="0.35">
      <c r="A1062" s="12">
        <v>1061</v>
      </c>
      <c r="B1062" s="15" t="s">
        <v>536</v>
      </c>
      <c r="C1062" s="15" t="s">
        <v>537</v>
      </c>
      <c r="D1062" s="15" t="s">
        <v>537</v>
      </c>
      <c r="E1062" s="15" t="s">
        <v>538</v>
      </c>
      <c r="F1062" s="13" t="s">
        <v>339</v>
      </c>
      <c r="G1062" s="13" t="s">
        <v>51</v>
      </c>
      <c r="H1062" s="16" t="s">
        <v>481</v>
      </c>
      <c r="I1062" s="16" t="s">
        <v>53</v>
      </c>
      <c r="J1062" s="14">
        <v>4.5</v>
      </c>
      <c r="K1062" s="17"/>
      <c r="L1062" s="17" t="s">
        <v>168</v>
      </c>
      <c r="M1062" s="17" t="s">
        <v>545</v>
      </c>
      <c r="N1062" s="17" t="s">
        <v>170</v>
      </c>
      <c r="O1062" s="17" t="s">
        <v>86</v>
      </c>
      <c r="P1062" s="17"/>
      <c r="Q1062" s="17"/>
      <c r="R1062" s="17"/>
      <c r="S1062" s="17">
        <v>0.9375</v>
      </c>
      <c r="T1062" s="17">
        <v>2.5</v>
      </c>
      <c r="U1062" s="20">
        <f t="shared" si="71"/>
        <v>2.6666666666666665</v>
      </c>
      <c r="V1062" s="41">
        <f t="shared" si="74"/>
        <v>166.66666666666666</v>
      </c>
      <c r="W1062" s="17"/>
      <c r="X1062" s="17" t="s">
        <v>56</v>
      </c>
      <c r="Z1062" s="17" t="s">
        <v>58</v>
      </c>
      <c r="AA1062" s="17"/>
      <c r="AB1062" s="17" t="s">
        <v>57</v>
      </c>
      <c r="AC1062" s="17">
        <v>2007</v>
      </c>
      <c r="AD1062" s="17">
        <v>0</v>
      </c>
      <c r="AE1062" s="17"/>
      <c r="AF1062" s="17"/>
      <c r="AG1062" s="17">
        <v>2003</v>
      </c>
      <c r="AH1062" s="14">
        <f t="shared" si="72"/>
        <v>4</v>
      </c>
      <c r="AI1062" s="17">
        <f t="shared" si="73"/>
        <v>4</v>
      </c>
      <c r="AJ1062" s="17"/>
      <c r="AK1062" s="17" t="s">
        <v>58</v>
      </c>
      <c r="AL1062" s="16" t="s">
        <v>539</v>
      </c>
      <c r="AM1062" s="17">
        <v>2009</v>
      </c>
      <c r="AN1062" s="15" t="s">
        <v>60</v>
      </c>
      <c r="AO1062" s="15" t="s">
        <v>56</v>
      </c>
      <c r="AP1062" s="15"/>
      <c r="AQ1062" s="15" t="s">
        <v>56</v>
      </c>
      <c r="AR1062" s="15" t="s">
        <v>58</v>
      </c>
      <c r="AS1062" s="15" t="s">
        <v>62</v>
      </c>
      <c r="AT1062" s="15"/>
      <c r="AU1062" s="45" t="s">
        <v>540</v>
      </c>
      <c r="AV1062" s="15"/>
      <c r="AW1062" s="12" t="str">
        <f>B1062&amp;C1062&amp;L1062&amp;M1062&amp;O1062&amp;U1062&amp;AL1062&amp;AM1062</f>
        <v>FranceCap Roux Marine Protected AreaMullidaegoatfishesdensity2.66666666666667Seytre2009</v>
      </c>
    </row>
    <row r="1063" spans="1:49" ht="14.25" customHeight="1" x14ac:dyDescent="0.35">
      <c r="A1063" s="12">
        <v>1062</v>
      </c>
      <c r="B1063" s="15" t="s">
        <v>536</v>
      </c>
      <c r="C1063" s="15" t="s">
        <v>537</v>
      </c>
      <c r="D1063" s="15" t="s">
        <v>537</v>
      </c>
      <c r="E1063" s="15" t="s">
        <v>49</v>
      </c>
      <c r="F1063" s="13" t="s">
        <v>339</v>
      </c>
      <c r="G1063" s="13" t="s">
        <v>51</v>
      </c>
      <c r="H1063" s="16" t="s">
        <v>481</v>
      </c>
      <c r="I1063" s="16" t="s">
        <v>53</v>
      </c>
      <c r="J1063" s="14">
        <v>4.5</v>
      </c>
      <c r="K1063" s="17"/>
      <c r="L1063" s="17"/>
      <c r="M1063" s="17" t="s">
        <v>69</v>
      </c>
      <c r="N1063" s="17" t="s">
        <v>1070</v>
      </c>
      <c r="O1063" s="17" t="s">
        <v>86</v>
      </c>
      <c r="P1063" s="17"/>
      <c r="Q1063" s="17"/>
      <c r="R1063" s="17"/>
      <c r="S1063" s="17">
        <v>2.17</v>
      </c>
      <c r="T1063" s="17">
        <v>9.33</v>
      </c>
      <c r="U1063" s="20">
        <f t="shared" si="71"/>
        <v>4.2995391705069128</v>
      </c>
      <c r="V1063" s="41">
        <f t="shared" si="74"/>
        <v>329.9539170506913</v>
      </c>
      <c r="W1063" s="17"/>
      <c r="X1063" s="17" t="s">
        <v>56</v>
      </c>
      <c r="Z1063" s="17" t="s">
        <v>56</v>
      </c>
      <c r="AA1063" s="17"/>
      <c r="AB1063" s="17" t="s">
        <v>57</v>
      </c>
      <c r="AC1063" s="17">
        <v>2006</v>
      </c>
      <c r="AD1063" s="17">
        <v>1</v>
      </c>
      <c r="AE1063" s="17"/>
      <c r="AF1063" s="17"/>
      <c r="AG1063" s="17">
        <v>2003</v>
      </c>
      <c r="AH1063" s="14">
        <f t="shared" si="72"/>
        <v>3</v>
      </c>
      <c r="AI1063" s="17">
        <f t="shared" si="73"/>
        <v>4</v>
      </c>
      <c r="AJ1063" s="17"/>
      <c r="AK1063" s="17" t="s">
        <v>58</v>
      </c>
      <c r="AL1063" s="16" t="s">
        <v>539</v>
      </c>
      <c r="AM1063" s="17">
        <v>2009</v>
      </c>
      <c r="AN1063" s="15" t="s">
        <v>60</v>
      </c>
      <c r="AO1063" s="15" t="s">
        <v>56</v>
      </c>
      <c r="AP1063" s="15"/>
      <c r="AQ1063" s="15" t="s">
        <v>56</v>
      </c>
      <c r="AR1063" s="15" t="s">
        <v>58</v>
      </c>
      <c r="AS1063" s="15" t="s">
        <v>62</v>
      </c>
      <c r="AT1063" s="15"/>
      <c r="AU1063" s="45" t="s">
        <v>546</v>
      </c>
      <c r="AV1063" s="15"/>
      <c r="AW1063" s="12" t="str">
        <f>B1063&amp;C1063&amp;L1063&amp;M1063&amp;O1063&amp;U1063&amp;AL1063&amp;AM1063</f>
        <v>FranceCap Roux Marine Protected Areafishdensity4.29953917050691Seytre2009</v>
      </c>
    </row>
    <row r="1064" spans="1:49" ht="14.25" customHeight="1" x14ac:dyDescent="0.35">
      <c r="A1064" s="12">
        <v>1063</v>
      </c>
      <c r="B1064" s="15" t="s">
        <v>536</v>
      </c>
      <c r="C1064" s="15" t="s">
        <v>537</v>
      </c>
      <c r="D1064" s="15" t="s">
        <v>537</v>
      </c>
      <c r="E1064" s="15" t="s">
        <v>49</v>
      </c>
      <c r="F1064" s="16" t="s">
        <v>339</v>
      </c>
      <c r="G1064" s="16" t="s">
        <v>51</v>
      </c>
      <c r="H1064" s="16" t="s">
        <v>481</v>
      </c>
      <c r="I1064" s="16" t="s">
        <v>53</v>
      </c>
      <c r="J1064" s="17">
        <v>4.5</v>
      </c>
      <c r="K1064" s="17"/>
      <c r="L1064" s="17" t="s">
        <v>547</v>
      </c>
      <c r="M1064" s="17" t="s">
        <v>548</v>
      </c>
      <c r="N1064" s="17" t="s">
        <v>170</v>
      </c>
      <c r="O1064" s="17" t="s">
        <v>86</v>
      </c>
      <c r="P1064" s="17"/>
      <c r="Q1064" s="17"/>
      <c r="R1064" s="17"/>
      <c r="S1064" s="17">
        <v>0.75</v>
      </c>
      <c r="T1064" s="17">
        <v>3.08</v>
      </c>
      <c r="U1064" s="20">
        <f t="shared" si="71"/>
        <v>4.1066666666666665</v>
      </c>
      <c r="V1064" s="41">
        <f t="shared" si="74"/>
        <v>310.66666666666663</v>
      </c>
      <c r="W1064" s="17"/>
      <c r="X1064" s="17" t="s">
        <v>56</v>
      </c>
      <c r="Y1064" s="17"/>
      <c r="Z1064" s="17" t="s">
        <v>56</v>
      </c>
      <c r="AA1064" s="17"/>
      <c r="AB1064" s="17" t="s">
        <v>57</v>
      </c>
      <c r="AC1064" s="17">
        <v>2006</v>
      </c>
      <c r="AD1064" s="17">
        <v>1</v>
      </c>
      <c r="AE1064" s="17"/>
      <c r="AF1064" s="17"/>
      <c r="AG1064" s="17">
        <v>2003</v>
      </c>
      <c r="AH1064" s="14">
        <f t="shared" si="72"/>
        <v>3</v>
      </c>
      <c r="AI1064" s="17">
        <f t="shared" si="73"/>
        <v>4</v>
      </c>
      <c r="AJ1064" s="17"/>
      <c r="AK1064" s="17" t="s">
        <v>58</v>
      </c>
      <c r="AL1064" s="16" t="s">
        <v>539</v>
      </c>
      <c r="AM1064" s="17">
        <v>2009</v>
      </c>
      <c r="AN1064" s="15" t="s">
        <v>60</v>
      </c>
      <c r="AO1064" s="15" t="s">
        <v>56</v>
      </c>
      <c r="AP1064" s="15"/>
      <c r="AQ1064" s="15" t="s">
        <v>56</v>
      </c>
      <c r="AR1064" s="15" t="s">
        <v>58</v>
      </c>
      <c r="AS1064" s="15" t="s">
        <v>62</v>
      </c>
      <c r="AT1064" s="15"/>
      <c r="AU1064" s="45" t="s">
        <v>546</v>
      </c>
      <c r="AV1064" s="15"/>
      <c r="AW1064" s="12" t="str">
        <f>B1064&amp;C1064&amp;L1064&amp;M1064&amp;O1064&amp;U1064&amp;AL1064&amp;AM1064</f>
        <v>FranceCap Roux Marine Protected AreaScorpaenidaescorpionfishdensity4.10666666666667Seytre2009</v>
      </c>
    </row>
    <row r="1065" spans="1:49" ht="14.25" customHeight="1" x14ac:dyDescent="0.35">
      <c r="A1065" s="12">
        <v>1064</v>
      </c>
      <c r="B1065" s="15" t="s">
        <v>536</v>
      </c>
      <c r="C1065" s="15" t="s">
        <v>537</v>
      </c>
      <c r="D1065" s="15" t="s">
        <v>537</v>
      </c>
      <c r="E1065" s="15" t="s">
        <v>49</v>
      </c>
      <c r="F1065" s="16" t="s">
        <v>339</v>
      </c>
      <c r="G1065" s="16" t="s">
        <v>51</v>
      </c>
      <c r="H1065" s="16" t="s">
        <v>481</v>
      </c>
      <c r="I1065" s="16" t="s">
        <v>53</v>
      </c>
      <c r="J1065" s="17">
        <v>4.5</v>
      </c>
      <c r="K1065" s="17"/>
      <c r="L1065" s="17"/>
      <c r="M1065" s="17" t="s">
        <v>69</v>
      </c>
      <c r="N1065" s="14" t="s">
        <v>1070</v>
      </c>
      <c r="O1065" s="17" t="s">
        <v>55</v>
      </c>
      <c r="P1065" s="17"/>
      <c r="Q1065" s="17"/>
      <c r="R1065" s="17"/>
      <c r="S1065" s="17">
        <v>1.58</v>
      </c>
      <c r="T1065" s="17">
        <v>4.92</v>
      </c>
      <c r="U1065" s="20">
        <f t="shared" si="71"/>
        <v>3.1139240506329111</v>
      </c>
      <c r="V1065" s="41">
        <f t="shared" si="74"/>
        <v>211.39240506329111</v>
      </c>
      <c r="W1065" s="17"/>
      <c r="X1065" s="17" t="s">
        <v>56</v>
      </c>
      <c r="Y1065" s="17"/>
      <c r="Z1065" s="17" t="s">
        <v>56</v>
      </c>
      <c r="AA1065" s="17"/>
      <c r="AB1065" s="17" t="s">
        <v>57</v>
      </c>
      <c r="AC1065" s="17">
        <v>2006</v>
      </c>
      <c r="AD1065" s="17">
        <v>1</v>
      </c>
      <c r="AE1065" s="17"/>
      <c r="AF1065" s="17"/>
      <c r="AG1065" s="17">
        <v>2003</v>
      </c>
      <c r="AH1065" s="14">
        <f t="shared" si="72"/>
        <v>3</v>
      </c>
      <c r="AI1065" s="17">
        <f t="shared" si="73"/>
        <v>4</v>
      </c>
      <c r="AJ1065" s="17"/>
      <c r="AK1065" s="17" t="s">
        <v>58</v>
      </c>
      <c r="AL1065" s="16" t="s">
        <v>539</v>
      </c>
      <c r="AM1065" s="17">
        <v>2009</v>
      </c>
      <c r="AN1065" s="15" t="s">
        <v>60</v>
      </c>
      <c r="AO1065" s="15" t="s">
        <v>56</v>
      </c>
      <c r="AP1065" s="15"/>
      <c r="AQ1065" s="15" t="s">
        <v>56</v>
      </c>
      <c r="AR1065" s="15" t="s">
        <v>58</v>
      </c>
      <c r="AS1065" s="15" t="s">
        <v>62</v>
      </c>
      <c r="AT1065" s="15"/>
      <c r="AU1065" s="45" t="s">
        <v>546</v>
      </c>
      <c r="AV1065" s="15"/>
      <c r="AW1065" s="12" t="str">
        <f>B1065&amp;C1065&amp;L1065&amp;M1065&amp;O1065&amp;U1065&amp;AL1065&amp;AM1065</f>
        <v>FranceCap Roux Marine Protected Areafishrichness3.11392405063291Seytre2009</v>
      </c>
    </row>
    <row r="1066" spans="1:49" ht="14.25" customHeight="1" x14ac:dyDescent="0.35">
      <c r="A1066" s="12">
        <v>1065</v>
      </c>
      <c r="B1066" s="15" t="s">
        <v>551</v>
      </c>
      <c r="C1066" s="59" t="s">
        <v>2703</v>
      </c>
      <c r="D1066" s="59" t="s">
        <v>2703</v>
      </c>
      <c r="E1066" s="15" t="s">
        <v>916</v>
      </c>
      <c r="F1066" s="13" t="s">
        <v>50</v>
      </c>
      <c r="G1066" s="13" t="s">
        <v>51</v>
      </c>
      <c r="H1066" s="61" t="s">
        <v>52</v>
      </c>
      <c r="I1066" s="16" t="s">
        <v>53</v>
      </c>
      <c r="J1066" s="17"/>
      <c r="K1066" s="47">
        <v>18</v>
      </c>
      <c r="L1066" s="17" t="s">
        <v>455</v>
      </c>
      <c r="M1066" s="17" t="s">
        <v>1228</v>
      </c>
      <c r="N1066" s="14" t="s">
        <v>85</v>
      </c>
      <c r="O1066" s="17" t="s">
        <v>86</v>
      </c>
      <c r="P1066" s="17"/>
      <c r="Q1066" s="17"/>
      <c r="R1066" s="17">
        <v>0.13888900000000001</v>
      </c>
      <c r="S1066" s="17"/>
      <c r="T1066" s="17">
        <v>9.6666670000000003</v>
      </c>
      <c r="U1066" s="20">
        <f t="shared" si="71"/>
        <v>69.599946720042624</v>
      </c>
      <c r="V1066" s="41">
        <f t="shared" si="74"/>
        <v>6859.9946720042626</v>
      </c>
      <c r="W1066" s="17"/>
      <c r="X1066" s="17" t="s">
        <v>56</v>
      </c>
      <c r="Z1066" s="17" t="s">
        <v>56</v>
      </c>
      <c r="AA1066" s="17"/>
      <c r="AB1066" s="17" t="s">
        <v>192</v>
      </c>
      <c r="AC1066" s="17">
        <v>1983</v>
      </c>
      <c r="AD1066" s="17">
        <v>33</v>
      </c>
      <c r="AE1066" s="17"/>
      <c r="AF1066" s="17"/>
      <c r="AG1066" s="17">
        <v>1981</v>
      </c>
      <c r="AH1066" s="14">
        <f t="shared" si="72"/>
        <v>2</v>
      </c>
      <c r="AI1066" s="17">
        <f t="shared" si="73"/>
        <v>35</v>
      </c>
      <c r="AJ1066" s="17"/>
      <c r="AK1066" s="17" t="s">
        <v>58</v>
      </c>
      <c r="AL1066" s="16" t="s">
        <v>1634</v>
      </c>
      <c r="AM1066" s="17">
        <v>2018</v>
      </c>
      <c r="AN1066" s="15" t="s">
        <v>1086</v>
      </c>
      <c r="AO1066" s="15" t="s">
        <v>56</v>
      </c>
      <c r="AP1066" s="15"/>
      <c r="AQ1066" s="15" t="s">
        <v>56</v>
      </c>
      <c r="AR1066" s="15" t="s">
        <v>58</v>
      </c>
      <c r="AS1066" s="15" t="s">
        <v>62</v>
      </c>
      <c r="AT1066" s="15"/>
      <c r="AU1066" s="45"/>
      <c r="AV1066" s="15"/>
      <c r="AW1066" s="12" t="str">
        <f>B1066&amp;C1066&amp;L1066&amp;M1066&amp;O1066&amp;U1066&amp;AL1066&amp;AM1066</f>
        <v>New ZealandPoor Knights Islands Marine ReserveChrysophrys auratusAustralasian snapperdensity69.5999467200426Schiel2018</v>
      </c>
    </row>
    <row r="1067" spans="1:49" ht="14.25" customHeight="1" x14ac:dyDescent="0.35">
      <c r="A1067" s="12">
        <v>1066</v>
      </c>
      <c r="B1067" s="12" t="s">
        <v>551</v>
      </c>
      <c r="C1067" s="50" t="s">
        <v>2703</v>
      </c>
      <c r="D1067" s="50" t="s">
        <v>2703</v>
      </c>
      <c r="E1067" s="12" t="s">
        <v>916</v>
      </c>
      <c r="F1067" s="13" t="s">
        <v>50</v>
      </c>
      <c r="G1067" s="13" t="s">
        <v>51</v>
      </c>
      <c r="H1067" s="62" t="s">
        <v>52</v>
      </c>
      <c r="I1067" s="13" t="s">
        <v>53</v>
      </c>
      <c r="J1067" s="17"/>
      <c r="K1067" s="18">
        <v>18</v>
      </c>
      <c r="L1067" s="14" t="s">
        <v>1635</v>
      </c>
      <c r="M1067" s="14" t="s">
        <v>1636</v>
      </c>
      <c r="N1067" s="14" t="s">
        <v>85</v>
      </c>
      <c r="O1067" s="17" t="s">
        <v>86</v>
      </c>
      <c r="P1067" s="14"/>
      <c r="Q1067" s="14"/>
      <c r="R1067" s="14">
        <v>8.3410399999999996</v>
      </c>
      <c r="S1067" s="14"/>
      <c r="T1067" s="14">
        <v>8.1329480000000007</v>
      </c>
      <c r="U1067" s="19">
        <f t="shared" si="71"/>
        <v>0.97505203188091671</v>
      </c>
      <c r="V1067" s="41">
        <f t="shared" si="74"/>
        <v>-2.4947968119083286</v>
      </c>
      <c r="W1067" s="14"/>
      <c r="X1067" s="17" t="s">
        <v>56</v>
      </c>
      <c r="Z1067" s="14" t="s">
        <v>56</v>
      </c>
      <c r="AA1067" s="14"/>
      <c r="AB1067" s="14" t="s">
        <v>192</v>
      </c>
      <c r="AC1067" s="14">
        <v>1983</v>
      </c>
      <c r="AD1067" s="14">
        <v>33</v>
      </c>
      <c r="AE1067" s="14"/>
      <c r="AF1067" s="14"/>
      <c r="AG1067" s="17">
        <v>1981</v>
      </c>
      <c r="AH1067" s="14">
        <f t="shared" si="72"/>
        <v>2</v>
      </c>
      <c r="AI1067" s="17">
        <f t="shared" si="73"/>
        <v>35</v>
      </c>
      <c r="AJ1067" s="14"/>
      <c r="AK1067" s="14" t="s">
        <v>58</v>
      </c>
      <c r="AL1067" s="13" t="s">
        <v>1634</v>
      </c>
      <c r="AM1067" s="14">
        <v>2018</v>
      </c>
      <c r="AN1067" s="12" t="s">
        <v>1086</v>
      </c>
      <c r="AO1067" s="12" t="s">
        <v>56</v>
      </c>
      <c r="AP1067" s="12"/>
      <c r="AQ1067" s="12" t="s">
        <v>56</v>
      </c>
      <c r="AR1067" s="12" t="s">
        <v>58</v>
      </c>
      <c r="AS1067" s="12" t="s">
        <v>62</v>
      </c>
      <c r="AT1067" s="12"/>
      <c r="AU1067" s="45"/>
      <c r="AV1067" s="15"/>
      <c r="AW1067" s="12" t="str">
        <f>B1067&amp;C1067&amp;L1067&amp;M1067&amp;O1067&amp;U1067&amp;AL1067&amp;AM1067</f>
        <v>New ZealandPoor Knights Islands Marine ReserveCoris sandeyeriSandager's wrassedensity0.975052031880917Schiel2018</v>
      </c>
    </row>
    <row r="1068" spans="1:49" ht="14.25" customHeight="1" x14ac:dyDescent="0.35">
      <c r="A1068" s="12">
        <v>1067</v>
      </c>
      <c r="B1068" s="12" t="s">
        <v>551</v>
      </c>
      <c r="C1068" s="50" t="s">
        <v>2703</v>
      </c>
      <c r="D1068" s="50" t="s">
        <v>2703</v>
      </c>
      <c r="E1068" s="12" t="s">
        <v>916</v>
      </c>
      <c r="F1068" s="13" t="s">
        <v>50</v>
      </c>
      <c r="G1068" s="13" t="s">
        <v>51</v>
      </c>
      <c r="H1068" s="62" t="s">
        <v>52</v>
      </c>
      <c r="I1068" s="13" t="s">
        <v>53</v>
      </c>
      <c r="J1068" s="17"/>
      <c r="K1068" s="47">
        <v>18</v>
      </c>
      <c r="L1068" s="14" t="s">
        <v>1637</v>
      </c>
      <c r="M1068" s="14" t="s">
        <v>1638</v>
      </c>
      <c r="N1068" s="14" t="s">
        <v>85</v>
      </c>
      <c r="O1068" s="17" t="s">
        <v>86</v>
      </c>
      <c r="P1068" s="14"/>
      <c r="Q1068" s="14"/>
      <c r="R1068" s="14">
        <v>2.2436970000000001</v>
      </c>
      <c r="S1068" s="14"/>
      <c r="T1068" s="14">
        <v>1</v>
      </c>
      <c r="U1068" s="19">
        <f t="shared" si="71"/>
        <v>0.44569297904307043</v>
      </c>
      <c r="V1068" s="41">
        <f t="shared" si="74"/>
        <v>-55.430702095692965</v>
      </c>
      <c r="W1068" s="14"/>
      <c r="X1068" s="14" t="s">
        <v>56</v>
      </c>
      <c r="Z1068" s="14" t="s">
        <v>56</v>
      </c>
      <c r="AA1068" s="14"/>
      <c r="AB1068" s="14" t="s">
        <v>192</v>
      </c>
      <c r="AC1068" s="14">
        <v>1983</v>
      </c>
      <c r="AD1068" s="14">
        <v>33</v>
      </c>
      <c r="AE1068" s="14"/>
      <c r="AF1068" s="14"/>
      <c r="AG1068" s="17">
        <v>1981</v>
      </c>
      <c r="AH1068" s="14">
        <f t="shared" si="72"/>
        <v>2</v>
      </c>
      <c r="AI1068" s="17">
        <f t="shared" si="73"/>
        <v>35</v>
      </c>
      <c r="AJ1068" s="14"/>
      <c r="AK1068" s="14" t="s">
        <v>58</v>
      </c>
      <c r="AL1068" s="13" t="s">
        <v>1634</v>
      </c>
      <c r="AM1068" s="14">
        <v>2018</v>
      </c>
      <c r="AN1068" s="12" t="s">
        <v>1086</v>
      </c>
      <c r="AO1068" s="12" t="s">
        <v>56</v>
      </c>
      <c r="AP1068" s="12"/>
      <c r="AQ1068" s="12" t="s">
        <v>56</v>
      </c>
      <c r="AR1068" s="12" t="s">
        <v>58</v>
      </c>
      <c r="AS1068" s="12" t="s">
        <v>62</v>
      </c>
      <c r="AT1068" s="12"/>
      <c r="AU1068" s="45"/>
      <c r="AV1068" s="15"/>
      <c r="AW1068" s="12" t="str">
        <f>B1068&amp;C1068&amp;L1068&amp;M1068&amp;O1068&amp;U1068&amp;AL1068&amp;AM1068</f>
        <v>New ZealandPoor Knights Islands Marine ReserveSuezichthys aylingiCrimson cleaner fishdensity0.44569297904307Schiel2018</v>
      </c>
    </row>
    <row r="1069" spans="1:49" ht="14.25" customHeight="1" x14ac:dyDescent="0.35">
      <c r="A1069" s="12">
        <v>1068</v>
      </c>
      <c r="B1069" s="12" t="s">
        <v>551</v>
      </c>
      <c r="C1069" s="50" t="s">
        <v>2703</v>
      </c>
      <c r="D1069" s="50" t="s">
        <v>2703</v>
      </c>
      <c r="E1069" s="12" t="s">
        <v>916</v>
      </c>
      <c r="F1069" s="13" t="s">
        <v>50</v>
      </c>
      <c r="G1069" s="13" t="s">
        <v>51</v>
      </c>
      <c r="H1069" s="62" t="s">
        <v>52</v>
      </c>
      <c r="I1069" s="13" t="s">
        <v>53</v>
      </c>
      <c r="J1069" s="17"/>
      <c r="K1069" s="47">
        <v>18</v>
      </c>
      <c r="L1069" s="14" t="s">
        <v>1066</v>
      </c>
      <c r="M1069" s="14" t="s">
        <v>1067</v>
      </c>
      <c r="N1069" s="14" t="s">
        <v>85</v>
      </c>
      <c r="O1069" s="17" t="s">
        <v>86</v>
      </c>
      <c r="P1069" s="14"/>
      <c r="Q1069" s="14"/>
      <c r="R1069" s="14">
        <v>2.2510289999999999</v>
      </c>
      <c r="S1069" s="14"/>
      <c r="T1069" s="14">
        <v>1.0164610000000001</v>
      </c>
      <c r="U1069" s="19">
        <f t="shared" si="71"/>
        <v>0.45155393377872965</v>
      </c>
      <c r="V1069" s="41">
        <f t="shared" si="74"/>
        <v>-54.844606622127031</v>
      </c>
      <c r="W1069" s="14"/>
      <c r="X1069" s="14" t="s">
        <v>56</v>
      </c>
      <c r="Z1069" s="14" t="s">
        <v>56</v>
      </c>
      <c r="AA1069" s="14"/>
      <c r="AB1069" s="14" t="s">
        <v>192</v>
      </c>
      <c r="AC1069" s="14">
        <v>1983</v>
      </c>
      <c r="AD1069" s="14">
        <v>33</v>
      </c>
      <c r="AE1069" s="14"/>
      <c r="AF1069" s="14"/>
      <c r="AG1069" s="17">
        <v>1981</v>
      </c>
      <c r="AH1069" s="14">
        <f t="shared" si="72"/>
        <v>2</v>
      </c>
      <c r="AI1069" s="17">
        <f t="shared" si="73"/>
        <v>35</v>
      </c>
      <c r="AJ1069" s="14"/>
      <c r="AK1069" s="14" t="s">
        <v>58</v>
      </c>
      <c r="AL1069" s="13" t="s">
        <v>1634</v>
      </c>
      <c r="AM1069" s="14">
        <v>2018</v>
      </c>
      <c r="AN1069" s="12" t="s">
        <v>1086</v>
      </c>
      <c r="AO1069" s="12" t="s">
        <v>56</v>
      </c>
      <c r="AP1069" s="12"/>
      <c r="AQ1069" s="12" t="s">
        <v>56</v>
      </c>
      <c r="AR1069" s="12" t="s">
        <v>58</v>
      </c>
      <c r="AS1069" s="12" t="s">
        <v>62</v>
      </c>
      <c r="AT1069" s="12"/>
      <c r="AU1069" s="45"/>
      <c r="AV1069" s="15"/>
      <c r="AW1069" s="12" t="str">
        <f>B1069&amp;C1069&amp;L1069&amp;M1069&amp;O1069&amp;U1069&amp;AL1069&amp;AM1069</f>
        <v>New ZealandPoor Knights Islands Marine ReserveNotolabrus celidotusspottydensity0.45155393377873Schiel2018</v>
      </c>
    </row>
    <row r="1070" spans="1:49" ht="14.25" customHeight="1" x14ac:dyDescent="0.35">
      <c r="A1070" s="12">
        <v>1069</v>
      </c>
      <c r="B1070" s="12" t="s">
        <v>551</v>
      </c>
      <c r="C1070" s="50" t="s">
        <v>2703</v>
      </c>
      <c r="D1070" s="50" t="s">
        <v>2703</v>
      </c>
      <c r="E1070" s="12" t="s">
        <v>916</v>
      </c>
      <c r="F1070" s="13" t="s">
        <v>50</v>
      </c>
      <c r="G1070" s="13" t="s">
        <v>51</v>
      </c>
      <c r="H1070" s="62" t="s">
        <v>52</v>
      </c>
      <c r="I1070" s="13" t="s">
        <v>53</v>
      </c>
      <c r="J1070" s="17"/>
      <c r="K1070" s="18">
        <v>18</v>
      </c>
      <c r="L1070" s="14" t="s">
        <v>1639</v>
      </c>
      <c r="M1070" s="14" t="s">
        <v>1640</v>
      </c>
      <c r="N1070" s="14" t="s">
        <v>85</v>
      </c>
      <c r="O1070" s="17" t="s">
        <v>86</v>
      </c>
      <c r="P1070" s="14"/>
      <c r="Q1070" s="14"/>
      <c r="R1070" s="14">
        <v>3.851429</v>
      </c>
      <c r="S1070" s="14"/>
      <c r="T1070" s="14">
        <v>1.96</v>
      </c>
      <c r="U1070" s="19">
        <f t="shared" si="71"/>
        <v>0.50890202052277222</v>
      </c>
      <c r="V1070" s="41">
        <f t="shared" si="74"/>
        <v>-49.109797947722775</v>
      </c>
      <c r="W1070" s="14"/>
      <c r="X1070" s="14" t="s">
        <v>56</v>
      </c>
      <c r="Z1070" s="14" t="s">
        <v>56</v>
      </c>
      <c r="AA1070" s="14"/>
      <c r="AB1070" s="14" t="s">
        <v>192</v>
      </c>
      <c r="AC1070" s="14">
        <v>1983</v>
      </c>
      <c r="AD1070" s="14">
        <v>33</v>
      </c>
      <c r="AE1070" s="14"/>
      <c r="AF1070" s="14"/>
      <c r="AG1070" s="17">
        <v>1981</v>
      </c>
      <c r="AH1070" s="14">
        <f t="shared" si="72"/>
        <v>2</v>
      </c>
      <c r="AI1070" s="17">
        <f t="shared" si="73"/>
        <v>35</v>
      </c>
      <c r="AJ1070" s="14"/>
      <c r="AK1070" s="14" t="s">
        <v>58</v>
      </c>
      <c r="AL1070" s="13" t="s">
        <v>1634</v>
      </c>
      <c r="AM1070" s="14">
        <v>2018</v>
      </c>
      <c r="AN1070" s="12" t="s">
        <v>1086</v>
      </c>
      <c r="AO1070" s="12" t="s">
        <v>56</v>
      </c>
      <c r="AP1070" s="12"/>
      <c r="AQ1070" s="12" t="s">
        <v>56</v>
      </c>
      <c r="AR1070" s="12" t="s">
        <v>58</v>
      </c>
      <c r="AS1070" s="12" t="s">
        <v>62</v>
      </c>
      <c r="AT1070" s="12"/>
      <c r="AU1070" s="45"/>
      <c r="AV1070" s="15"/>
      <c r="AW1070" s="12" t="str">
        <f>B1070&amp;C1070&amp;L1070&amp;M1070&amp;O1070&amp;U1070&amp;AL1070&amp;AM1070</f>
        <v>New ZealandPoor Knights Islands Marine ReserveMeuschenia scabersmooth leatherjacketdensity0.508902020522772Schiel2018</v>
      </c>
    </row>
    <row r="1071" spans="1:49" ht="14.25" customHeight="1" x14ac:dyDescent="0.35">
      <c r="A1071" s="12">
        <v>1070</v>
      </c>
      <c r="B1071" s="12" t="s">
        <v>551</v>
      </c>
      <c r="C1071" s="50" t="s">
        <v>2703</v>
      </c>
      <c r="D1071" s="59" t="s">
        <v>2703</v>
      </c>
      <c r="E1071" s="12" t="s">
        <v>916</v>
      </c>
      <c r="F1071" s="13" t="s">
        <v>50</v>
      </c>
      <c r="G1071" s="13" t="s">
        <v>51</v>
      </c>
      <c r="H1071" s="62" t="s">
        <v>52</v>
      </c>
      <c r="I1071" s="13" t="s">
        <v>53</v>
      </c>
      <c r="K1071" s="47">
        <v>18</v>
      </c>
      <c r="L1071" s="14" t="s">
        <v>1641</v>
      </c>
      <c r="M1071" s="14" t="s">
        <v>1642</v>
      </c>
      <c r="N1071" s="14" t="s">
        <v>85</v>
      </c>
      <c r="O1071" s="17" t="s">
        <v>86</v>
      </c>
      <c r="P1071" s="14"/>
      <c r="Q1071" s="14"/>
      <c r="R1071" s="14">
        <v>8.6999999999999993</v>
      </c>
      <c r="S1071" s="14"/>
      <c r="T1071" s="14">
        <v>10.5</v>
      </c>
      <c r="U1071" s="19">
        <f t="shared" si="71"/>
        <v>1.2068965517241381</v>
      </c>
      <c r="V1071" s="41">
        <f t="shared" si="74"/>
        <v>20.689655172413811</v>
      </c>
      <c r="W1071" s="14"/>
      <c r="X1071" s="14" t="s">
        <v>56</v>
      </c>
      <c r="Z1071" s="14" t="s">
        <v>56</v>
      </c>
      <c r="AA1071" s="14"/>
      <c r="AB1071" s="14" t="s">
        <v>192</v>
      </c>
      <c r="AC1071" s="14">
        <v>1983</v>
      </c>
      <c r="AD1071" s="14">
        <v>33</v>
      </c>
      <c r="AE1071" s="14"/>
      <c r="AF1071" s="14"/>
      <c r="AG1071" s="14">
        <v>1981</v>
      </c>
      <c r="AH1071" s="14">
        <f t="shared" si="72"/>
        <v>2</v>
      </c>
      <c r="AI1071" s="17">
        <f t="shared" si="73"/>
        <v>35</v>
      </c>
      <c r="AJ1071" s="14"/>
      <c r="AK1071" s="14" t="s">
        <v>58</v>
      </c>
      <c r="AL1071" s="13" t="s">
        <v>1634</v>
      </c>
      <c r="AM1071" s="14">
        <v>2018</v>
      </c>
      <c r="AN1071" s="12" t="s">
        <v>1086</v>
      </c>
      <c r="AO1071" s="12" t="s">
        <v>56</v>
      </c>
      <c r="AP1071" s="12"/>
      <c r="AQ1071" s="12" t="s">
        <v>56</v>
      </c>
      <c r="AR1071" s="12" t="s">
        <v>58</v>
      </c>
      <c r="AS1071" s="12" t="s">
        <v>62</v>
      </c>
      <c r="AT1071" s="12"/>
      <c r="AU1071" s="45"/>
      <c r="AV1071" s="15"/>
      <c r="AW1071" s="12" t="str">
        <f>B1071&amp;C1071&amp;L1071&amp;M1071&amp;O1071&amp;U1071&amp;AL1071&amp;AM1071</f>
        <v>New ZealandPoor Knights Islands Marine ReserveParma alboscapularisNew Zealand black angelfishdensity1.20689655172414Schiel2018</v>
      </c>
    </row>
    <row r="1072" spans="1:49" ht="14.25" customHeight="1" x14ac:dyDescent="0.35">
      <c r="A1072" s="12">
        <v>1071</v>
      </c>
      <c r="B1072" s="12" t="s">
        <v>551</v>
      </c>
      <c r="C1072" s="50" t="s">
        <v>2703</v>
      </c>
      <c r="D1072" s="59" t="s">
        <v>2703</v>
      </c>
      <c r="E1072" s="12" t="s">
        <v>916</v>
      </c>
      <c r="F1072" s="13" t="s">
        <v>50</v>
      </c>
      <c r="G1072" s="13" t="s">
        <v>51</v>
      </c>
      <c r="H1072" s="62" t="s">
        <v>52</v>
      </c>
      <c r="I1072" s="13" t="s">
        <v>53</v>
      </c>
      <c r="K1072" s="47">
        <v>18</v>
      </c>
      <c r="L1072" s="14" t="s">
        <v>1643</v>
      </c>
      <c r="M1072" s="14"/>
      <c r="N1072" s="14" t="s">
        <v>85</v>
      </c>
      <c r="O1072" s="17" t="s">
        <v>86</v>
      </c>
      <c r="P1072" s="14"/>
      <c r="Q1072" s="14"/>
      <c r="R1072" s="14">
        <v>1.8959280000000001</v>
      </c>
      <c r="S1072" s="14"/>
      <c r="T1072" s="14">
        <v>2.5972849999999998</v>
      </c>
      <c r="U1072" s="19">
        <f t="shared" si="71"/>
        <v>1.3699280774375397</v>
      </c>
      <c r="V1072" s="41">
        <f t="shared" si="74"/>
        <v>36.992807743753971</v>
      </c>
      <c r="W1072" s="14"/>
      <c r="X1072" s="14" t="s">
        <v>56</v>
      </c>
      <c r="Z1072" s="14" t="s">
        <v>56</v>
      </c>
      <c r="AA1072" s="14"/>
      <c r="AB1072" s="14" t="s">
        <v>192</v>
      </c>
      <c r="AC1072" s="14">
        <v>1983</v>
      </c>
      <c r="AD1072" s="14">
        <v>33</v>
      </c>
      <c r="AE1072" s="14"/>
      <c r="AF1072" s="14"/>
      <c r="AG1072" s="14">
        <v>1981</v>
      </c>
      <c r="AH1072" s="14">
        <f t="shared" si="72"/>
        <v>2</v>
      </c>
      <c r="AI1072" s="17">
        <f t="shared" si="73"/>
        <v>35</v>
      </c>
      <c r="AJ1072" s="14"/>
      <c r="AK1072" s="14" t="s">
        <v>58</v>
      </c>
      <c r="AL1072" s="13" t="s">
        <v>1634</v>
      </c>
      <c r="AM1072" s="14">
        <v>2018</v>
      </c>
      <c r="AN1072" s="12" t="s">
        <v>1086</v>
      </c>
      <c r="AO1072" s="12" t="s">
        <v>56</v>
      </c>
      <c r="AP1072" s="12"/>
      <c r="AQ1072" s="12" t="s">
        <v>56</v>
      </c>
      <c r="AR1072" s="12" t="s">
        <v>58</v>
      </c>
      <c r="AS1072" s="12" t="s">
        <v>62</v>
      </c>
      <c r="AT1072" s="12"/>
      <c r="AU1072" s="45"/>
      <c r="AV1072" s="15"/>
      <c r="AW1072" s="12" t="str">
        <f>B1072&amp;C1072&amp;L1072&amp;M1072&amp;O1072&amp;U1072&amp;AL1072&amp;AM1072</f>
        <v>New ZealandPoor Knights Islands Marine ReserveUpeneichthys porosusdensity1.36992807743754Schiel2018</v>
      </c>
    </row>
    <row r="1073" spans="1:49" ht="14.25" customHeight="1" x14ac:dyDescent="0.35">
      <c r="A1073" s="12">
        <v>1072</v>
      </c>
      <c r="B1073" s="12" t="s">
        <v>551</v>
      </c>
      <c r="C1073" s="50" t="s">
        <v>2703</v>
      </c>
      <c r="D1073" s="59" t="s">
        <v>2703</v>
      </c>
      <c r="E1073" s="12" t="s">
        <v>916</v>
      </c>
      <c r="F1073" s="13" t="s">
        <v>50</v>
      </c>
      <c r="G1073" s="13" t="s">
        <v>51</v>
      </c>
      <c r="H1073" s="62" t="s">
        <v>52</v>
      </c>
      <c r="I1073" s="13" t="s">
        <v>53</v>
      </c>
      <c r="K1073" s="47">
        <v>18</v>
      </c>
      <c r="L1073" s="14" t="s">
        <v>1644</v>
      </c>
      <c r="M1073" s="14"/>
      <c r="N1073" s="17" t="s">
        <v>120</v>
      </c>
      <c r="O1073" s="14" t="s">
        <v>86</v>
      </c>
      <c r="P1073" s="14"/>
      <c r="Q1073" s="14"/>
      <c r="R1073" s="14">
        <v>1.8248850000000001</v>
      </c>
      <c r="S1073" s="14"/>
      <c r="T1073" s="14">
        <v>5.6682030000000001</v>
      </c>
      <c r="U1073" s="19">
        <f t="shared" si="71"/>
        <v>3.1060603818870778</v>
      </c>
      <c r="V1073" s="41">
        <f t="shared" si="74"/>
        <v>210.60603818870777</v>
      </c>
      <c r="W1073" s="14"/>
      <c r="X1073" s="14" t="s">
        <v>56</v>
      </c>
      <c r="Z1073" s="14" t="s">
        <v>56</v>
      </c>
      <c r="AA1073" s="14"/>
      <c r="AB1073" s="14" t="s">
        <v>192</v>
      </c>
      <c r="AC1073" s="14">
        <v>1983</v>
      </c>
      <c r="AD1073" s="14">
        <v>33</v>
      </c>
      <c r="AE1073" s="14"/>
      <c r="AF1073" s="14"/>
      <c r="AG1073" s="14">
        <v>1981</v>
      </c>
      <c r="AH1073" s="14">
        <f t="shared" si="72"/>
        <v>2</v>
      </c>
      <c r="AI1073" s="17">
        <f t="shared" si="73"/>
        <v>35</v>
      </c>
      <c r="AJ1073" s="14"/>
      <c r="AK1073" s="14" t="s">
        <v>58</v>
      </c>
      <c r="AL1073" s="13" t="s">
        <v>1634</v>
      </c>
      <c r="AM1073" s="14">
        <v>2018</v>
      </c>
      <c r="AN1073" s="12" t="s">
        <v>1086</v>
      </c>
      <c r="AO1073" s="12" t="s">
        <v>56</v>
      </c>
      <c r="AP1073" s="12"/>
      <c r="AQ1073" s="12" t="s">
        <v>56</v>
      </c>
      <c r="AR1073" s="12" t="s">
        <v>58</v>
      </c>
      <c r="AS1073" s="12" t="s">
        <v>62</v>
      </c>
      <c r="AT1073" s="12"/>
      <c r="AU1073" s="45"/>
      <c r="AV1073" s="15"/>
      <c r="AW1073" s="12" t="str">
        <f>B1073&amp;C1073&amp;L1073&amp;M1073&amp;O1073&amp;U1073&amp;AL1073&amp;AM1073</f>
        <v>New ZealandPoor Knights Islands Marine ReserveCheilodactylidsdensity3.10606038188708Schiel2018</v>
      </c>
    </row>
    <row r="1074" spans="1:49" ht="14.25" customHeight="1" x14ac:dyDescent="0.35">
      <c r="A1074" s="12">
        <v>1073</v>
      </c>
      <c r="B1074" s="12" t="s">
        <v>551</v>
      </c>
      <c r="C1074" s="50" t="s">
        <v>2703</v>
      </c>
      <c r="D1074" s="50" t="s">
        <v>2703</v>
      </c>
      <c r="E1074" s="12" t="s">
        <v>916</v>
      </c>
      <c r="F1074" s="13" t="s">
        <v>50</v>
      </c>
      <c r="G1074" s="13" t="s">
        <v>51</v>
      </c>
      <c r="H1074" s="62" t="s">
        <v>52</v>
      </c>
      <c r="I1074" s="13" t="s">
        <v>53</v>
      </c>
      <c r="K1074" s="47">
        <v>18</v>
      </c>
      <c r="L1074" s="14"/>
      <c r="M1074" s="14" t="s">
        <v>69</v>
      </c>
      <c r="N1074" s="14" t="s">
        <v>1070</v>
      </c>
      <c r="O1074" s="17" t="s">
        <v>55</v>
      </c>
      <c r="P1074" s="14"/>
      <c r="Q1074" s="14"/>
      <c r="R1074" s="14">
        <v>7.5481480000000003</v>
      </c>
      <c r="S1074" s="14"/>
      <c r="T1074" s="14">
        <v>8.8074069999999995</v>
      </c>
      <c r="U1074" s="19">
        <f t="shared" si="71"/>
        <v>1.1668301946384727</v>
      </c>
      <c r="V1074" s="41">
        <f t="shared" si="74"/>
        <v>16.68301946384727</v>
      </c>
      <c r="W1074" s="14"/>
      <c r="X1074" s="14" t="s">
        <v>56</v>
      </c>
      <c r="Z1074" s="14" t="s">
        <v>56</v>
      </c>
      <c r="AA1074" s="14"/>
      <c r="AB1074" s="14" t="s">
        <v>192</v>
      </c>
      <c r="AC1074" s="14">
        <v>1983</v>
      </c>
      <c r="AD1074" s="14">
        <v>33</v>
      </c>
      <c r="AE1074" s="14"/>
      <c r="AF1074" s="14"/>
      <c r="AG1074" s="14">
        <v>1981</v>
      </c>
      <c r="AH1074" s="14">
        <f t="shared" si="72"/>
        <v>2</v>
      </c>
      <c r="AI1074" s="17">
        <f t="shared" si="73"/>
        <v>35</v>
      </c>
      <c r="AJ1074" s="14"/>
      <c r="AK1074" s="14" t="s">
        <v>58</v>
      </c>
      <c r="AL1074" s="13" t="s">
        <v>1634</v>
      </c>
      <c r="AM1074" s="14">
        <v>2018</v>
      </c>
      <c r="AN1074" s="12" t="s">
        <v>1086</v>
      </c>
      <c r="AO1074" s="12" t="s">
        <v>56</v>
      </c>
      <c r="AP1074" s="12"/>
      <c r="AQ1074" s="12" t="s">
        <v>56</v>
      </c>
      <c r="AR1074" s="12" t="s">
        <v>58</v>
      </c>
      <c r="AS1074" s="12" t="s">
        <v>62</v>
      </c>
      <c r="AT1074" s="12"/>
      <c r="AU1074" s="45"/>
      <c r="AV1074" s="15"/>
      <c r="AW1074" s="12" t="str">
        <f>B1074&amp;C1074&amp;L1074&amp;M1074&amp;O1074&amp;U1074&amp;AL1074&amp;AM1074</f>
        <v>New ZealandPoor Knights Islands Marine Reservefishrichness1.16683019463847Schiel2018</v>
      </c>
    </row>
    <row r="1075" spans="1:49" ht="14.25" customHeight="1" x14ac:dyDescent="0.35">
      <c r="A1075" s="12">
        <v>1074</v>
      </c>
      <c r="B1075" s="15" t="s">
        <v>551</v>
      </c>
      <c r="C1075" s="59" t="s">
        <v>2703</v>
      </c>
      <c r="D1075" s="59" t="s">
        <v>2703</v>
      </c>
      <c r="E1075" s="15" t="s">
        <v>916</v>
      </c>
      <c r="F1075" s="16" t="s">
        <v>50</v>
      </c>
      <c r="G1075" s="16" t="s">
        <v>51</v>
      </c>
      <c r="H1075" s="61" t="s">
        <v>52</v>
      </c>
      <c r="I1075" s="16" t="s">
        <v>53</v>
      </c>
      <c r="K1075" s="47">
        <v>18</v>
      </c>
      <c r="L1075" s="14" t="s">
        <v>433</v>
      </c>
      <c r="M1075" s="17" t="s">
        <v>119</v>
      </c>
      <c r="N1075" s="14" t="s">
        <v>85</v>
      </c>
      <c r="O1075" s="17" t="s">
        <v>101</v>
      </c>
      <c r="P1075" s="17"/>
      <c r="Q1075" s="17"/>
      <c r="R1075" s="17">
        <v>22.246379999999998</v>
      </c>
      <c r="S1075" s="17"/>
      <c r="T1075" s="17">
        <v>27.97101</v>
      </c>
      <c r="U1075" s="20">
        <f t="shared" ref="U1075:U1082" si="75">IFERROR(IF(AND(Q1075="",R1075="",S1075="",T1075=""),"",IF(AND(Q1075&lt;&gt;"",R1075&lt;&gt;"",S1075&lt;&gt;"",T1075&lt;&gt;""),(T1075/R1075)/(S1075/Q1075),IF(AND(Q1075&lt;&gt;"",R1075&lt;&gt;""),R1075/Q1075,IF(AND(S1075&lt;&gt;"",T1075&lt;&gt;""),T1075/S1075,IF(AND(Q1075&lt;&gt;"",S1075&lt;&gt;""),Q1075/S1075,IF(AND(R1075&lt;&gt;"",T1075&lt;&gt;""),T1075/R1075)))))), "N/A")</f>
        <v>1.2573286080701669</v>
      </c>
      <c r="V1075" s="41">
        <f t="shared" si="74"/>
        <v>25.732860807016689</v>
      </c>
      <c r="W1075" s="17"/>
      <c r="X1075" s="17" t="s">
        <v>56</v>
      </c>
      <c r="Z1075" s="17" t="s">
        <v>56</v>
      </c>
      <c r="AA1075" s="17"/>
      <c r="AB1075" s="17" t="s">
        <v>192</v>
      </c>
      <c r="AC1075" s="17">
        <v>1983</v>
      </c>
      <c r="AD1075" s="17">
        <v>33</v>
      </c>
      <c r="AE1075" s="17"/>
      <c r="AF1075" s="17"/>
      <c r="AG1075" s="17">
        <v>1981</v>
      </c>
      <c r="AH1075" s="14">
        <f t="shared" si="72"/>
        <v>2</v>
      </c>
      <c r="AI1075" s="17">
        <f t="shared" si="73"/>
        <v>35</v>
      </c>
      <c r="AJ1075" s="17"/>
      <c r="AK1075" s="17" t="s">
        <v>58</v>
      </c>
      <c r="AL1075" s="16" t="s">
        <v>1634</v>
      </c>
      <c r="AM1075" s="17">
        <v>2018</v>
      </c>
      <c r="AN1075" s="15" t="s">
        <v>1086</v>
      </c>
      <c r="AO1075" s="15" t="s">
        <v>56</v>
      </c>
      <c r="AP1075" s="15"/>
      <c r="AQ1075" s="15" t="s">
        <v>56</v>
      </c>
      <c r="AR1075" s="15" t="s">
        <v>58</v>
      </c>
      <c r="AS1075" s="15" t="s">
        <v>62</v>
      </c>
      <c r="AT1075" s="15"/>
      <c r="AU1075" s="45"/>
      <c r="AV1075" s="15"/>
      <c r="AW1075" s="12" t="str">
        <f>B1075&amp;C1075&amp;L1075&amp;M1075&amp;O1075&amp;U1075&amp;AL1075&amp;AM1075</f>
        <v>New ZealandPoor Knights Islands Marine ReserveEcklonia radiatakelpcover1.25732860807017Schiel2018</v>
      </c>
    </row>
    <row r="1076" spans="1:49" ht="14.25" customHeight="1" x14ac:dyDescent="0.35">
      <c r="A1076" s="12">
        <v>1075</v>
      </c>
      <c r="B1076" s="12" t="s">
        <v>551</v>
      </c>
      <c r="C1076" s="59" t="s">
        <v>2703</v>
      </c>
      <c r="D1076" s="59" t="s">
        <v>2703</v>
      </c>
      <c r="E1076" s="15" t="s">
        <v>916</v>
      </c>
      <c r="F1076" s="13" t="s">
        <v>50</v>
      </c>
      <c r="G1076" s="13" t="s">
        <v>51</v>
      </c>
      <c r="H1076" s="61" t="s">
        <v>52</v>
      </c>
      <c r="I1076" s="16" t="s">
        <v>53</v>
      </c>
      <c r="K1076" s="47">
        <v>18</v>
      </c>
      <c r="L1076" s="17" t="s">
        <v>445</v>
      </c>
      <c r="M1076" s="17" t="s">
        <v>1463</v>
      </c>
      <c r="N1076" s="14" t="s">
        <v>446</v>
      </c>
      <c r="O1076" s="17" t="s">
        <v>86</v>
      </c>
      <c r="P1076" s="17"/>
      <c r="Q1076" s="17"/>
      <c r="R1076" s="17">
        <v>3913.0430000000001</v>
      </c>
      <c r="S1076" s="17"/>
      <c r="T1076" s="17">
        <v>2463.768</v>
      </c>
      <c r="U1076" s="20">
        <f t="shared" si="75"/>
        <v>0.62962967695473826</v>
      </c>
      <c r="V1076" s="41">
        <f t="shared" si="74"/>
        <v>-37.037032304526171</v>
      </c>
      <c r="W1076" s="17"/>
      <c r="X1076" s="17" t="s">
        <v>56</v>
      </c>
      <c r="Z1076" s="17" t="s">
        <v>56</v>
      </c>
      <c r="AA1076" s="17"/>
      <c r="AB1076" s="17" t="s">
        <v>192</v>
      </c>
      <c r="AC1076" s="17">
        <v>1983</v>
      </c>
      <c r="AD1076" s="17">
        <v>33</v>
      </c>
      <c r="AE1076" s="17"/>
      <c r="AF1076" s="17"/>
      <c r="AG1076" s="17">
        <v>1981</v>
      </c>
      <c r="AH1076" s="14">
        <f t="shared" si="72"/>
        <v>2</v>
      </c>
      <c r="AI1076" s="17">
        <f t="shared" si="73"/>
        <v>35</v>
      </c>
      <c r="AJ1076" s="17"/>
      <c r="AK1076" s="17" t="s">
        <v>58</v>
      </c>
      <c r="AL1076" s="16" t="s">
        <v>1634</v>
      </c>
      <c r="AM1076" s="17">
        <v>2018</v>
      </c>
      <c r="AN1076" s="15" t="s">
        <v>1086</v>
      </c>
      <c r="AO1076" s="15" t="s">
        <v>56</v>
      </c>
      <c r="AP1076" s="15"/>
      <c r="AQ1076" s="15" t="s">
        <v>56</v>
      </c>
      <c r="AR1076" s="15" t="s">
        <v>58</v>
      </c>
      <c r="AS1076" s="15" t="s">
        <v>62</v>
      </c>
      <c r="AT1076" s="15"/>
      <c r="AU1076" s="45"/>
      <c r="AV1076" s="15"/>
      <c r="AW1076" s="12" t="str">
        <f>B1076&amp;C1076&amp;L1076&amp;M1076&amp;O1076&amp;U1076&amp;AL1076&amp;AM1076</f>
        <v>New ZealandPoor Knights Islands Marine ReserveEchinoideaurchinsdensity0.629629676954738Schiel2018</v>
      </c>
    </row>
    <row r="1077" spans="1:49" ht="14.25" customHeight="1" x14ac:dyDescent="0.35">
      <c r="A1077" s="12">
        <v>1076</v>
      </c>
      <c r="B1077" s="12" t="s">
        <v>551</v>
      </c>
      <c r="C1077" s="59" t="s">
        <v>2703</v>
      </c>
      <c r="D1077" s="59" t="s">
        <v>2703</v>
      </c>
      <c r="E1077" s="15" t="s">
        <v>916</v>
      </c>
      <c r="F1077" s="16" t="s">
        <v>50</v>
      </c>
      <c r="G1077" s="16" t="s">
        <v>51</v>
      </c>
      <c r="H1077" s="61" t="s">
        <v>52</v>
      </c>
      <c r="I1077" s="16" t="s">
        <v>53</v>
      </c>
      <c r="K1077" s="47">
        <v>18</v>
      </c>
      <c r="L1077" s="17" t="s">
        <v>1645</v>
      </c>
      <c r="M1077" s="17" t="s">
        <v>1646</v>
      </c>
      <c r="N1077" s="17" t="s">
        <v>85</v>
      </c>
      <c r="O1077" s="17" t="s">
        <v>86</v>
      </c>
      <c r="P1077" s="17"/>
      <c r="Q1077" s="17"/>
      <c r="R1077" s="17">
        <v>1.530864</v>
      </c>
      <c r="S1077" s="17"/>
      <c r="T1077" s="17">
        <v>1.3827160000000001</v>
      </c>
      <c r="U1077" s="20">
        <f t="shared" si="75"/>
        <v>0.90322589073882464</v>
      </c>
      <c r="V1077" s="41">
        <f t="shared" si="74"/>
        <v>-9.6774109261175347</v>
      </c>
      <c r="W1077" s="17"/>
      <c r="X1077" s="17" t="s">
        <v>56</v>
      </c>
      <c r="Z1077" s="17" t="s">
        <v>56</v>
      </c>
      <c r="AA1077" s="17"/>
      <c r="AB1077" s="17" t="s">
        <v>192</v>
      </c>
      <c r="AC1077" s="17">
        <v>1983</v>
      </c>
      <c r="AD1077" s="17">
        <v>33</v>
      </c>
      <c r="AE1077" s="17"/>
      <c r="AF1077" s="17"/>
      <c r="AG1077" s="17">
        <v>1981</v>
      </c>
      <c r="AH1077" s="14">
        <f t="shared" si="72"/>
        <v>2</v>
      </c>
      <c r="AI1077" s="17">
        <f t="shared" si="73"/>
        <v>35</v>
      </c>
      <c r="AJ1077" s="17"/>
      <c r="AK1077" s="17" t="s">
        <v>58</v>
      </c>
      <c r="AL1077" s="16" t="s">
        <v>1634</v>
      </c>
      <c r="AM1077" s="17">
        <v>2018</v>
      </c>
      <c r="AN1077" s="15" t="s">
        <v>1086</v>
      </c>
      <c r="AO1077" s="15" t="s">
        <v>56</v>
      </c>
      <c r="AP1077" s="15"/>
      <c r="AQ1077" s="15" t="s">
        <v>56</v>
      </c>
      <c r="AR1077" s="15" t="s">
        <v>58</v>
      </c>
      <c r="AS1077" s="15" t="s">
        <v>62</v>
      </c>
      <c r="AT1077" s="15"/>
      <c r="AU1077" s="45"/>
      <c r="AV1077" s="15"/>
      <c r="AW1077" s="12" t="str">
        <f>B1077&amp;C1077&amp;L1077&amp;M1077&amp;O1077&amp;U1077&amp;AL1077&amp;AM1077</f>
        <v>New ZealandPoor Knights Islands Marine ReservePseudolabrus luculentusorange wrassedensity0.903225890738825Schiel2018</v>
      </c>
    </row>
    <row r="1078" spans="1:49" ht="14.25" customHeight="1" x14ac:dyDescent="0.35">
      <c r="A1078" s="12">
        <v>1077</v>
      </c>
      <c r="B1078" s="12" t="s">
        <v>551</v>
      </c>
      <c r="C1078" s="59" t="s">
        <v>2703</v>
      </c>
      <c r="D1078" s="59" t="s">
        <v>2703</v>
      </c>
      <c r="E1078" s="15" t="s">
        <v>916</v>
      </c>
      <c r="F1078" s="16" t="s">
        <v>50</v>
      </c>
      <c r="G1078" s="16" t="s">
        <v>51</v>
      </c>
      <c r="H1078" s="61" t="s">
        <v>52</v>
      </c>
      <c r="I1078" s="16" t="s">
        <v>53</v>
      </c>
      <c r="J1078" s="17"/>
      <c r="K1078" s="47">
        <v>18</v>
      </c>
      <c r="L1078" s="17" t="s">
        <v>2778</v>
      </c>
      <c r="M1078" s="17"/>
      <c r="N1078" s="14" t="s">
        <v>120</v>
      </c>
      <c r="O1078" s="17" t="s">
        <v>86</v>
      </c>
      <c r="P1078" s="17"/>
      <c r="Q1078" s="17"/>
      <c r="R1078" s="17">
        <v>3.4782609999999998</v>
      </c>
      <c r="S1078" s="17"/>
      <c r="T1078" s="17">
        <v>4.9275359999999999</v>
      </c>
      <c r="U1078" s="20">
        <f t="shared" si="75"/>
        <v>1.4166665468750046</v>
      </c>
      <c r="V1078" s="41">
        <f t="shared" si="74"/>
        <v>41.666654687500461</v>
      </c>
      <c r="W1078" s="17"/>
      <c r="X1078" s="17" t="s">
        <v>56</v>
      </c>
      <c r="Z1078" s="17" t="s">
        <v>56</v>
      </c>
      <c r="AA1078" s="17"/>
      <c r="AB1078" s="17" t="s">
        <v>192</v>
      </c>
      <c r="AC1078" s="17">
        <v>1983</v>
      </c>
      <c r="AD1078" s="17">
        <v>33</v>
      </c>
      <c r="AE1078" s="17"/>
      <c r="AF1078" s="17"/>
      <c r="AG1078" s="17">
        <v>1981</v>
      </c>
      <c r="AH1078" s="14">
        <f t="shared" si="72"/>
        <v>2</v>
      </c>
      <c r="AI1078" s="17">
        <f t="shared" si="73"/>
        <v>35</v>
      </c>
      <c r="AJ1078" s="17"/>
      <c r="AK1078" s="17" t="s">
        <v>58</v>
      </c>
      <c r="AL1078" s="16" t="s">
        <v>1634</v>
      </c>
      <c r="AM1078" s="17">
        <v>2018</v>
      </c>
      <c r="AN1078" s="15" t="s">
        <v>1086</v>
      </c>
      <c r="AO1078" s="15" t="s">
        <v>56</v>
      </c>
      <c r="AP1078" s="15"/>
      <c r="AQ1078" s="15" t="s">
        <v>56</v>
      </c>
      <c r="AR1078" s="15" t="s">
        <v>58</v>
      </c>
      <c r="AS1078" s="15" t="s">
        <v>62</v>
      </c>
      <c r="AT1078" s="15"/>
      <c r="AU1078" s="45"/>
      <c r="AV1078" s="15"/>
      <c r="AW1078" s="12" t="str">
        <f>B1078&amp;C1078&amp;L1078&amp;M1078&amp;O1078&amp;U1078&amp;AL1078&amp;AM1078</f>
        <v>New ZealandPoor Knights Islands Marine ReserveUpeneichthysdensity1.416666546875Schiel2018</v>
      </c>
    </row>
    <row r="1079" spans="1:49" ht="14.25" customHeight="1" x14ac:dyDescent="0.35">
      <c r="A1079" s="12">
        <v>1078</v>
      </c>
      <c r="B1079" s="15" t="s">
        <v>551</v>
      </c>
      <c r="C1079" s="59" t="s">
        <v>2703</v>
      </c>
      <c r="D1079" s="59" t="s">
        <v>2703</v>
      </c>
      <c r="E1079" s="15" t="s">
        <v>916</v>
      </c>
      <c r="F1079" s="13" t="s">
        <v>50</v>
      </c>
      <c r="G1079" s="13" t="s">
        <v>51</v>
      </c>
      <c r="H1079" s="61" t="s">
        <v>52</v>
      </c>
      <c r="I1079" s="16" t="s">
        <v>53</v>
      </c>
      <c r="J1079" s="17"/>
      <c r="K1079" s="47">
        <v>18</v>
      </c>
      <c r="L1079" s="17" t="s">
        <v>1641</v>
      </c>
      <c r="M1079" s="17"/>
      <c r="N1079" s="17" t="s">
        <v>85</v>
      </c>
      <c r="O1079" s="17" t="s">
        <v>86</v>
      </c>
      <c r="P1079" s="17"/>
      <c r="Q1079" s="17"/>
      <c r="R1079" s="17">
        <v>7.536232</v>
      </c>
      <c r="S1079" s="17"/>
      <c r="T1079" s="17">
        <v>17.10145</v>
      </c>
      <c r="U1079" s="20">
        <f t="shared" si="75"/>
        <v>2.2692308304733717</v>
      </c>
      <c r="V1079" s="41">
        <f t="shared" si="74"/>
        <v>126.92308304733717</v>
      </c>
      <c r="W1079" s="17"/>
      <c r="X1079" s="17" t="s">
        <v>56</v>
      </c>
      <c r="Z1079" s="17" t="s">
        <v>56</v>
      </c>
      <c r="AA1079" s="17"/>
      <c r="AB1079" s="17" t="s">
        <v>192</v>
      </c>
      <c r="AC1079" s="17">
        <v>1983</v>
      </c>
      <c r="AD1079" s="17">
        <v>33</v>
      </c>
      <c r="AE1079" s="17"/>
      <c r="AF1079" s="17"/>
      <c r="AG1079" s="17">
        <v>1981</v>
      </c>
      <c r="AH1079" s="14">
        <f t="shared" si="72"/>
        <v>2</v>
      </c>
      <c r="AI1079" s="17">
        <f t="shared" si="73"/>
        <v>35</v>
      </c>
      <c r="AJ1079" s="17"/>
      <c r="AK1079" s="17" t="s">
        <v>58</v>
      </c>
      <c r="AL1079" s="16" t="s">
        <v>1634</v>
      </c>
      <c r="AM1079" s="17">
        <v>2018</v>
      </c>
      <c r="AN1079" s="12" t="s">
        <v>1086</v>
      </c>
      <c r="AO1079" s="15" t="s">
        <v>56</v>
      </c>
      <c r="AP1079" s="15"/>
      <c r="AQ1079" s="15" t="s">
        <v>56</v>
      </c>
      <c r="AR1079" s="15" t="s">
        <v>58</v>
      </c>
      <c r="AS1079" s="15" t="s">
        <v>62</v>
      </c>
      <c r="AT1079" s="15"/>
      <c r="AU1079" s="45"/>
      <c r="AV1079" s="15"/>
      <c r="AW1079" s="12" t="str">
        <f>B1079&amp;C1079&amp;L1079&amp;M1079&amp;O1079&amp;U1079&amp;AL1079&amp;AM1079</f>
        <v>New ZealandPoor Knights Islands Marine ReserveParma alboscapularisdensity2.26923083047337Schiel2018</v>
      </c>
    </row>
    <row r="1080" spans="1:49" ht="14.25" customHeight="1" x14ac:dyDescent="0.35">
      <c r="A1080" s="12">
        <v>1079</v>
      </c>
      <c r="B1080" s="15" t="s">
        <v>551</v>
      </c>
      <c r="C1080" s="59" t="s">
        <v>2703</v>
      </c>
      <c r="D1080" s="59" t="s">
        <v>2703</v>
      </c>
      <c r="E1080" s="15" t="s">
        <v>916</v>
      </c>
      <c r="F1080" s="13" t="s">
        <v>50</v>
      </c>
      <c r="G1080" s="13" t="s">
        <v>51</v>
      </c>
      <c r="H1080" s="61" t="s">
        <v>52</v>
      </c>
      <c r="I1080" s="16" t="s">
        <v>53</v>
      </c>
      <c r="J1080" s="17"/>
      <c r="K1080" s="47">
        <v>18</v>
      </c>
      <c r="L1080" s="17" t="s">
        <v>1647</v>
      </c>
      <c r="M1080" s="17" t="s">
        <v>837</v>
      </c>
      <c r="N1080" s="14" t="s">
        <v>120</v>
      </c>
      <c r="O1080" s="17" t="s">
        <v>86</v>
      </c>
      <c r="P1080" s="17"/>
      <c r="Q1080" s="17"/>
      <c r="R1080" s="17">
        <v>3.4782609999999998</v>
      </c>
      <c r="S1080" s="17"/>
      <c r="T1080" s="17">
        <v>0.86956500000000003</v>
      </c>
      <c r="U1080" s="20">
        <f t="shared" si="75"/>
        <v>0.24999992812500271</v>
      </c>
      <c r="V1080" s="41">
        <f t="shared" si="74"/>
        <v>-75.000007187499733</v>
      </c>
      <c r="W1080" s="17"/>
      <c r="X1080" s="17" t="s">
        <v>56</v>
      </c>
      <c r="Z1080" s="17" t="s">
        <v>56</v>
      </c>
      <c r="AA1080" s="17"/>
      <c r="AB1080" s="17" t="s">
        <v>192</v>
      </c>
      <c r="AC1080" s="17">
        <v>1983</v>
      </c>
      <c r="AD1080" s="17">
        <v>33</v>
      </c>
      <c r="AE1080" s="17"/>
      <c r="AF1080" s="17"/>
      <c r="AG1080" s="17">
        <v>1981</v>
      </c>
      <c r="AH1080" s="14">
        <f t="shared" si="72"/>
        <v>2</v>
      </c>
      <c r="AI1080" s="17">
        <f t="shared" si="73"/>
        <v>35</v>
      </c>
      <c r="AJ1080" s="17"/>
      <c r="AK1080" s="17" t="s">
        <v>58</v>
      </c>
      <c r="AL1080" s="16" t="s">
        <v>1634</v>
      </c>
      <c r="AM1080" s="17">
        <v>2018</v>
      </c>
      <c r="AN1080" s="12" t="s">
        <v>1086</v>
      </c>
      <c r="AO1080" s="15" t="s">
        <v>56</v>
      </c>
      <c r="AP1080" s="15"/>
      <c r="AQ1080" s="15" t="s">
        <v>56</v>
      </c>
      <c r="AR1080" s="15" t="s">
        <v>58</v>
      </c>
      <c r="AS1080" s="15" t="s">
        <v>62</v>
      </c>
      <c r="AT1080" s="15"/>
      <c r="AU1080" s="45"/>
      <c r="AV1080" s="15"/>
      <c r="AW1080" s="12" t="str">
        <f>B1080&amp;C1080&amp;L1080&amp;M1080&amp;O1080&amp;U1080&amp;AL1080&amp;AM1080</f>
        <v>New ZealandPoor Knights Islands Marine ReserveBodianushogfishdensity0.249999928125003Schiel2018</v>
      </c>
    </row>
    <row r="1081" spans="1:49" ht="14.25" customHeight="1" x14ac:dyDescent="0.35">
      <c r="A1081" s="12">
        <v>1080</v>
      </c>
      <c r="B1081" s="15" t="s">
        <v>551</v>
      </c>
      <c r="C1081" s="59" t="s">
        <v>2703</v>
      </c>
      <c r="D1081" s="59" t="s">
        <v>2703</v>
      </c>
      <c r="E1081" s="15" t="s">
        <v>916</v>
      </c>
      <c r="F1081" s="13" t="s">
        <v>50</v>
      </c>
      <c r="G1081" s="13" t="s">
        <v>51</v>
      </c>
      <c r="H1081" s="61" t="s">
        <v>52</v>
      </c>
      <c r="I1081" s="16" t="s">
        <v>53</v>
      </c>
      <c r="J1081" s="17"/>
      <c r="K1081" s="47">
        <v>18</v>
      </c>
      <c r="L1081" s="17" t="s">
        <v>1062</v>
      </c>
      <c r="M1081" s="17" t="s">
        <v>1063</v>
      </c>
      <c r="N1081" s="14" t="s">
        <v>85</v>
      </c>
      <c r="O1081" s="17" t="s">
        <v>86</v>
      </c>
      <c r="P1081" s="17"/>
      <c r="Q1081" s="17"/>
      <c r="R1081" s="17">
        <v>0.21621599999999999</v>
      </c>
      <c r="S1081" s="17"/>
      <c r="T1081" s="17">
        <v>5.045045</v>
      </c>
      <c r="U1081" s="20">
        <f t="shared" si="75"/>
        <v>23.333356458356459</v>
      </c>
      <c r="V1081" s="41">
        <f t="shared" si="74"/>
        <v>2233.3356458356457</v>
      </c>
      <c r="W1081" s="17"/>
      <c r="X1081" s="17" t="s">
        <v>56</v>
      </c>
      <c r="Z1081" s="17" t="s">
        <v>56</v>
      </c>
      <c r="AA1081" s="17"/>
      <c r="AB1081" s="17" t="s">
        <v>192</v>
      </c>
      <c r="AC1081" s="17">
        <v>1983</v>
      </c>
      <c r="AD1081" s="17">
        <v>33</v>
      </c>
      <c r="AE1081" s="17"/>
      <c r="AF1081" s="17"/>
      <c r="AG1081" s="17">
        <v>1981</v>
      </c>
      <c r="AH1081" s="14">
        <f t="shared" si="72"/>
        <v>2</v>
      </c>
      <c r="AI1081" s="17">
        <f t="shared" si="73"/>
        <v>35</v>
      </c>
      <c r="AJ1081" s="17"/>
      <c r="AK1081" s="17" t="s">
        <v>58</v>
      </c>
      <c r="AL1081" s="16" t="s">
        <v>1634</v>
      </c>
      <c r="AM1081" s="17">
        <v>2018</v>
      </c>
      <c r="AN1081" s="12" t="s">
        <v>1086</v>
      </c>
      <c r="AO1081" s="15" t="s">
        <v>56</v>
      </c>
      <c r="AP1081" s="15"/>
      <c r="AQ1081" s="15" t="s">
        <v>56</v>
      </c>
      <c r="AR1081" s="15" t="s">
        <v>58</v>
      </c>
      <c r="AS1081" s="15" t="s">
        <v>62</v>
      </c>
      <c r="AT1081" s="15"/>
      <c r="AU1081" s="45"/>
      <c r="AV1081" s="15"/>
      <c r="AW1081" s="12" t="str">
        <f>B1081&amp;C1081&amp;L1081&amp;M1081&amp;O1081&amp;U1081&amp;AL1081&amp;AM1081</f>
        <v>New ZealandPoor Knights Islands Marine ReserveCheilodactylus spectabilisred mokidensity23.3333564583565Schiel2018</v>
      </c>
    </row>
    <row r="1082" spans="1:49" ht="14.25" customHeight="1" x14ac:dyDescent="0.35">
      <c r="A1082" s="12">
        <v>1081</v>
      </c>
      <c r="B1082" s="12" t="s">
        <v>551</v>
      </c>
      <c r="C1082" s="50" t="s">
        <v>2703</v>
      </c>
      <c r="D1082" s="50" t="s">
        <v>2703</v>
      </c>
      <c r="E1082" s="12" t="s">
        <v>916</v>
      </c>
      <c r="F1082" s="13" t="s">
        <v>50</v>
      </c>
      <c r="G1082" s="13" t="s">
        <v>51</v>
      </c>
      <c r="H1082" s="62" t="s">
        <v>52</v>
      </c>
      <c r="I1082" s="13" t="s">
        <v>53</v>
      </c>
      <c r="K1082" s="18">
        <v>18</v>
      </c>
      <c r="L1082" s="14" t="s">
        <v>881</v>
      </c>
      <c r="M1082" s="14" t="s">
        <v>882</v>
      </c>
      <c r="N1082" s="14" t="s">
        <v>85</v>
      </c>
      <c r="O1082" s="17" t="s">
        <v>86</v>
      </c>
      <c r="P1082" s="14"/>
      <c r="Q1082" s="14"/>
      <c r="R1082" s="14">
        <v>0.64864900000000003</v>
      </c>
      <c r="S1082" s="14"/>
      <c r="T1082" s="14">
        <v>0.50450499999999998</v>
      </c>
      <c r="U1082" s="19">
        <f t="shared" si="75"/>
        <v>0.77777812037018468</v>
      </c>
      <c r="V1082" s="41">
        <f t="shared" si="74"/>
        <v>-22.222187962981533</v>
      </c>
      <c r="W1082" s="14"/>
      <c r="X1082" s="14" t="s">
        <v>56</v>
      </c>
      <c r="Z1082" s="14" t="s">
        <v>56</v>
      </c>
      <c r="AA1082" s="14"/>
      <c r="AB1082" s="14" t="s">
        <v>192</v>
      </c>
      <c r="AC1082" s="14">
        <v>1983</v>
      </c>
      <c r="AD1082" s="14">
        <v>33</v>
      </c>
      <c r="AE1082" s="14"/>
      <c r="AF1082" s="14"/>
      <c r="AG1082" s="14">
        <v>1981</v>
      </c>
      <c r="AH1082" s="14">
        <f t="shared" si="72"/>
        <v>2</v>
      </c>
      <c r="AI1082" s="17">
        <f t="shared" si="73"/>
        <v>35</v>
      </c>
      <c r="AJ1082" s="14"/>
      <c r="AK1082" s="14" t="s">
        <v>58</v>
      </c>
      <c r="AL1082" s="13" t="s">
        <v>1634</v>
      </c>
      <c r="AM1082" s="14">
        <v>2018</v>
      </c>
      <c r="AN1082" s="12" t="s">
        <v>1086</v>
      </c>
      <c r="AO1082" s="12" t="s">
        <v>56</v>
      </c>
      <c r="AP1082" s="12"/>
      <c r="AQ1082" s="12" t="s">
        <v>56</v>
      </c>
      <c r="AR1082" s="12" t="s">
        <v>58</v>
      </c>
      <c r="AS1082" s="12" t="s">
        <v>62</v>
      </c>
      <c r="AT1082" s="12"/>
      <c r="AU1082" s="45"/>
      <c r="AV1082" s="15"/>
      <c r="AW1082" s="12" t="str">
        <f>B1082&amp;C1082&amp;L1082&amp;M1082&amp;O1082&amp;U1082&amp;AL1082&amp;AM1082</f>
        <v>New ZealandPoor Knights Islands Marine ReserveNotolabrus fucicolabanded parrotfishdensity0.777778120370185Schiel2018</v>
      </c>
    </row>
    <row r="1083" spans="1:49" ht="14.25" customHeight="1" x14ac:dyDescent="0.35">
      <c r="A1083" s="12">
        <v>1082</v>
      </c>
      <c r="B1083" s="12" t="s">
        <v>551</v>
      </c>
      <c r="C1083" s="50" t="s">
        <v>2703</v>
      </c>
      <c r="D1083" s="59" t="s">
        <v>2703</v>
      </c>
      <c r="E1083" s="12" t="s">
        <v>916</v>
      </c>
      <c r="F1083" s="13" t="s">
        <v>50</v>
      </c>
      <c r="G1083" s="13" t="s">
        <v>51</v>
      </c>
      <c r="H1083" s="62" t="s">
        <v>52</v>
      </c>
      <c r="I1083" s="13" t="s">
        <v>53</v>
      </c>
      <c r="K1083" s="18">
        <v>18</v>
      </c>
      <c r="L1083" s="14" t="s">
        <v>1060</v>
      </c>
      <c r="M1083" s="14"/>
      <c r="N1083" s="14" t="s">
        <v>85</v>
      </c>
      <c r="O1083" s="17" t="s">
        <v>86</v>
      </c>
      <c r="P1083" s="14"/>
      <c r="Q1083" s="14"/>
      <c r="R1083" s="14"/>
      <c r="S1083" s="14"/>
      <c r="T1083" s="14"/>
      <c r="U1083" s="19">
        <v>1.19</v>
      </c>
      <c r="V1083" s="41">
        <f t="shared" si="74"/>
        <v>18.999999999999993</v>
      </c>
      <c r="W1083" s="14"/>
      <c r="X1083" s="14" t="s">
        <v>56</v>
      </c>
      <c r="Z1083" s="14" t="s">
        <v>56</v>
      </c>
      <c r="AA1083" s="14"/>
      <c r="AB1083" s="14" t="s">
        <v>192</v>
      </c>
      <c r="AC1083" s="14">
        <v>1983</v>
      </c>
      <c r="AD1083" s="14">
        <v>33</v>
      </c>
      <c r="AE1083" s="14"/>
      <c r="AF1083" s="14"/>
      <c r="AG1083" s="14">
        <v>1981</v>
      </c>
      <c r="AH1083" s="14">
        <f t="shared" si="72"/>
        <v>2</v>
      </c>
      <c r="AI1083" s="17">
        <f t="shared" si="73"/>
        <v>35</v>
      </c>
      <c r="AJ1083" s="14"/>
      <c r="AK1083" s="14" t="s">
        <v>58</v>
      </c>
      <c r="AL1083" s="13" t="s">
        <v>1634</v>
      </c>
      <c r="AM1083" s="14">
        <v>2018</v>
      </c>
      <c r="AN1083" s="12" t="s">
        <v>1086</v>
      </c>
      <c r="AO1083" s="12" t="s">
        <v>56</v>
      </c>
      <c r="AP1083" s="12"/>
      <c r="AQ1083" s="12" t="s">
        <v>56</v>
      </c>
      <c r="AR1083" s="12" t="s">
        <v>58</v>
      </c>
      <c r="AS1083" s="12" t="s">
        <v>62</v>
      </c>
      <c r="AT1083" s="12"/>
      <c r="AU1083" s="45"/>
      <c r="AV1083" s="15"/>
      <c r="AW1083" s="12" t="str">
        <f>B1083&amp;C1083&amp;L1083&amp;M1083&amp;O1083&amp;U1083&amp;AL1083&amp;AM1083</f>
        <v>New ZealandPoor Knights Islands Marine ReserveOdax pullusdensity1.19Schiel2018</v>
      </c>
    </row>
    <row r="1084" spans="1:49" ht="14.25" customHeight="1" x14ac:dyDescent="0.35">
      <c r="A1084" s="12">
        <v>1083</v>
      </c>
      <c r="B1084" s="12" t="s">
        <v>551</v>
      </c>
      <c r="C1084" s="50" t="s">
        <v>2703</v>
      </c>
      <c r="D1084" s="59" t="s">
        <v>2703</v>
      </c>
      <c r="E1084" s="12" t="s">
        <v>916</v>
      </c>
      <c r="F1084" s="13" t="s">
        <v>50</v>
      </c>
      <c r="G1084" s="13" t="s">
        <v>51</v>
      </c>
      <c r="H1084" s="62" t="s">
        <v>52</v>
      </c>
      <c r="I1084" s="13" t="s">
        <v>53</v>
      </c>
      <c r="K1084" s="47">
        <v>18</v>
      </c>
      <c r="L1084" s="14" t="s">
        <v>1648</v>
      </c>
      <c r="M1084" s="14"/>
      <c r="N1084" s="14" t="s">
        <v>85</v>
      </c>
      <c r="O1084" s="17" t="s">
        <v>86</v>
      </c>
      <c r="P1084" s="14"/>
      <c r="Q1084" s="14"/>
      <c r="R1084" s="14"/>
      <c r="S1084" s="14"/>
      <c r="T1084" s="14"/>
      <c r="U1084" s="19">
        <v>0.84</v>
      </c>
      <c r="V1084" s="41">
        <f t="shared" si="74"/>
        <v>-16.000000000000004</v>
      </c>
      <c r="W1084" s="14"/>
      <c r="X1084" s="14" t="s">
        <v>56</v>
      </c>
      <c r="Z1084" s="14" t="s">
        <v>56</v>
      </c>
      <c r="AA1084" s="14"/>
      <c r="AB1084" s="14" t="s">
        <v>192</v>
      </c>
      <c r="AC1084" s="14">
        <v>1983</v>
      </c>
      <c r="AD1084" s="14">
        <v>33</v>
      </c>
      <c r="AE1084" s="14"/>
      <c r="AF1084" s="14"/>
      <c r="AG1084" s="14">
        <v>1981</v>
      </c>
      <c r="AH1084" s="14">
        <f t="shared" si="72"/>
        <v>2</v>
      </c>
      <c r="AI1084" s="17">
        <f t="shared" si="73"/>
        <v>35</v>
      </c>
      <c r="AJ1084" s="14"/>
      <c r="AK1084" s="14" t="s">
        <v>58</v>
      </c>
      <c r="AL1084" s="13" t="s">
        <v>1634</v>
      </c>
      <c r="AM1084" s="14">
        <v>2018</v>
      </c>
      <c r="AN1084" s="12" t="s">
        <v>1086</v>
      </c>
      <c r="AO1084" s="12" t="s">
        <v>56</v>
      </c>
      <c r="AP1084" s="12"/>
      <c r="AQ1084" s="12" t="s">
        <v>56</v>
      </c>
      <c r="AR1084" s="12" t="s">
        <v>58</v>
      </c>
      <c r="AS1084" s="12" t="s">
        <v>62</v>
      </c>
      <c r="AT1084" s="12"/>
      <c r="AU1084" s="45"/>
      <c r="AV1084" s="15"/>
      <c r="AW1084" s="12" t="str">
        <f>B1084&amp;C1084&amp;L1084&amp;M1084&amp;O1084&amp;U1084&amp;AL1084&amp;AM1084</f>
        <v>New ZealandPoor Knights Islands Marine ReserveNemadactylus douglasiidensity0.84Schiel2018</v>
      </c>
    </row>
    <row r="1085" spans="1:49" ht="14.25" customHeight="1" x14ac:dyDescent="0.35">
      <c r="A1085" s="12">
        <v>1084</v>
      </c>
      <c r="B1085" s="12" t="s">
        <v>551</v>
      </c>
      <c r="C1085" s="50" t="s">
        <v>2703</v>
      </c>
      <c r="D1085" s="59" t="s">
        <v>2703</v>
      </c>
      <c r="E1085" s="12" t="s">
        <v>916</v>
      </c>
      <c r="F1085" s="13" t="s">
        <v>50</v>
      </c>
      <c r="G1085" s="13" t="s">
        <v>51</v>
      </c>
      <c r="H1085" s="62" t="s">
        <v>52</v>
      </c>
      <c r="I1085" s="13" t="s">
        <v>53</v>
      </c>
      <c r="K1085" s="47">
        <v>18</v>
      </c>
      <c r="L1085" s="14" t="s">
        <v>1649</v>
      </c>
      <c r="M1085" s="14"/>
      <c r="N1085" s="14" t="s">
        <v>85</v>
      </c>
      <c r="O1085" s="17" t="s">
        <v>86</v>
      </c>
      <c r="P1085" s="14"/>
      <c r="Q1085" s="14"/>
      <c r="R1085" s="14"/>
      <c r="S1085" s="14"/>
      <c r="T1085" s="14"/>
      <c r="U1085" s="19">
        <v>0.68</v>
      </c>
      <c r="V1085" s="41">
        <f t="shared" si="74"/>
        <v>-31.999999999999996</v>
      </c>
      <c r="W1085" s="14"/>
      <c r="X1085" s="14" t="s">
        <v>56</v>
      </c>
      <c r="Z1085" s="14" t="s">
        <v>56</v>
      </c>
      <c r="AA1085" s="14"/>
      <c r="AB1085" s="14" t="s">
        <v>192</v>
      </c>
      <c r="AC1085" s="14">
        <v>1983</v>
      </c>
      <c r="AD1085" s="14">
        <v>33</v>
      </c>
      <c r="AE1085" s="14"/>
      <c r="AF1085" s="14"/>
      <c r="AG1085" s="14">
        <v>1981</v>
      </c>
      <c r="AH1085" s="14">
        <f t="shared" si="72"/>
        <v>2</v>
      </c>
      <c r="AI1085" s="17">
        <f t="shared" si="73"/>
        <v>35</v>
      </c>
      <c r="AJ1085" s="14"/>
      <c r="AK1085" s="14" t="s">
        <v>58</v>
      </c>
      <c r="AL1085" s="13" t="s">
        <v>1634</v>
      </c>
      <c r="AM1085" s="14">
        <v>2018</v>
      </c>
      <c r="AN1085" s="12" t="s">
        <v>1086</v>
      </c>
      <c r="AO1085" s="12" t="s">
        <v>56</v>
      </c>
      <c r="AP1085" s="12"/>
      <c r="AQ1085" s="12" t="s">
        <v>56</v>
      </c>
      <c r="AR1085" s="12" t="s">
        <v>58</v>
      </c>
      <c r="AS1085" s="12" t="s">
        <v>62</v>
      </c>
      <c r="AT1085" s="12"/>
      <c r="AU1085" s="45"/>
      <c r="AV1085" s="15"/>
      <c r="AW1085" s="12" t="str">
        <f>B1085&amp;C1085&amp;L1085&amp;M1085&amp;O1085&amp;U1085&amp;AL1085&amp;AM1085</f>
        <v>New ZealandPoor Knights Islands Marine ReserveNotolabrus inscriptusdensity0.68Schiel2018</v>
      </c>
    </row>
    <row r="1086" spans="1:49" ht="14.25" customHeight="1" x14ac:dyDescent="0.35">
      <c r="A1086" s="12">
        <v>1085</v>
      </c>
      <c r="B1086" s="12" t="s">
        <v>551</v>
      </c>
      <c r="C1086" s="50" t="s">
        <v>2703</v>
      </c>
      <c r="D1086" s="50" t="s">
        <v>2703</v>
      </c>
      <c r="E1086" s="12" t="s">
        <v>916</v>
      </c>
      <c r="F1086" s="13" t="s">
        <v>50</v>
      </c>
      <c r="G1086" s="13" t="s">
        <v>51</v>
      </c>
      <c r="H1086" s="62" t="s">
        <v>52</v>
      </c>
      <c r="I1086" s="13" t="s">
        <v>53</v>
      </c>
      <c r="K1086" s="18">
        <v>18</v>
      </c>
      <c r="L1086" s="14" t="s">
        <v>1064</v>
      </c>
      <c r="M1086" s="14"/>
      <c r="N1086" s="14" t="s">
        <v>85</v>
      </c>
      <c r="O1086" s="17" t="s">
        <v>86</v>
      </c>
      <c r="P1086" s="14"/>
      <c r="Q1086" s="14"/>
      <c r="R1086" s="14"/>
      <c r="S1086" s="14"/>
      <c r="T1086" s="14"/>
      <c r="U1086" s="19">
        <v>0.61</v>
      </c>
      <c r="V1086" s="41">
        <f t="shared" si="74"/>
        <v>-39</v>
      </c>
      <c r="W1086" s="14"/>
      <c r="X1086" s="14" t="s">
        <v>56</v>
      </c>
      <c r="Z1086" s="14" t="s">
        <v>56</v>
      </c>
      <c r="AA1086" s="14"/>
      <c r="AB1086" s="14" t="s">
        <v>192</v>
      </c>
      <c r="AC1086" s="14">
        <v>1983</v>
      </c>
      <c r="AD1086" s="14">
        <v>33</v>
      </c>
      <c r="AE1086" s="14"/>
      <c r="AF1086" s="14"/>
      <c r="AG1086" s="14">
        <v>1981</v>
      </c>
      <c r="AH1086" s="14">
        <f t="shared" si="72"/>
        <v>2</v>
      </c>
      <c r="AI1086" s="17">
        <f t="shared" si="73"/>
        <v>35</v>
      </c>
      <c r="AJ1086" s="14"/>
      <c r="AK1086" s="14" t="s">
        <v>58</v>
      </c>
      <c r="AL1086" s="13" t="s">
        <v>1634</v>
      </c>
      <c r="AM1086" s="14">
        <v>2018</v>
      </c>
      <c r="AN1086" s="12" t="s">
        <v>1086</v>
      </c>
      <c r="AO1086" s="12" t="s">
        <v>56</v>
      </c>
      <c r="AP1086" s="12"/>
      <c r="AQ1086" s="12" t="s">
        <v>56</v>
      </c>
      <c r="AR1086" s="12" t="s">
        <v>58</v>
      </c>
      <c r="AS1086" s="12" t="s">
        <v>62</v>
      </c>
      <c r="AT1086" s="12"/>
      <c r="AU1086" s="45"/>
      <c r="AV1086" s="15"/>
      <c r="AW1086" s="12" t="str">
        <f>B1086&amp;C1086&amp;L1086&amp;M1086&amp;O1086&amp;U1086&amp;AL1086&amp;AM1086</f>
        <v>New ZealandPoor Knights Islands Marine ReservePseudolabrus milesdensity0.61Schiel2018</v>
      </c>
    </row>
    <row r="1087" spans="1:49" ht="14.25" customHeight="1" x14ac:dyDescent="0.35">
      <c r="A1087" s="12">
        <v>1086</v>
      </c>
      <c r="B1087" s="12" t="s">
        <v>1107</v>
      </c>
      <c r="C1087" s="12" t="s">
        <v>1144</v>
      </c>
      <c r="D1087" s="12" t="s">
        <v>2637</v>
      </c>
      <c r="E1087" s="12" t="s">
        <v>730</v>
      </c>
      <c r="F1087" s="13" t="s">
        <v>50</v>
      </c>
      <c r="G1087" s="13" t="s">
        <v>51</v>
      </c>
      <c r="H1087" s="13" t="s">
        <v>108</v>
      </c>
      <c r="I1087" s="13" t="s">
        <v>53</v>
      </c>
      <c r="J1087" s="14">
        <v>37.19</v>
      </c>
      <c r="K1087" s="14"/>
      <c r="L1087" s="14"/>
      <c r="M1087" s="14" t="s">
        <v>1145</v>
      </c>
      <c r="N1087" s="14" t="s">
        <v>407</v>
      </c>
      <c r="O1087" s="17" t="s">
        <v>70</v>
      </c>
      <c r="P1087" s="14"/>
      <c r="Q1087" s="14"/>
      <c r="R1087" s="14"/>
      <c r="S1087" s="14">
        <v>0.69843599999999995</v>
      </c>
      <c r="T1087" s="14">
        <v>26.141439999999999</v>
      </c>
      <c r="U1087" s="19">
        <f t="shared" ref="U1087:U1150" si="76">IFERROR(IF(AND(Q1087="",R1087="",S1087="",T1087=""),"",IF(AND(Q1087&lt;&gt;"",R1087&lt;&gt;"",S1087&lt;&gt;"",T1087&lt;&gt;""),(T1087/R1087)/(S1087/Q1087),IF(AND(Q1087&lt;&gt;"",R1087&lt;&gt;""),R1087/Q1087,IF(AND(S1087&lt;&gt;"",T1087&lt;&gt;""),T1087/S1087,IF(AND(Q1087&lt;&gt;"",S1087&lt;&gt;""),Q1087/S1087,IF(AND(R1087&lt;&gt;"",T1087&lt;&gt;""),T1087/R1087)))))), "N/A")</f>
        <v>37.428540338699612</v>
      </c>
      <c r="V1087" s="41">
        <f t="shared" si="74"/>
        <v>3642.8540338699613</v>
      </c>
      <c r="W1087" s="14"/>
      <c r="X1087" s="14" t="s">
        <v>56</v>
      </c>
      <c r="Z1087" s="14" t="s">
        <v>58</v>
      </c>
      <c r="AA1087" s="14"/>
      <c r="AB1087" s="14" t="s">
        <v>57</v>
      </c>
      <c r="AC1087" s="14">
        <v>2008</v>
      </c>
      <c r="AD1087" s="14">
        <v>1</v>
      </c>
      <c r="AE1087" s="14"/>
      <c r="AF1087" s="14"/>
      <c r="AG1087" s="14">
        <v>2001</v>
      </c>
      <c r="AH1087" s="14">
        <f t="shared" si="72"/>
        <v>7</v>
      </c>
      <c r="AI1087" s="17">
        <f t="shared" si="73"/>
        <v>8</v>
      </c>
      <c r="AJ1087" s="14"/>
      <c r="AK1087" s="14" t="s">
        <v>56</v>
      </c>
      <c r="AL1087" s="13" t="s">
        <v>1146</v>
      </c>
      <c r="AM1087" s="14">
        <v>2013</v>
      </c>
      <c r="AN1087" s="12" t="s">
        <v>1147</v>
      </c>
      <c r="AO1087" s="12" t="s">
        <v>56</v>
      </c>
      <c r="AP1087" s="12"/>
      <c r="AQ1087" s="12" t="s">
        <v>56</v>
      </c>
      <c r="AR1087" s="12" t="s">
        <v>58</v>
      </c>
      <c r="AS1087" s="12" t="s">
        <v>62</v>
      </c>
      <c r="AT1087" s="12"/>
      <c r="AU1087" s="45"/>
      <c r="AV1087" s="15"/>
      <c r="AW1087" s="12" t="str">
        <f>B1087&amp;C1087&amp;L1087&amp;M1087&amp;O1087&amp;U1087&amp;AL1087&amp;AM1087</f>
        <v>Canary IslandsLa Palma marine reserveapex predatorsbiomassden37.4285403386996Sangil2013</v>
      </c>
    </row>
    <row r="1088" spans="1:49" ht="14.25" customHeight="1" x14ac:dyDescent="0.35">
      <c r="A1088" s="12">
        <v>1087</v>
      </c>
      <c r="B1088" s="12" t="s">
        <v>1107</v>
      </c>
      <c r="C1088" s="12" t="s">
        <v>1144</v>
      </c>
      <c r="D1088" s="12" t="s">
        <v>2637</v>
      </c>
      <c r="E1088" s="12" t="s">
        <v>730</v>
      </c>
      <c r="F1088" s="13" t="s">
        <v>50</v>
      </c>
      <c r="G1088" s="13" t="s">
        <v>51</v>
      </c>
      <c r="H1088" s="13" t="s">
        <v>108</v>
      </c>
      <c r="I1088" s="13" t="s">
        <v>53</v>
      </c>
      <c r="J1088" s="14">
        <v>37.19</v>
      </c>
      <c r="K1088" s="14"/>
      <c r="L1088" s="14"/>
      <c r="M1088" s="14" t="s">
        <v>505</v>
      </c>
      <c r="N1088" s="14" t="s">
        <v>407</v>
      </c>
      <c r="O1088" s="17" t="s">
        <v>70</v>
      </c>
      <c r="P1088" s="14"/>
      <c r="Q1088" s="14"/>
      <c r="R1088" s="14"/>
      <c r="S1088" s="14">
        <v>0.99776500000000001</v>
      </c>
      <c r="T1088" s="14">
        <v>29.683509999999998</v>
      </c>
      <c r="U1088" s="19">
        <f t="shared" si="76"/>
        <v>29.750001252800004</v>
      </c>
      <c r="V1088" s="41">
        <f t="shared" si="74"/>
        <v>2875.0001252800002</v>
      </c>
      <c r="W1088" s="14"/>
      <c r="X1088" s="14" t="s">
        <v>56</v>
      </c>
      <c r="Z1088" s="14" t="s">
        <v>58</v>
      </c>
      <c r="AA1088" s="14"/>
      <c r="AB1088" s="14" t="s">
        <v>57</v>
      </c>
      <c r="AC1088" s="14">
        <v>2008</v>
      </c>
      <c r="AD1088" s="14">
        <v>1</v>
      </c>
      <c r="AE1088" s="14"/>
      <c r="AF1088" s="14"/>
      <c r="AG1088" s="14">
        <v>2001</v>
      </c>
      <c r="AH1088" s="14">
        <f t="shared" ref="AH1088:AH1151" si="77">IF(OR(AG1088="NA",AC1088="NA"),"NA",IF(OR(AC1088="",AG1088=""), "", AC1088-AG1088))</f>
        <v>7</v>
      </c>
      <c r="AI1088" s="17">
        <f t="shared" ref="AI1088:AI1151" si="78">IF(AH1088="NA", "NA",IF(OR(AH1088="",AND(AD1088="",AE1088="")), "",AH1088+AD1088+AE1088/12))</f>
        <v>8</v>
      </c>
      <c r="AJ1088" s="14"/>
      <c r="AK1088" s="14" t="s">
        <v>56</v>
      </c>
      <c r="AL1088" s="13" t="s">
        <v>1146</v>
      </c>
      <c r="AM1088" s="14">
        <v>2013</v>
      </c>
      <c r="AN1088" s="12" t="s">
        <v>1147</v>
      </c>
      <c r="AO1088" s="12" t="s">
        <v>56</v>
      </c>
      <c r="AP1088" s="12"/>
      <c r="AQ1088" s="12" t="s">
        <v>56</v>
      </c>
      <c r="AR1088" s="12" t="s">
        <v>58</v>
      </c>
      <c r="AS1088" s="12" t="s">
        <v>62</v>
      </c>
      <c r="AT1088" s="12"/>
      <c r="AU1088" s="45"/>
      <c r="AV1088" s="15"/>
      <c r="AW1088" s="12" t="str">
        <f>B1088&amp;C1088&amp;L1088&amp;M1088&amp;O1088&amp;U1088&amp;AL1088&amp;AM1088</f>
        <v>Canary IslandsLa Palma marine reservecarnivoresbiomassden29.7500012528Sangil2013</v>
      </c>
    </row>
    <row r="1089" spans="1:49" ht="14.25" customHeight="1" x14ac:dyDescent="0.35">
      <c r="A1089" s="12">
        <v>1088</v>
      </c>
      <c r="B1089" s="12" t="s">
        <v>1107</v>
      </c>
      <c r="C1089" s="12" t="s">
        <v>1144</v>
      </c>
      <c r="D1089" s="12" t="s">
        <v>2637</v>
      </c>
      <c r="E1089" s="12" t="s">
        <v>730</v>
      </c>
      <c r="F1089" s="13" t="s">
        <v>50</v>
      </c>
      <c r="G1089" s="13" t="s">
        <v>51</v>
      </c>
      <c r="H1089" s="13" t="s">
        <v>108</v>
      </c>
      <c r="I1089" s="13" t="s">
        <v>53</v>
      </c>
      <c r="J1089" s="14">
        <v>37.19</v>
      </c>
      <c r="K1089" s="14"/>
      <c r="L1089" s="14"/>
      <c r="M1089" s="14" t="s">
        <v>1148</v>
      </c>
      <c r="N1089" s="14" t="s">
        <v>407</v>
      </c>
      <c r="O1089" s="17" t="s">
        <v>70</v>
      </c>
      <c r="P1089" s="14"/>
      <c r="Q1089" s="14"/>
      <c r="R1089" s="14"/>
      <c r="S1089" s="14">
        <v>7.5830140000000004</v>
      </c>
      <c r="T1089" s="14">
        <v>28.08708</v>
      </c>
      <c r="U1089" s="19">
        <f t="shared" si="76"/>
        <v>3.7039467420210483</v>
      </c>
      <c r="V1089" s="41">
        <f t="shared" si="74"/>
        <v>270.39467420210485</v>
      </c>
      <c r="W1089" s="14"/>
      <c r="X1089" s="14" t="s">
        <v>56</v>
      </c>
      <c r="Z1089" s="14" t="s">
        <v>58</v>
      </c>
      <c r="AA1089" s="14"/>
      <c r="AB1089" s="14" t="s">
        <v>57</v>
      </c>
      <c r="AC1089" s="14">
        <v>2008</v>
      </c>
      <c r="AD1089" s="14">
        <v>1</v>
      </c>
      <c r="AE1089" s="14"/>
      <c r="AF1089" s="14"/>
      <c r="AG1089" s="14">
        <v>2001</v>
      </c>
      <c r="AH1089" s="14">
        <f t="shared" si="77"/>
        <v>7</v>
      </c>
      <c r="AI1089" s="17">
        <f t="shared" si="78"/>
        <v>8</v>
      </c>
      <c r="AJ1089" s="14"/>
      <c r="AK1089" s="14" t="s">
        <v>56</v>
      </c>
      <c r="AL1089" s="13" t="s">
        <v>1146</v>
      </c>
      <c r="AM1089" s="14">
        <v>2013</v>
      </c>
      <c r="AN1089" s="12" t="s">
        <v>1147</v>
      </c>
      <c r="AO1089" s="12" t="s">
        <v>56</v>
      </c>
      <c r="AP1089" s="12"/>
      <c r="AQ1089" s="12" t="s">
        <v>56</v>
      </c>
      <c r="AR1089" s="12" t="s">
        <v>58</v>
      </c>
      <c r="AS1089" s="12" t="s">
        <v>62</v>
      </c>
      <c r="AT1089" s="12"/>
      <c r="AU1089" s="45"/>
      <c r="AV1089" s="15"/>
      <c r="AW1089" s="12" t="str">
        <f>B1089&amp;C1089&amp;L1089&amp;M1089&amp;O1089&amp;U1089&amp;AL1089&amp;AM1089</f>
        <v>Canary IslandsLa Palma marine reserveomnivoresbiomassden3.70394674202105Sangil2013</v>
      </c>
    </row>
    <row r="1090" spans="1:49" ht="14.25" customHeight="1" x14ac:dyDescent="0.35">
      <c r="A1090" s="12">
        <v>1089</v>
      </c>
      <c r="B1090" s="12" t="s">
        <v>1107</v>
      </c>
      <c r="C1090" s="12" t="s">
        <v>1144</v>
      </c>
      <c r="D1090" s="12" t="s">
        <v>2637</v>
      </c>
      <c r="E1090" s="12" t="s">
        <v>730</v>
      </c>
      <c r="F1090" s="13" t="s">
        <v>50</v>
      </c>
      <c r="G1090" s="13" t="s">
        <v>51</v>
      </c>
      <c r="H1090" s="13" t="s">
        <v>108</v>
      </c>
      <c r="I1090" s="13" t="s">
        <v>53</v>
      </c>
      <c r="J1090" s="14">
        <v>37.19</v>
      </c>
      <c r="K1090" s="14"/>
      <c r="L1090" s="14"/>
      <c r="M1090" s="14" t="s">
        <v>503</v>
      </c>
      <c r="N1090" s="14" t="s">
        <v>407</v>
      </c>
      <c r="O1090" s="14" t="s">
        <v>70</v>
      </c>
      <c r="P1090" s="14"/>
      <c r="Q1090" s="14"/>
      <c r="R1090" s="14"/>
      <c r="S1090" s="14">
        <v>1.4527460000000001</v>
      </c>
      <c r="T1090" s="14">
        <v>3.6478290000000002</v>
      </c>
      <c r="U1090" s="19">
        <f t="shared" si="76"/>
        <v>2.510988844574344</v>
      </c>
      <c r="V1090" s="41">
        <f t="shared" ref="V1090:V1153" si="79">IFERROR(IF(U1090 = "", "",(U1090-1)*100),"N/A")</f>
        <v>151.09888445743439</v>
      </c>
      <c r="W1090" s="14"/>
      <c r="X1090" s="14" t="s">
        <v>56</v>
      </c>
      <c r="Z1090" s="14" t="s">
        <v>58</v>
      </c>
      <c r="AA1090" s="14"/>
      <c r="AB1090" s="14" t="s">
        <v>57</v>
      </c>
      <c r="AC1090" s="14">
        <v>2008</v>
      </c>
      <c r="AD1090" s="14">
        <v>1</v>
      </c>
      <c r="AE1090" s="14"/>
      <c r="AF1090" s="14"/>
      <c r="AG1090" s="14">
        <v>2001</v>
      </c>
      <c r="AH1090" s="14">
        <f t="shared" si="77"/>
        <v>7</v>
      </c>
      <c r="AI1090" s="17">
        <f t="shared" si="78"/>
        <v>8</v>
      </c>
      <c r="AJ1090" s="14"/>
      <c r="AK1090" s="14" t="s">
        <v>56</v>
      </c>
      <c r="AL1090" s="13" t="s">
        <v>1146</v>
      </c>
      <c r="AM1090" s="14">
        <v>2013</v>
      </c>
      <c r="AN1090" s="12" t="s">
        <v>1147</v>
      </c>
      <c r="AO1090" s="12" t="s">
        <v>56</v>
      </c>
      <c r="AP1090" s="12"/>
      <c r="AQ1090" s="12" t="s">
        <v>56</v>
      </c>
      <c r="AR1090" s="12" t="s">
        <v>58</v>
      </c>
      <c r="AS1090" s="12" t="s">
        <v>62</v>
      </c>
      <c r="AT1090" s="12"/>
      <c r="AU1090" s="45"/>
      <c r="AV1090" s="15"/>
      <c r="AW1090" s="12" t="str">
        <f>B1090&amp;C1090&amp;L1090&amp;M1090&amp;O1090&amp;U1090&amp;AL1090&amp;AM1090</f>
        <v>Canary IslandsLa Palma marine reserveherbivoresbiomassden2.51098884457434Sangil2013</v>
      </c>
    </row>
    <row r="1091" spans="1:49" ht="14.25" customHeight="1" x14ac:dyDescent="0.35">
      <c r="A1091" s="12">
        <v>1090</v>
      </c>
      <c r="B1091" s="15" t="s">
        <v>1107</v>
      </c>
      <c r="C1091" s="15" t="s">
        <v>1144</v>
      </c>
      <c r="D1091" s="15" t="s">
        <v>2637</v>
      </c>
      <c r="E1091" s="12" t="s">
        <v>730</v>
      </c>
      <c r="F1091" s="13" t="s">
        <v>50</v>
      </c>
      <c r="G1091" s="13" t="s">
        <v>51</v>
      </c>
      <c r="H1091" s="16" t="s">
        <v>108</v>
      </c>
      <c r="I1091" s="16" t="s">
        <v>53</v>
      </c>
      <c r="J1091" s="17">
        <v>37.19</v>
      </c>
      <c r="K1091" s="17"/>
      <c r="L1091" s="17" t="s">
        <v>499</v>
      </c>
      <c r="M1091" s="17" t="s">
        <v>1149</v>
      </c>
      <c r="N1091" s="14" t="s">
        <v>85</v>
      </c>
      <c r="O1091" s="17" t="s">
        <v>86</v>
      </c>
      <c r="P1091" s="17"/>
      <c r="Q1091" s="17"/>
      <c r="R1091" s="17"/>
      <c r="S1091" s="17">
        <v>0</v>
      </c>
      <c r="T1091" s="17">
        <v>19.3</v>
      </c>
      <c r="U1091" s="19" t="str">
        <f t="shared" si="76"/>
        <v>N/A</v>
      </c>
      <c r="V1091" s="41" t="str">
        <f t="shared" si="79"/>
        <v>N/A</v>
      </c>
      <c r="W1091" s="14"/>
      <c r="X1091" s="17" t="s">
        <v>56</v>
      </c>
      <c r="Z1091" s="17" t="s">
        <v>56</v>
      </c>
      <c r="AA1091" s="17"/>
      <c r="AB1091" s="17" t="s">
        <v>57</v>
      </c>
      <c r="AC1091" s="17">
        <v>2008</v>
      </c>
      <c r="AD1091" s="17">
        <v>1</v>
      </c>
      <c r="AE1091" s="17"/>
      <c r="AF1091" s="17"/>
      <c r="AG1091" s="17">
        <v>2001</v>
      </c>
      <c r="AH1091" s="14">
        <f t="shared" si="77"/>
        <v>7</v>
      </c>
      <c r="AI1091" s="17">
        <f t="shared" si="78"/>
        <v>8</v>
      </c>
      <c r="AJ1091" s="17"/>
      <c r="AK1091" s="17" t="s">
        <v>58</v>
      </c>
      <c r="AL1091" s="16" t="s">
        <v>1146</v>
      </c>
      <c r="AM1091" s="17">
        <v>2012</v>
      </c>
      <c r="AN1091" s="12" t="s">
        <v>1147</v>
      </c>
      <c r="AO1091" s="15" t="s">
        <v>56</v>
      </c>
      <c r="AP1091" s="15"/>
      <c r="AQ1091" s="15" t="s">
        <v>56</v>
      </c>
      <c r="AR1091" s="15" t="s">
        <v>58</v>
      </c>
      <c r="AS1091" s="15" t="s">
        <v>62</v>
      </c>
      <c r="AT1091" s="12"/>
      <c r="AU1091" s="45" t="s">
        <v>2868</v>
      </c>
      <c r="AV1091" s="15"/>
      <c r="AW1091" s="12" t="str">
        <f>B1091&amp;C1091&amp;L1091&amp;M1091&amp;O1091&amp;U1091&amp;AL1091&amp;AM1091</f>
        <v>Canary IslandsLa Palma marine reserveDiplodus cervinuszebra seabreamdensityN/ASangil2012</v>
      </c>
    </row>
    <row r="1092" spans="1:49" ht="14.25" customHeight="1" x14ac:dyDescent="0.35">
      <c r="A1092" s="12">
        <v>1091</v>
      </c>
      <c r="B1092" s="12" t="s">
        <v>1107</v>
      </c>
      <c r="C1092" s="12" t="s">
        <v>1144</v>
      </c>
      <c r="D1092" s="12" t="s">
        <v>2637</v>
      </c>
      <c r="E1092" s="12" t="s">
        <v>730</v>
      </c>
      <c r="F1092" s="13" t="s">
        <v>50</v>
      </c>
      <c r="G1092" s="13" t="s">
        <v>51</v>
      </c>
      <c r="H1092" s="13" t="s">
        <v>108</v>
      </c>
      <c r="I1092" s="13" t="s">
        <v>53</v>
      </c>
      <c r="J1092" s="14">
        <v>37.19</v>
      </c>
      <c r="K1092" s="17"/>
      <c r="L1092" s="14" t="s">
        <v>226</v>
      </c>
      <c r="M1092" s="14"/>
      <c r="N1092" s="14" t="s">
        <v>85</v>
      </c>
      <c r="O1092" s="17" t="s">
        <v>86</v>
      </c>
      <c r="P1092" s="14"/>
      <c r="Q1092" s="14"/>
      <c r="R1092" s="14"/>
      <c r="S1092" s="14">
        <v>0.3</v>
      </c>
      <c r="T1092" s="14">
        <v>0.3</v>
      </c>
      <c r="U1092" s="19">
        <f t="shared" si="76"/>
        <v>1</v>
      </c>
      <c r="V1092" s="41">
        <f t="shared" si="79"/>
        <v>0</v>
      </c>
      <c r="W1092" s="14"/>
      <c r="X1092" s="14" t="s">
        <v>56</v>
      </c>
      <c r="Z1092" s="14" t="s">
        <v>56</v>
      </c>
      <c r="AA1092" s="14"/>
      <c r="AB1092" s="14" t="s">
        <v>57</v>
      </c>
      <c r="AC1092" s="14">
        <v>2008</v>
      </c>
      <c r="AD1092" s="14">
        <v>1</v>
      </c>
      <c r="AE1092" s="14"/>
      <c r="AF1092" s="14"/>
      <c r="AG1092" s="14">
        <v>2001</v>
      </c>
      <c r="AH1092" s="14">
        <f t="shared" si="77"/>
        <v>7</v>
      </c>
      <c r="AI1092" s="17">
        <f t="shared" si="78"/>
        <v>8</v>
      </c>
      <c r="AJ1092" s="14"/>
      <c r="AK1092" s="14" t="s">
        <v>58</v>
      </c>
      <c r="AL1092" s="13" t="s">
        <v>1146</v>
      </c>
      <c r="AM1092" s="14">
        <v>2012</v>
      </c>
      <c r="AN1092" s="12" t="s">
        <v>1147</v>
      </c>
      <c r="AO1092" s="12" t="s">
        <v>56</v>
      </c>
      <c r="AP1092" s="12"/>
      <c r="AQ1092" s="12" t="s">
        <v>56</v>
      </c>
      <c r="AR1092" s="12" t="s">
        <v>58</v>
      </c>
      <c r="AS1092" s="12" t="s">
        <v>62</v>
      </c>
      <c r="AT1092" s="12"/>
      <c r="AU1092" s="45" t="s">
        <v>2868</v>
      </c>
      <c r="AV1092" s="15"/>
      <c r="AW1092" s="12" t="str">
        <f>B1092&amp;C1092&amp;L1092&amp;M1092&amp;O1092&amp;U1092&amp;AL1092&amp;AM1092</f>
        <v>Canary IslandsLa Palma marine reserveDiplodus sargusdensity1Sangil2012</v>
      </c>
    </row>
    <row r="1093" spans="1:49" ht="14.25" customHeight="1" x14ac:dyDescent="0.35">
      <c r="A1093" s="12">
        <v>1092</v>
      </c>
      <c r="B1093" s="15" t="s">
        <v>1107</v>
      </c>
      <c r="C1093" s="15" t="s">
        <v>1144</v>
      </c>
      <c r="D1093" s="15" t="s">
        <v>2637</v>
      </c>
      <c r="E1093" s="12" t="s">
        <v>730</v>
      </c>
      <c r="F1093" s="13" t="s">
        <v>50</v>
      </c>
      <c r="G1093" s="13" t="s">
        <v>51</v>
      </c>
      <c r="H1093" s="16" t="s">
        <v>108</v>
      </c>
      <c r="I1093" s="16" t="s">
        <v>53</v>
      </c>
      <c r="J1093" s="17">
        <v>37.19</v>
      </c>
      <c r="K1093" s="17"/>
      <c r="L1093" s="17"/>
      <c r="M1093" s="17" t="s">
        <v>1150</v>
      </c>
      <c r="N1093" s="14" t="s">
        <v>407</v>
      </c>
      <c r="O1093" s="17" t="s">
        <v>86</v>
      </c>
      <c r="P1093" s="17"/>
      <c r="Q1093" s="17"/>
      <c r="R1093" s="17"/>
      <c r="S1093" s="17">
        <v>0.3</v>
      </c>
      <c r="T1093" s="17">
        <v>19.7</v>
      </c>
      <c r="U1093" s="19">
        <f t="shared" si="76"/>
        <v>65.666666666666671</v>
      </c>
      <c r="V1093" s="41">
        <f t="shared" si="79"/>
        <v>6466.666666666667</v>
      </c>
      <c r="W1093" s="14"/>
      <c r="X1093" s="17" t="s">
        <v>56</v>
      </c>
      <c r="Z1093" s="17" t="s">
        <v>58</v>
      </c>
      <c r="AA1093" s="17"/>
      <c r="AB1093" s="17" t="s">
        <v>57</v>
      </c>
      <c r="AC1093" s="17">
        <v>2004</v>
      </c>
      <c r="AD1093" s="17">
        <v>4</v>
      </c>
      <c r="AE1093" s="17"/>
      <c r="AF1093" s="17"/>
      <c r="AG1093" s="17">
        <v>2001</v>
      </c>
      <c r="AH1093" s="14">
        <f t="shared" si="77"/>
        <v>3</v>
      </c>
      <c r="AI1093" s="17">
        <f t="shared" si="78"/>
        <v>7</v>
      </c>
      <c r="AJ1093" s="17"/>
      <c r="AK1093" s="17" t="s">
        <v>58</v>
      </c>
      <c r="AL1093" s="16" t="s">
        <v>1146</v>
      </c>
      <c r="AM1093" s="17">
        <v>2012</v>
      </c>
      <c r="AN1093" s="15" t="s">
        <v>1147</v>
      </c>
      <c r="AO1093" s="15" t="s">
        <v>56</v>
      </c>
      <c r="AP1093" s="15"/>
      <c r="AQ1093" s="15" t="s">
        <v>56</v>
      </c>
      <c r="AR1093" s="15" t="s">
        <v>58</v>
      </c>
      <c r="AS1093" s="15" t="s">
        <v>62</v>
      </c>
      <c r="AT1093" s="12"/>
      <c r="AU1093" s="45"/>
      <c r="AV1093" s="15"/>
      <c r="AW1093" s="12" t="str">
        <f>B1093&amp;C1093&amp;L1093&amp;M1093&amp;O1093&amp;U1093&amp;AL1093&amp;AM1093</f>
        <v>Canary IslandsLa Palma marine reservePredatory fish of juvenile sea urchinsdensity65.6666666666667Sangil2012</v>
      </c>
    </row>
    <row r="1094" spans="1:49" ht="14.25" customHeight="1" x14ac:dyDescent="0.35">
      <c r="A1094" s="12">
        <v>1093</v>
      </c>
      <c r="B1094" s="15" t="s">
        <v>1107</v>
      </c>
      <c r="C1094" s="15" t="s">
        <v>1144</v>
      </c>
      <c r="D1094" s="15" t="s">
        <v>2637</v>
      </c>
      <c r="E1094" s="12" t="s">
        <v>730</v>
      </c>
      <c r="F1094" s="13" t="s">
        <v>50</v>
      </c>
      <c r="G1094" s="13" t="s">
        <v>51</v>
      </c>
      <c r="H1094" s="16" t="s">
        <v>108</v>
      </c>
      <c r="I1094" s="16" t="s">
        <v>53</v>
      </c>
      <c r="J1094" s="17">
        <v>37.19</v>
      </c>
      <c r="K1094" s="17"/>
      <c r="L1094" s="17" t="s">
        <v>1151</v>
      </c>
      <c r="M1094" s="17" t="s">
        <v>1152</v>
      </c>
      <c r="N1094" s="14" t="s">
        <v>85</v>
      </c>
      <c r="O1094" s="17" t="s">
        <v>86</v>
      </c>
      <c r="P1094" s="17"/>
      <c r="Q1094" s="17"/>
      <c r="R1094" s="17"/>
      <c r="S1094" s="17">
        <v>0</v>
      </c>
      <c r="T1094" s="17">
        <v>6.7</v>
      </c>
      <c r="U1094" s="19" t="str">
        <f t="shared" si="76"/>
        <v>N/A</v>
      </c>
      <c r="V1094" s="41" t="str">
        <f t="shared" si="79"/>
        <v>N/A</v>
      </c>
      <c r="W1094" s="14"/>
      <c r="X1094" s="17" t="s">
        <v>56</v>
      </c>
      <c r="Z1094" s="17" t="s">
        <v>56</v>
      </c>
      <c r="AA1094" s="17"/>
      <c r="AB1094" s="17" t="s">
        <v>57</v>
      </c>
      <c r="AC1094" s="17">
        <v>2008</v>
      </c>
      <c r="AD1094" s="17">
        <v>1</v>
      </c>
      <c r="AE1094" s="17"/>
      <c r="AF1094" s="17"/>
      <c r="AG1094" s="17">
        <v>2001</v>
      </c>
      <c r="AH1094" s="14">
        <f t="shared" si="77"/>
        <v>7</v>
      </c>
      <c r="AI1094" s="17">
        <f t="shared" si="78"/>
        <v>8</v>
      </c>
      <c r="AJ1094" s="17"/>
      <c r="AK1094" s="17" t="s">
        <v>58</v>
      </c>
      <c r="AL1094" s="16" t="s">
        <v>1146</v>
      </c>
      <c r="AM1094" s="17">
        <v>2012</v>
      </c>
      <c r="AN1094" s="15" t="s">
        <v>1147</v>
      </c>
      <c r="AO1094" s="15" t="s">
        <v>56</v>
      </c>
      <c r="AP1094" s="15"/>
      <c r="AQ1094" s="15" t="s">
        <v>56</v>
      </c>
      <c r="AR1094" s="15" t="s">
        <v>58</v>
      </c>
      <c r="AS1094" s="15" t="s">
        <v>62</v>
      </c>
      <c r="AT1094" s="12"/>
      <c r="AU1094" s="45" t="s">
        <v>2868</v>
      </c>
      <c r="AV1094" s="15"/>
      <c r="AW1094" s="12" t="str">
        <f>B1094&amp;C1094&amp;L1094&amp;M1094&amp;O1094&amp;U1094&amp;AL1094&amp;AM1094</f>
        <v>Canary IslandsLa Palma marine reserveBalistes capriscusgray triggerfishdensityN/ASangil2012</v>
      </c>
    </row>
    <row r="1095" spans="1:49" ht="14.25" customHeight="1" x14ac:dyDescent="0.35">
      <c r="A1095" s="12">
        <v>1094</v>
      </c>
      <c r="B1095" s="15" t="s">
        <v>1107</v>
      </c>
      <c r="C1095" s="15" t="s">
        <v>1144</v>
      </c>
      <c r="D1095" s="15" t="s">
        <v>2637</v>
      </c>
      <c r="E1095" s="12" t="s">
        <v>730</v>
      </c>
      <c r="F1095" s="13" t="s">
        <v>50</v>
      </c>
      <c r="G1095" s="13" t="s">
        <v>51</v>
      </c>
      <c r="H1095" s="16" t="s">
        <v>108</v>
      </c>
      <c r="I1095" s="16" t="s">
        <v>53</v>
      </c>
      <c r="J1095" s="17">
        <v>37.19</v>
      </c>
      <c r="K1095" s="17"/>
      <c r="L1095" s="17" t="s">
        <v>1153</v>
      </c>
      <c r="M1095" s="17"/>
      <c r="N1095" s="14" t="s">
        <v>85</v>
      </c>
      <c r="O1095" s="17" t="s">
        <v>86</v>
      </c>
      <c r="P1095" s="17"/>
      <c r="Q1095" s="17"/>
      <c r="R1095" s="17"/>
      <c r="S1095" s="17">
        <v>0</v>
      </c>
      <c r="T1095" s="17">
        <v>2.2999999999999998</v>
      </c>
      <c r="U1095" s="19" t="str">
        <f t="shared" si="76"/>
        <v>N/A</v>
      </c>
      <c r="V1095" s="41" t="str">
        <f t="shared" si="79"/>
        <v>N/A</v>
      </c>
      <c r="W1095" s="14"/>
      <c r="X1095" s="17" t="s">
        <v>56</v>
      </c>
      <c r="Z1095" s="17" t="s">
        <v>56</v>
      </c>
      <c r="AA1095" s="17"/>
      <c r="AB1095" s="17" t="s">
        <v>57</v>
      </c>
      <c r="AC1095" s="17">
        <v>2008</v>
      </c>
      <c r="AD1095" s="17">
        <v>1</v>
      </c>
      <c r="AE1095" s="17"/>
      <c r="AF1095" s="17"/>
      <c r="AG1095" s="17">
        <v>2001</v>
      </c>
      <c r="AH1095" s="14">
        <f t="shared" si="77"/>
        <v>7</v>
      </c>
      <c r="AI1095" s="17">
        <f t="shared" si="78"/>
        <v>8</v>
      </c>
      <c r="AJ1095" s="17"/>
      <c r="AK1095" s="17" t="s">
        <v>58</v>
      </c>
      <c r="AL1095" s="16" t="s">
        <v>1146</v>
      </c>
      <c r="AM1095" s="17">
        <v>2012</v>
      </c>
      <c r="AN1095" s="15" t="s">
        <v>1147</v>
      </c>
      <c r="AO1095" s="15" t="s">
        <v>56</v>
      </c>
      <c r="AP1095" s="15"/>
      <c r="AQ1095" s="15" t="s">
        <v>56</v>
      </c>
      <c r="AR1095" s="15" t="s">
        <v>58</v>
      </c>
      <c r="AS1095" s="15" t="s">
        <v>62</v>
      </c>
      <c r="AT1095" s="12"/>
      <c r="AU1095" s="45" t="s">
        <v>2868</v>
      </c>
      <c r="AV1095" s="15"/>
      <c r="AW1095" s="12" t="str">
        <f>B1095&amp;C1095&amp;L1095&amp;M1095&amp;O1095&amp;U1095&amp;AL1095&amp;AM1095</f>
        <v>Canary IslandsLa Palma marine reserveBodianus scrofadensityN/ASangil2012</v>
      </c>
    </row>
    <row r="1096" spans="1:49" ht="14.25" customHeight="1" x14ac:dyDescent="0.35">
      <c r="A1096" s="12">
        <v>1095</v>
      </c>
      <c r="B1096" s="15" t="s">
        <v>1107</v>
      </c>
      <c r="C1096" s="15" t="s">
        <v>1144</v>
      </c>
      <c r="D1096" s="15" t="s">
        <v>2637</v>
      </c>
      <c r="E1096" s="12" t="s">
        <v>730</v>
      </c>
      <c r="F1096" s="13" t="s">
        <v>50</v>
      </c>
      <c r="G1096" s="13" t="s">
        <v>51</v>
      </c>
      <c r="H1096" s="16" t="s">
        <v>108</v>
      </c>
      <c r="I1096" s="16" t="s">
        <v>53</v>
      </c>
      <c r="J1096" s="17">
        <v>37.19</v>
      </c>
      <c r="K1096" s="17"/>
      <c r="L1096" s="17" t="s">
        <v>1154</v>
      </c>
      <c r="M1096" s="17"/>
      <c r="N1096" s="14" t="s">
        <v>85</v>
      </c>
      <c r="O1096" s="17" t="s">
        <v>86</v>
      </c>
      <c r="P1096" s="17"/>
      <c r="Q1096" s="17"/>
      <c r="R1096" s="17"/>
      <c r="S1096" s="17">
        <v>0.3</v>
      </c>
      <c r="T1096" s="17">
        <v>1.7</v>
      </c>
      <c r="U1096" s="19">
        <f t="shared" si="76"/>
        <v>5.666666666666667</v>
      </c>
      <c r="V1096" s="41">
        <f t="shared" si="79"/>
        <v>466.66666666666669</v>
      </c>
      <c r="W1096" s="14"/>
      <c r="X1096" s="17" t="s">
        <v>56</v>
      </c>
      <c r="Z1096" s="17" t="s">
        <v>56</v>
      </c>
      <c r="AA1096" s="17"/>
      <c r="AB1096" s="17" t="s">
        <v>57</v>
      </c>
      <c r="AC1096" s="17">
        <v>2008</v>
      </c>
      <c r="AD1096" s="17">
        <v>1</v>
      </c>
      <c r="AE1096" s="17"/>
      <c r="AF1096" s="17"/>
      <c r="AG1096" s="17">
        <v>2001</v>
      </c>
      <c r="AH1096" s="14">
        <f t="shared" si="77"/>
        <v>7</v>
      </c>
      <c r="AI1096" s="17">
        <f t="shared" si="78"/>
        <v>8</v>
      </c>
      <c r="AJ1096" s="17"/>
      <c r="AK1096" s="17" t="s">
        <v>58</v>
      </c>
      <c r="AL1096" s="16" t="s">
        <v>1146</v>
      </c>
      <c r="AM1096" s="17">
        <v>2012</v>
      </c>
      <c r="AN1096" s="15" t="s">
        <v>1147</v>
      </c>
      <c r="AO1096" s="15" t="s">
        <v>56</v>
      </c>
      <c r="AP1096" s="15"/>
      <c r="AQ1096" s="15" t="s">
        <v>56</v>
      </c>
      <c r="AR1096" s="15" t="s">
        <v>58</v>
      </c>
      <c r="AS1096" s="15" t="s">
        <v>62</v>
      </c>
      <c r="AT1096" s="12"/>
      <c r="AU1096" s="45" t="s">
        <v>2868</v>
      </c>
      <c r="AV1096" s="15"/>
      <c r="AW1096" s="12" t="str">
        <f>B1096&amp;C1096&amp;L1096&amp;M1096&amp;O1096&amp;U1096&amp;AL1096&amp;AM1096</f>
        <v>Canary IslandsLa Palma marine reserveCanthidermis suffamendensity5.66666666666667Sangil2012</v>
      </c>
    </row>
    <row r="1097" spans="1:49" ht="14.25" customHeight="1" x14ac:dyDescent="0.35">
      <c r="A1097" s="12">
        <v>1096</v>
      </c>
      <c r="B1097" s="15" t="s">
        <v>1107</v>
      </c>
      <c r="C1097" s="15" t="s">
        <v>1144</v>
      </c>
      <c r="D1097" s="15" t="s">
        <v>2637</v>
      </c>
      <c r="E1097" s="12" t="s">
        <v>730</v>
      </c>
      <c r="F1097" s="13" t="s">
        <v>50</v>
      </c>
      <c r="G1097" s="13" t="s">
        <v>51</v>
      </c>
      <c r="H1097" s="16" t="s">
        <v>108</v>
      </c>
      <c r="I1097" s="16" t="s">
        <v>53</v>
      </c>
      <c r="J1097" s="17">
        <v>37.19</v>
      </c>
      <c r="K1097" s="17"/>
      <c r="L1097" s="17"/>
      <c r="M1097" s="17" t="s">
        <v>1155</v>
      </c>
      <c r="N1097" s="14" t="s">
        <v>407</v>
      </c>
      <c r="O1097" s="17" t="s">
        <v>86</v>
      </c>
      <c r="P1097" s="17"/>
      <c r="Q1097" s="17"/>
      <c r="R1097" s="17"/>
      <c r="S1097" s="17">
        <v>0.3</v>
      </c>
      <c r="T1097" s="17">
        <v>11</v>
      </c>
      <c r="U1097" s="19">
        <f t="shared" si="76"/>
        <v>36.666666666666671</v>
      </c>
      <c r="V1097" s="41">
        <f t="shared" si="79"/>
        <v>3566.666666666667</v>
      </c>
      <c r="W1097" s="14"/>
      <c r="X1097" s="17" t="s">
        <v>56</v>
      </c>
      <c r="Z1097" s="17" t="s">
        <v>58</v>
      </c>
      <c r="AA1097" s="17"/>
      <c r="AB1097" s="17" t="s">
        <v>57</v>
      </c>
      <c r="AC1097" s="17">
        <v>2004</v>
      </c>
      <c r="AD1097" s="17">
        <v>4</v>
      </c>
      <c r="AE1097" s="17"/>
      <c r="AF1097" s="17"/>
      <c r="AG1097" s="17">
        <v>2001</v>
      </c>
      <c r="AH1097" s="14">
        <f t="shared" si="77"/>
        <v>3</v>
      </c>
      <c r="AI1097" s="17">
        <f t="shared" si="78"/>
        <v>7</v>
      </c>
      <c r="AJ1097" s="17"/>
      <c r="AK1097" s="17" t="s">
        <v>58</v>
      </c>
      <c r="AL1097" s="16" t="s">
        <v>1146</v>
      </c>
      <c r="AM1097" s="17">
        <v>2012</v>
      </c>
      <c r="AN1097" s="15" t="s">
        <v>1147</v>
      </c>
      <c r="AO1097" s="15" t="s">
        <v>56</v>
      </c>
      <c r="AP1097" s="15"/>
      <c r="AQ1097" s="15" t="s">
        <v>56</v>
      </c>
      <c r="AR1097" s="15" t="s">
        <v>58</v>
      </c>
      <c r="AS1097" s="15" t="s">
        <v>62</v>
      </c>
      <c r="AT1097" s="12"/>
      <c r="AU1097" s="45"/>
      <c r="AV1097" s="15"/>
      <c r="AW1097" s="12" t="str">
        <f>B1097&amp;C1097&amp;L1097&amp;M1097&amp;O1097&amp;U1097&amp;AL1097&amp;AM1097</f>
        <v>Canary IslandsLa Palma marine reservePredatory fish of wide-range sea urchinsdensity36.6666666666667Sangil2012</v>
      </c>
    </row>
    <row r="1098" spans="1:49" ht="14.25" customHeight="1" x14ac:dyDescent="0.35">
      <c r="A1098" s="12">
        <v>1097</v>
      </c>
      <c r="B1098" s="15" t="s">
        <v>1107</v>
      </c>
      <c r="C1098" s="15" t="s">
        <v>1144</v>
      </c>
      <c r="D1098" s="15" t="s">
        <v>2637</v>
      </c>
      <c r="E1098" s="15" t="s">
        <v>730</v>
      </c>
      <c r="F1098" s="13" t="s">
        <v>50</v>
      </c>
      <c r="G1098" s="13" t="s">
        <v>51</v>
      </c>
      <c r="H1098" s="16" t="s">
        <v>108</v>
      </c>
      <c r="I1098" s="16" t="s">
        <v>53</v>
      </c>
      <c r="J1098" s="17">
        <v>37.19</v>
      </c>
      <c r="K1098" s="17"/>
      <c r="L1098" s="17"/>
      <c r="M1098" s="17" t="s">
        <v>1156</v>
      </c>
      <c r="N1098" s="14" t="s">
        <v>407</v>
      </c>
      <c r="O1098" s="17" t="s">
        <v>86</v>
      </c>
      <c r="P1098" s="17"/>
      <c r="Q1098" s="17"/>
      <c r="R1098" s="17"/>
      <c r="S1098" s="17">
        <v>0.6</v>
      </c>
      <c r="T1098" s="17">
        <v>30.7</v>
      </c>
      <c r="U1098" s="20">
        <f t="shared" si="76"/>
        <v>51.166666666666664</v>
      </c>
      <c r="V1098" s="41">
        <f t="shared" si="79"/>
        <v>5016.6666666666661</v>
      </c>
      <c r="W1098" s="17"/>
      <c r="X1098" s="17" t="s">
        <v>56</v>
      </c>
      <c r="Z1098" s="17" t="s">
        <v>58</v>
      </c>
      <c r="AA1098" s="17"/>
      <c r="AB1098" s="17" t="s">
        <v>57</v>
      </c>
      <c r="AC1098" s="17">
        <v>2004</v>
      </c>
      <c r="AD1098" s="17">
        <v>4</v>
      </c>
      <c r="AE1098" s="17"/>
      <c r="AF1098" s="17"/>
      <c r="AG1098" s="17">
        <v>2001</v>
      </c>
      <c r="AH1098" s="14">
        <f t="shared" si="77"/>
        <v>3</v>
      </c>
      <c r="AI1098" s="17">
        <f t="shared" si="78"/>
        <v>7</v>
      </c>
      <c r="AJ1098" s="17"/>
      <c r="AK1098" s="17" t="s">
        <v>58</v>
      </c>
      <c r="AL1098" s="16" t="s">
        <v>1146</v>
      </c>
      <c r="AM1098" s="17">
        <v>2012</v>
      </c>
      <c r="AN1098" s="15" t="s">
        <v>1147</v>
      </c>
      <c r="AO1098" s="15" t="s">
        <v>56</v>
      </c>
      <c r="AP1098" s="15"/>
      <c r="AQ1098" s="15" t="s">
        <v>56</v>
      </c>
      <c r="AR1098" s="15" t="s">
        <v>58</v>
      </c>
      <c r="AS1098" s="15" t="s">
        <v>62</v>
      </c>
      <c r="AT1098" s="15"/>
      <c r="AU1098" s="45"/>
      <c r="AV1098" s="15"/>
      <c r="AW1098" s="12" t="str">
        <f>B1098&amp;C1098&amp;L1098&amp;M1098&amp;O1098&amp;U1098&amp;AL1098&amp;AM1098</f>
        <v>Canary IslandsLa Palma marine reservepredatory fishdensity51.1666666666667Sangil2012</v>
      </c>
    </row>
    <row r="1099" spans="1:49" ht="14.25" customHeight="1" x14ac:dyDescent="0.35">
      <c r="A1099" s="12">
        <v>1098</v>
      </c>
      <c r="B1099" s="15" t="s">
        <v>1107</v>
      </c>
      <c r="C1099" s="15" t="s">
        <v>1144</v>
      </c>
      <c r="D1099" s="15" t="s">
        <v>2637</v>
      </c>
      <c r="E1099" s="15" t="s">
        <v>730</v>
      </c>
      <c r="F1099" s="16" t="s">
        <v>50</v>
      </c>
      <c r="G1099" s="16" t="s">
        <v>51</v>
      </c>
      <c r="H1099" s="16" t="s">
        <v>108</v>
      </c>
      <c r="I1099" s="16" t="s">
        <v>53</v>
      </c>
      <c r="J1099" s="17">
        <v>37.19</v>
      </c>
      <c r="K1099" s="17"/>
      <c r="L1099" s="17" t="s">
        <v>499</v>
      </c>
      <c r="M1099" s="17" t="s">
        <v>1149</v>
      </c>
      <c r="N1099" s="14" t="s">
        <v>85</v>
      </c>
      <c r="O1099" s="17" t="s">
        <v>70</v>
      </c>
      <c r="P1099" s="17"/>
      <c r="Q1099" s="17"/>
      <c r="R1099" s="17"/>
      <c r="S1099" s="17">
        <v>0</v>
      </c>
      <c r="T1099" s="17">
        <v>9.1165000000000003</v>
      </c>
      <c r="U1099" s="20" t="str">
        <f t="shared" si="76"/>
        <v>N/A</v>
      </c>
      <c r="V1099" s="41" t="str">
        <f t="shared" si="79"/>
        <v>N/A</v>
      </c>
      <c r="W1099" s="17"/>
      <c r="X1099" s="17" t="s">
        <v>56</v>
      </c>
      <c r="Z1099" s="17" t="s">
        <v>56</v>
      </c>
      <c r="AA1099" s="17"/>
      <c r="AB1099" s="17" t="s">
        <v>57</v>
      </c>
      <c r="AC1099" s="17">
        <v>2008</v>
      </c>
      <c r="AD1099" s="17">
        <v>1</v>
      </c>
      <c r="AE1099" s="17"/>
      <c r="AF1099" s="17"/>
      <c r="AG1099" s="17">
        <v>2001</v>
      </c>
      <c r="AH1099" s="14">
        <f t="shared" si="77"/>
        <v>7</v>
      </c>
      <c r="AI1099" s="17">
        <f t="shared" si="78"/>
        <v>8</v>
      </c>
      <c r="AJ1099" s="17"/>
      <c r="AK1099" s="17" t="s">
        <v>58</v>
      </c>
      <c r="AL1099" s="16" t="s">
        <v>1146</v>
      </c>
      <c r="AM1099" s="17">
        <v>2012</v>
      </c>
      <c r="AN1099" s="15" t="s">
        <v>1147</v>
      </c>
      <c r="AO1099" s="15" t="s">
        <v>56</v>
      </c>
      <c r="AP1099" s="15"/>
      <c r="AQ1099" s="15" t="s">
        <v>56</v>
      </c>
      <c r="AR1099" s="15" t="s">
        <v>58</v>
      </c>
      <c r="AS1099" s="15" t="s">
        <v>62</v>
      </c>
      <c r="AT1099" s="15"/>
      <c r="AU1099" s="45" t="s">
        <v>2868</v>
      </c>
      <c r="AV1099" s="15"/>
      <c r="AW1099" s="12" t="str">
        <f>B1099&amp;C1099&amp;L1099&amp;M1099&amp;O1099&amp;U1099&amp;AL1099&amp;AM1099</f>
        <v>Canary IslandsLa Palma marine reserveDiplodus cervinuszebra seabreambiomassdenN/ASangil2012</v>
      </c>
    </row>
    <row r="1100" spans="1:49" ht="14.25" customHeight="1" x14ac:dyDescent="0.35">
      <c r="A1100" s="12">
        <v>1099</v>
      </c>
      <c r="B1100" s="15" t="s">
        <v>1107</v>
      </c>
      <c r="C1100" s="15" t="s">
        <v>1144</v>
      </c>
      <c r="D1100" s="15" t="s">
        <v>2637</v>
      </c>
      <c r="E1100" s="15" t="s">
        <v>730</v>
      </c>
      <c r="F1100" s="13" t="s">
        <v>50</v>
      </c>
      <c r="G1100" s="13" t="s">
        <v>51</v>
      </c>
      <c r="H1100" s="16" t="s">
        <v>108</v>
      </c>
      <c r="I1100" s="16" t="s">
        <v>53</v>
      </c>
      <c r="J1100" s="17">
        <v>37.19</v>
      </c>
      <c r="K1100" s="17"/>
      <c r="L1100" s="17" t="s">
        <v>226</v>
      </c>
      <c r="M1100" s="17"/>
      <c r="N1100" s="14" t="s">
        <v>85</v>
      </c>
      <c r="O1100" s="17" t="s">
        <v>70</v>
      </c>
      <c r="P1100" s="17"/>
      <c r="Q1100" s="17"/>
      <c r="R1100" s="17"/>
      <c r="S1100" s="17">
        <v>0.1648</v>
      </c>
      <c r="T1100" s="17">
        <v>0.3569</v>
      </c>
      <c r="U1100" s="20">
        <f t="shared" si="76"/>
        <v>2.1656553398058254</v>
      </c>
      <c r="V1100" s="41">
        <f t="shared" si="79"/>
        <v>116.56553398058253</v>
      </c>
      <c r="W1100" s="17"/>
      <c r="X1100" s="17" t="s">
        <v>56</v>
      </c>
      <c r="Z1100" s="17" t="s">
        <v>56</v>
      </c>
      <c r="AA1100" s="17"/>
      <c r="AB1100" s="17" t="s">
        <v>57</v>
      </c>
      <c r="AC1100" s="17">
        <v>2008</v>
      </c>
      <c r="AD1100" s="17">
        <v>1</v>
      </c>
      <c r="AE1100" s="17"/>
      <c r="AF1100" s="17"/>
      <c r="AG1100" s="17">
        <v>2001</v>
      </c>
      <c r="AH1100" s="14">
        <f t="shared" si="77"/>
        <v>7</v>
      </c>
      <c r="AI1100" s="17">
        <f t="shared" si="78"/>
        <v>8</v>
      </c>
      <c r="AJ1100" s="17"/>
      <c r="AK1100" s="17" t="s">
        <v>58</v>
      </c>
      <c r="AL1100" s="16" t="s">
        <v>1146</v>
      </c>
      <c r="AM1100" s="17">
        <v>2012</v>
      </c>
      <c r="AN1100" s="15" t="s">
        <v>1147</v>
      </c>
      <c r="AO1100" s="15" t="s">
        <v>56</v>
      </c>
      <c r="AP1100" s="15"/>
      <c r="AQ1100" s="15" t="s">
        <v>56</v>
      </c>
      <c r="AR1100" s="15" t="s">
        <v>58</v>
      </c>
      <c r="AS1100" s="15" t="s">
        <v>62</v>
      </c>
      <c r="AT1100" s="15"/>
      <c r="AU1100" s="45" t="s">
        <v>2868</v>
      </c>
      <c r="AV1100" s="15"/>
      <c r="AW1100" s="12" t="str">
        <f>B1100&amp;C1100&amp;L1100&amp;M1100&amp;O1100&amp;U1100&amp;AL1100&amp;AM1100</f>
        <v>Canary IslandsLa Palma marine reserveDiplodus sargusbiomassden2.16565533980583Sangil2012</v>
      </c>
    </row>
    <row r="1101" spans="1:49" ht="14.25" customHeight="1" x14ac:dyDescent="0.35">
      <c r="A1101" s="12">
        <v>1100</v>
      </c>
      <c r="B1101" s="15" t="s">
        <v>1107</v>
      </c>
      <c r="C1101" s="15" t="s">
        <v>1144</v>
      </c>
      <c r="D1101" s="15" t="s">
        <v>2637</v>
      </c>
      <c r="E1101" s="15" t="s">
        <v>730</v>
      </c>
      <c r="F1101" s="16" t="s">
        <v>50</v>
      </c>
      <c r="G1101" s="16" t="s">
        <v>51</v>
      </c>
      <c r="H1101" s="16" t="s">
        <v>108</v>
      </c>
      <c r="I1101" s="16" t="s">
        <v>53</v>
      </c>
      <c r="J1101" s="17">
        <v>37.19</v>
      </c>
      <c r="K1101" s="17"/>
      <c r="L1101" s="17"/>
      <c r="M1101" s="17" t="s">
        <v>1150</v>
      </c>
      <c r="N1101" s="14" t="s">
        <v>407</v>
      </c>
      <c r="O1101" s="17" t="s">
        <v>70</v>
      </c>
      <c r="P1101" s="17"/>
      <c r="Q1101" s="17"/>
      <c r="R1101" s="17"/>
      <c r="S1101" s="17">
        <v>0.1648</v>
      </c>
      <c r="T1101" s="17">
        <v>9.4733999999999998</v>
      </c>
      <c r="U1101" s="20">
        <f t="shared" si="76"/>
        <v>57.484223300970875</v>
      </c>
      <c r="V1101" s="41">
        <f t="shared" si="79"/>
        <v>5648.4223300970871</v>
      </c>
      <c r="W1101" s="17"/>
      <c r="X1101" s="17" t="s">
        <v>56</v>
      </c>
      <c r="Z1101" s="17" t="s">
        <v>58</v>
      </c>
      <c r="AA1101" s="17"/>
      <c r="AB1101" s="17" t="s">
        <v>57</v>
      </c>
      <c r="AC1101" s="17">
        <v>2004</v>
      </c>
      <c r="AD1101" s="17">
        <v>4</v>
      </c>
      <c r="AE1101" s="17"/>
      <c r="AF1101" s="17"/>
      <c r="AG1101" s="17">
        <v>2001</v>
      </c>
      <c r="AH1101" s="14">
        <f t="shared" si="77"/>
        <v>3</v>
      </c>
      <c r="AI1101" s="17">
        <f t="shared" si="78"/>
        <v>7</v>
      </c>
      <c r="AJ1101" s="17"/>
      <c r="AK1101" s="17" t="s">
        <v>58</v>
      </c>
      <c r="AL1101" s="16" t="s">
        <v>1146</v>
      </c>
      <c r="AM1101" s="17">
        <v>2012</v>
      </c>
      <c r="AN1101" s="15" t="s">
        <v>1147</v>
      </c>
      <c r="AO1101" s="15" t="s">
        <v>56</v>
      </c>
      <c r="AP1101" s="15"/>
      <c r="AQ1101" s="15" t="s">
        <v>56</v>
      </c>
      <c r="AR1101" s="15" t="s">
        <v>58</v>
      </c>
      <c r="AS1101" s="15" t="s">
        <v>62</v>
      </c>
      <c r="AT1101" s="15"/>
      <c r="AU1101" s="45"/>
      <c r="AV1101" s="15"/>
      <c r="AW1101" s="12" t="str">
        <f>B1101&amp;C1101&amp;L1101&amp;M1101&amp;O1101&amp;U1101&amp;AL1101&amp;AM1101</f>
        <v>Canary IslandsLa Palma marine reservePredatory fish of juvenile sea urchinsbiomassden57.4842233009709Sangil2012</v>
      </c>
    </row>
    <row r="1102" spans="1:49" ht="14.25" customHeight="1" x14ac:dyDescent="0.35">
      <c r="A1102" s="12">
        <v>1101</v>
      </c>
      <c r="B1102" s="15" t="s">
        <v>1107</v>
      </c>
      <c r="C1102" s="15" t="s">
        <v>1144</v>
      </c>
      <c r="D1102" s="15" t="s">
        <v>2637</v>
      </c>
      <c r="E1102" s="15" t="s">
        <v>730</v>
      </c>
      <c r="F1102" s="16" t="s">
        <v>50</v>
      </c>
      <c r="G1102" s="16" t="s">
        <v>51</v>
      </c>
      <c r="H1102" s="16" t="s">
        <v>108</v>
      </c>
      <c r="I1102" s="16" t="s">
        <v>53</v>
      </c>
      <c r="J1102" s="17">
        <v>37.19</v>
      </c>
      <c r="K1102" s="17"/>
      <c r="L1102" s="17" t="s">
        <v>1151</v>
      </c>
      <c r="M1102" s="17" t="s">
        <v>1152</v>
      </c>
      <c r="N1102" s="14" t="s">
        <v>85</v>
      </c>
      <c r="O1102" s="17" t="s">
        <v>70</v>
      </c>
      <c r="P1102" s="17"/>
      <c r="Q1102" s="17"/>
      <c r="R1102" s="17"/>
      <c r="S1102" s="17">
        <v>0</v>
      </c>
      <c r="T1102" s="17">
        <v>9.0475999999999992</v>
      </c>
      <c r="U1102" s="20" t="str">
        <f t="shared" si="76"/>
        <v>N/A</v>
      </c>
      <c r="V1102" s="41" t="str">
        <f t="shared" si="79"/>
        <v>N/A</v>
      </c>
      <c r="W1102" s="17"/>
      <c r="X1102" s="17" t="s">
        <v>56</v>
      </c>
      <c r="Z1102" s="17" t="s">
        <v>56</v>
      </c>
      <c r="AA1102" s="17"/>
      <c r="AB1102" s="17" t="s">
        <v>57</v>
      </c>
      <c r="AC1102" s="17">
        <v>2008</v>
      </c>
      <c r="AD1102" s="17">
        <v>1</v>
      </c>
      <c r="AE1102" s="17"/>
      <c r="AF1102" s="17"/>
      <c r="AG1102" s="17">
        <v>2001</v>
      </c>
      <c r="AH1102" s="14">
        <f t="shared" si="77"/>
        <v>7</v>
      </c>
      <c r="AI1102" s="17">
        <f t="shared" si="78"/>
        <v>8</v>
      </c>
      <c r="AJ1102" s="17"/>
      <c r="AK1102" s="17" t="s">
        <v>58</v>
      </c>
      <c r="AL1102" s="16" t="s">
        <v>1146</v>
      </c>
      <c r="AM1102" s="17">
        <v>2012</v>
      </c>
      <c r="AN1102" s="15" t="s">
        <v>1147</v>
      </c>
      <c r="AO1102" s="15" t="s">
        <v>56</v>
      </c>
      <c r="AP1102" s="15"/>
      <c r="AQ1102" s="15" t="s">
        <v>56</v>
      </c>
      <c r="AR1102" s="15" t="s">
        <v>58</v>
      </c>
      <c r="AS1102" s="15" t="s">
        <v>62</v>
      </c>
      <c r="AT1102" s="15"/>
      <c r="AU1102" s="45" t="s">
        <v>2868</v>
      </c>
      <c r="AV1102" s="15"/>
      <c r="AW1102" s="12" t="str">
        <f>B1102&amp;C1102&amp;L1102&amp;M1102&amp;O1102&amp;U1102&amp;AL1102&amp;AM1102</f>
        <v>Canary IslandsLa Palma marine reserveBalistes capriscusgray triggerfishbiomassdenN/ASangil2012</v>
      </c>
    </row>
    <row r="1103" spans="1:49" ht="14.25" customHeight="1" x14ac:dyDescent="0.35">
      <c r="A1103" s="12">
        <v>1102</v>
      </c>
      <c r="B1103" s="12" t="s">
        <v>1107</v>
      </c>
      <c r="C1103" s="15" t="s">
        <v>1144</v>
      </c>
      <c r="D1103" s="15" t="s">
        <v>2637</v>
      </c>
      <c r="E1103" s="15" t="s">
        <v>730</v>
      </c>
      <c r="F1103" s="13" t="s">
        <v>50</v>
      </c>
      <c r="G1103" s="13" t="s">
        <v>51</v>
      </c>
      <c r="H1103" s="16" t="s">
        <v>108</v>
      </c>
      <c r="I1103" s="16" t="s">
        <v>53</v>
      </c>
      <c r="J1103" s="17">
        <v>37.19</v>
      </c>
      <c r="K1103" s="17"/>
      <c r="L1103" s="17" t="s">
        <v>1153</v>
      </c>
      <c r="M1103" s="17"/>
      <c r="N1103" s="14" t="s">
        <v>85</v>
      </c>
      <c r="O1103" s="17" t="s">
        <v>70</v>
      </c>
      <c r="P1103" s="17"/>
      <c r="Q1103" s="17"/>
      <c r="R1103" s="17"/>
      <c r="S1103" s="17">
        <v>0</v>
      </c>
      <c r="T1103" s="17">
        <v>7.1601999999999997</v>
      </c>
      <c r="U1103" s="20" t="str">
        <f t="shared" si="76"/>
        <v>N/A</v>
      </c>
      <c r="V1103" s="41" t="str">
        <f t="shared" si="79"/>
        <v>N/A</v>
      </c>
      <c r="W1103" s="17"/>
      <c r="X1103" s="17" t="s">
        <v>56</v>
      </c>
      <c r="Z1103" s="17" t="s">
        <v>56</v>
      </c>
      <c r="AA1103" s="17"/>
      <c r="AB1103" s="17" t="s">
        <v>57</v>
      </c>
      <c r="AC1103" s="17">
        <v>2008</v>
      </c>
      <c r="AD1103" s="17">
        <v>1</v>
      </c>
      <c r="AE1103" s="17"/>
      <c r="AF1103" s="17"/>
      <c r="AG1103" s="17">
        <v>2001</v>
      </c>
      <c r="AH1103" s="14">
        <f t="shared" si="77"/>
        <v>7</v>
      </c>
      <c r="AI1103" s="17">
        <f t="shared" si="78"/>
        <v>8</v>
      </c>
      <c r="AJ1103" s="17"/>
      <c r="AK1103" s="17" t="s">
        <v>58</v>
      </c>
      <c r="AL1103" s="16" t="s">
        <v>1146</v>
      </c>
      <c r="AM1103" s="17">
        <v>2012</v>
      </c>
      <c r="AN1103" s="15" t="s">
        <v>1147</v>
      </c>
      <c r="AO1103" s="15" t="s">
        <v>56</v>
      </c>
      <c r="AP1103" s="15"/>
      <c r="AQ1103" s="15" t="s">
        <v>56</v>
      </c>
      <c r="AR1103" s="15" t="s">
        <v>58</v>
      </c>
      <c r="AS1103" s="15" t="s">
        <v>62</v>
      </c>
      <c r="AT1103" s="15"/>
      <c r="AU1103" s="45" t="s">
        <v>2868</v>
      </c>
      <c r="AV1103" s="15"/>
      <c r="AW1103" s="12" t="str">
        <f>B1103&amp;C1103&amp;L1103&amp;M1103&amp;O1103&amp;U1103&amp;AL1103&amp;AM1103</f>
        <v>Canary IslandsLa Palma marine reserveBodianus scrofabiomassdenN/ASangil2012</v>
      </c>
    </row>
    <row r="1104" spans="1:49" ht="14.25" customHeight="1" x14ac:dyDescent="0.35">
      <c r="A1104" s="12">
        <v>1103</v>
      </c>
      <c r="B1104" s="12" t="s">
        <v>1107</v>
      </c>
      <c r="C1104" s="12" t="s">
        <v>1144</v>
      </c>
      <c r="D1104" s="15" t="s">
        <v>2637</v>
      </c>
      <c r="E1104" s="12" t="s">
        <v>730</v>
      </c>
      <c r="F1104" s="13" t="s">
        <v>50</v>
      </c>
      <c r="G1104" s="13" t="s">
        <v>51</v>
      </c>
      <c r="H1104" s="13" t="s">
        <v>108</v>
      </c>
      <c r="I1104" s="13" t="s">
        <v>53</v>
      </c>
      <c r="J1104" s="17">
        <v>37.19</v>
      </c>
      <c r="K1104" s="14"/>
      <c r="L1104" s="14" t="s">
        <v>1154</v>
      </c>
      <c r="M1104" s="14"/>
      <c r="N1104" s="14" t="s">
        <v>85</v>
      </c>
      <c r="O1104" s="17" t="s">
        <v>70</v>
      </c>
      <c r="P1104" s="14"/>
      <c r="Q1104" s="14"/>
      <c r="R1104" s="14"/>
      <c r="S1104" s="14">
        <v>0.90939999999999999</v>
      </c>
      <c r="T1104" s="14">
        <v>4.4739000000000004</v>
      </c>
      <c r="U1104" s="19">
        <f t="shared" si="76"/>
        <v>4.9196173301077639</v>
      </c>
      <c r="V1104" s="41">
        <f t="shared" si="79"/>
        <v>391.96173301077641</v>
      </c>
      <c r="W1104" s="14"/>
      <c r="X1104" s="14" t="s">
        <v>56</v>
      </c>
      <c r="Z1104" s="14" t="s">
        <v>56</v>
      </c>
      <c r="AA1104" s="14"/>
      <c r="AB1104" s="14" t="s">
        <v>57</v>
      </c>
      <c r="AC1104" s="14">
        <v>2008</v>
      </c>
      <c r="AD1104" s="14">
        <v>1</v>
      </c>
      <c r="AE1104" s="14"/>
      <c r="AF1104" s="14"/>
      <c r="AG1104" s="14">
        <v>2001</v>
      </c>
      <c r="AH1104" s="14">
        <f t="shared" si="77"/>
        <v>7</v>
      </c>
      <c r="AI1104" s="17">
        <f t="shared" si="78"/>
        <v>8</v>
      </c>
      <c r="AJ1104" s="14"/>
      <c r="AK1104" s="14" t="s">
        <v>58</v>
      </c>
      <c r="AL1104" s="13" t="s">
        <v>1146</v>
      </c>
      <c r="AM1104" s="14">
        <v>2012</v>
      </c>
      <c r="AN1104" s="12" t="s">
        <v>1147</v>
      </c>
      <c r="AO1104" s="12" t="s">
        <v>56</v>
      </c>
      <c r="AP1104" s="12"/>
      <c r="AQ1104" s="12" t="s">
        <v>56</v>
      </c>
      <c r="AR1104" s="12" t="s">
        <v>58</v>
      </c>
      <c r="AS1104" s="12" t="s">
        <v>62</v>
      </c>
      <c r="AT1104" s="12"/>
      <c r="AU1104" s="45" t="s">
        <v>2868</v>
      </c>
      <c r="AV1104" s="15"/>
      <c r="AW1104" s="12" t="str">
        <f>B1104&amp;C1104&amp;L1104&amp;M1104&amp;O1104&amp;U1104&amp;AL1104&amp;AM1104</f>
        <v>Canary IslandsLa Palma marine reserveCanthidermis suffamenbiomassden4.91961733010776Sangil2012</v>
      </c>
    </row>
    <row r="1105" spans="1:49" ht="14.25" customHeight="1" x14ac:dyDescent="0.35">
      <c r="A1105" s="12">
        <v>1104</v>
      </c>
      <c r="B1105" s="15" t="s">
        <v>1107</v>
      </c>
      <c r="C1105" s="15" t="s">
        <v>1144</v>
      </c>
      <c r="D1105" s="15" t="s">
        <v>2637</v>
      </c>
      <c r="E1105" s="15" t="s">
        <v>730</v>
      </c>
      <c r="F1105" s="13" t="s">
        <v>50</v>
      </c>
      <c r="G1105" s="13" t="s">
        <v>51</v>
      </c>
      <c r="H1105" s="16" t="s">
        <v>108</v>
      </c>
      <c r="I1105" s="16" t="s">
        <v>53</v>
      </c>
      <c r="J1105" s="17">
        <v>37.19</v>
      </c>
      <c r="K1105" s="17"/>
      <c r="L1105" s="17"/>
      <c r="M1105" s="17" t="s">
        <v>1155</v>
      </c>
      <c r="N1105" s="14" t="s">
        <v>407</v>
      </c>
      <c r="O1105" s="17" t="s">
        <v>70</v>
      </c>
      <c r="P1105" s="17"/>
      <c r="Q1105" s="17"/>
      <c r="R1105" s="17"/>
      <c r="S1105" s="17">
        <v>0.90939999999999999</v>
      </c>
      <c r="T1105" s="17">
        <v>27.616700000000002</v>
      </c>
      <c r="U1105" s="20">
        <f t="shared" si="76"/>
        <v>30.36804486474599</v>
      </c>
      <c r="V1105" s="41">
        <f t="shared" si="79"/>
        <v>2936.8044864745989</v>
      </c>
      <c r="W1105" s="17"/>
      <c r="X1105" s="17" t="s">
        <v>56</v>
      </c>
      <c r="Z1105" s="17" t="s">
        <v>58</v>
      </c>
      <c r="AA1105" s="17"/>
      <c r="AB1105" s="17" t="s">
        <v>57</v>
      </c>
      <c r="AC1105" s="17">
        <v>2004</v>
      </c>
      <c r="AD1105" s="17">
        <v>4</v>
      </c>
      <c r="AE1105" s="17"/>
      <c r="AF1105" s="17"/>
      <c r="AG1105" s="17">
        <v>2001</v>
      </c>
      <c r="AH1105" s="14">
        <f t="shared" si="77"/>
        <v>3</v>
      </c>
      <c r="AI1105" s="17">
        <f t="shared" si="78"/>
        <v>7</v>
      </c>
      <c r="AJ1105" s="17"/>
      <c r="AK1105" s="17" t="s">
        <v>58</v>
      </c>
      <c r="AL1105" s="16" t="s">
        <v>1146</v>
      </c>
      <c r="AM1105" s="17">
        <v>2012</v>
      </c>
      <c r="AN1105" s="15" t="s">
        <v>1147</v>
      </c>
      <c r="AO1105" s="15" t="s">
        <v>56</v>
      </c>
      <c r="AP1105" s="15"/>
      <c r="AQ1105" s="15" t="s">
        <v>56</v>
      </c>
      <c r="AR1105" s="15" t="s">
        <v>58</v>
      </c>
      <c r="AS1105" s="15" t="s">
        <v>62</v>
      </c>
      <c r="AT1105" s="15"/>
      <c r="AU1105" s="45"/>
      <c r="AV1105" s="15"/>
      <c r="AW1105" s="12" t="str">
        <f>B1105&amp;C1105&amp;L1105&amp;M1105&amp;O1105&amp;U1105&amp;AL1105&amp;AM1105</f>
        <v>Canary IslandsLa Palma marine reservePredatory fish of wide-range sea urchinsbiomassden30.368044864746Sangil2012</v>
      </c>
    </row>
    <row r="1106" spans="1:49" ht="14.25" customHeight="1" x14ac:dyDescent="0.35">
      <c r="A1106" s="12">
        <v>1105</v>
      </c>
      <c r="B1106" s="15" t="s">
        <v>1107</v>
      </c>
      <c r="C1106" s="15" t="s">
        <v>1144</v>
      </c>
      <c r="D1106" s="15" t="s">
        <v>2637</v>
      </c>
      <c r="E1106" s="15" t="s">
        <v>730</v>
      </c>
      <c r="F1106" s="13" t="s">
        <v>50</v>
      </c>
      <c r="G1106" s="13" t="s">
        <v>51</v>
      </c>
      <c r="H1106" s="16" t="s">
        <v>108</v>
      </c>
      <c r="I1106" s="16" t="s">
        <v>53</v>
      </c>
      <c r="J1106" s="17">
        <v>37.19</v>
      </c>
      <c r="K1106" s="17"/>
      <c r="L1106" s="17"/>
      <c r="M1106" s="17" t="s">
        <v>1156</v>
      </c>
      <c r="N1106" s="14" t="s">
        <v>407</v>
      </c>
      <c r="O1106" s="17" t="s">
        <v>70</v>
      </c>
      <c r="P1106" s="17"/>
      <c r="Q1106" s="17"/>
      <c r="R1106" s="17"/>
      <c r="S1106" s="17">
        <v>1.0742</v>
      </c>
      <c r="T1106" s="17">
        <v>37.0901</v>
      </c>
      <c r="U1106" s="20">
        <f t="shared" si="76"/>
        <v>34.528113945261588</v>
      </c>
      <c r="V1106" s="41">
        <f t="shared" si="79"/>
        <v>3352.8113945261589</v>
      </c>
      <c r="W1106" s="17"/>
      <c r="X1106" s="17" t="s">
        <v>56</v>
      </c>
      <c r="Z1106" s="17" t="s">
        <v>58</v>
      </c>
      <c r="AA1106" s="17"/>
      <c r="AB1106" s="17" t="s">
        <v>57</v>
      </c>
      <c r="AC1106" s="17">
        <v>2004</v>
      </c>
      <c r="AD1106" s="17">
        <v>4</v>
      </c>
      <c r="AE1106" s="17"/>
      <c r="AF1106" s="17"/>
      <c r="AG1106" s="17">
        <v>2001</v>
      </c>
      <c r="AH1106" s="14">
        <f t="shared" si="77"/>
        <v>3</v>
      </c>
      <c r="AI1106" s="17">
        <f t="shared" si="78"/>
        <v>7</v>
      </c>
      <c r="AJ1106" s="17"/>
      <c r="AK1106" s="17" t="s">
        <v>58</v>
      </c>
      <c r="AL1106" s="16" t="s">
        <v>1146</v>
      </c>
      <c r="AM1106" s="17">
        <v>2012</v>
      </c>
      <c r="AN1106" s="15" t="s">
        <v>1147</v>
      </c>
      <c r="AO1106" s="15" t="s">
        <v>56</v>
      </c>
      <c r="AP1106" s="15"/>
      <c r="AQ1106" s="15" t="s">
        <v>56</v>
      </c>
      <c r="AR1106" s="15" t="s">
        <v>58</v>
      </c>
      <c r="AS1106" s="15" t="s">
        <v>62</v>
      </c>
      <c r="AT1106" s="15"/>
      <c r="AU1106" s="45"/>
      <c r="AV1106" s="15"/>
      <c r="AW1106" s="12" t="str">
        <f>B1106&amp;C1106&amp;L1106&amp;M1106&amp;O1106&amp;U1106&amp;AL1106&amp;AM1106</f>
        <v>Canary IslandsLa Palma marine reservepredatory fishbiomassden34.5281139452616Sangil2012</v>
      </c>
    </row>
    <row r="1107" spans="1:49" ht="14.25" customHeight="1" x14ac:dyDescent="0.35">
      <c r="A1107" s="12">
        <v>1106</v>
      </c>
      <c r="B1107" s="15" t="s">
        <v>1107</v>
      </c>
      <c r="C1107" s="15" t="s">
        <v>1144</v>
      </c>
      <c r="D1107" s="15" t="s">
        <v>2637</v>
      </c>
      <c r="E1107" s="15" t="s">
        <v>730</v>
      </c>
      <c r="F1107" s="16" t="s">
        <v>50</v>
      </c>
      <c r="G1107" s="16" t="s">
        <v>51</v>
      </c>
      <c r="H1107" s="16" t="s">
        <v>108</v>
      </c>
      <c r="I1107" s="16" t="s">
        <v>53</v>
      </c>
      <c r="J1107" s="17">
        <v>37.19</v>
      </c>
      <c r="K1107" s="17"/>
      <c r="L1107" s="17" t="s">
        <v>1157</v>
      </c>
      <c r="M1107" s="17"/>
      <c r="N1107" s="14" t="s">
        <v>85</v>
      </c>
      <c r="O1107" s="17" t="s">
        <v>101</v>
      </c>
      <c r="P1107" s="17"/>
      <c r="Q1107" s="17"/>
      <c r="R1107" s="17"/>
      <c r="S1107" s="17">
        <v>1.36</v>
      </c>
      <c r="T1107" s="17">
        <v>73.19</v>
      </c>
      <c r="U1107" s="20">
        <f t="shared" si="76"/>
        <v>53.816176470588232</v>
      </c>
      <c r="V1107" s="41">
        <f t="shared" si="79"/>
        <v>5281.6176470588234</v>
      </c>
      <c r="W1107" s="17"/>
      <c r="X1107" s="17" t="s">
        <v>56</v>
      </c>
      <c r="Y1107" s="17"/>
      <c r="Z1107" s="17" t="s">
        <v>56</v>
      </c>
      <c r="AA1107" s="17"/>
      <c r="AB1107" s="17" t="s">
        <v>57</v>
      </c>
      <c r="AC1107" s="17">
        <v>2004</v>
      </c>
      <c r="AD1107" s="17">
        <v>4</v>
      </c>
      <c r="AE1107" s="17"/>
      <c r="AF1107" s="17"/>
      <c r="AG1107" s="17">
        <v>2001</v>
      </c>
      <c r="AH1107" s="14">
        <f t="shared" si="77"/>
        <v>3</v>
      </c>
      <c r="AI1107" s="17">
        <f t="shared" si="78"/>
        <v>7</v>
      </c>
      <c r="AJ1107" s="17"/>
      <c r="AK1107" s="17" t="s">
        <v>58</v>
      </c>
      <c r="AL1107" s="16" t="s">
        <v>1146</v>
      </c>
      <c r="AM1107" s="17">
        <v>2012</v>
      </c>
      <c r="AN1107" s="15" t="s">
        <v>1147</v>
      </c>
      <c r="AO1107" s="15" t="s">
        <v>56</v>
      </c>
      <c r="AP1107" s="15"/>
      <c r="AQ1107" s="15" t="s">
        <v>56</v>
      </c>
      <c r="AR1107" s="15" t="s">
        <v>58</v>
      </c>
      <c r="AS1107" s="15" t="s">
        <v>62</v>
      </c>
      <c r="AT1107" s="15"/>
      <c r="AU1107" s="45"/>
      <c r="AV1107" s="15"/>
      <c r="AW1107" s="12" t="str">
        <f>B1107&amp;C1107&amp;L1107&amp;M1107&amp;O1107&amp;U1107&amp;AL1107&amp;AM1107</f>
        <v>Canary IslandsLa Palma marine reserveLobophora variegatacover53.8161764705882Sangil2012</v>
      </c>
    </row>
    <row r="1108" spans="1:49" ht="14.25" customHeight="1" x14ac:dyDescent="0.35">
      <c r="A1108" s="12">
        <v>1107</v>
      </c>
      <c r="B1108" s="12" t="s">
        <v>1107</v>
      </c>
      <c r="C1108" s="12" t="s">
        <v>1144</v>
      </c>
      <c r="D1108" s="12" t="s">
        <v>2637</v>
      </c>
      <c r="E1108" s="12" t="s">
        <v>730</v>
      </c>
      <c r="F1108" s="13" t="s">
        <v>50</v>
      </c>
      <c r="G1108" s="13" t="s">
        <v>51</v>
      </c>
      <c r="H1108" s="13" t="s">
        <v>108</v>
      </c>
      <c r="I1108" s="13" t="s">
        <v>53</v>
      </c>
      <c r="J1108" s="14">
        <v>37.19</v>
      </c>
      <c r="K1108" s="17"/>
      <c r="L1108" s="14" t="s">
        <v>1158</v>
      </c>
      <c r="M1108" s="14"/>
      <c r="N1108" s="14" t="s">
        <v>85</v>
      </c>
      <c r="O1108" s="17" t="s">
        <v>101</v>
      </c>
      <c r="P1108" s="14"/>
      <c r="Q1108" s="14"/>
      <c r="R1108" s="14"/>
      <c r="S1108" s="14">
        <v>0</v>
      </c>
      <c r="T1108" s="14">
        <v>1.83</v>
      </c>
      <c r="U1108" s="19" t="str">
        <f t="shared" si="76"/>
        <v>N/A</v>
      </c>
      <c r="V1108" s="41" t="str">
        <f t="shared" si="79"/>
        <v>N/A</v>
      </c>
      <c r="W1108" s="14"/>
      <c r="X1108" s="14" t="s">
        <v>56</v>
      </c>
      <c r="Z1108" s="14" t="s">
        <v>56</v>
      </c>
      <c r="AA1108" s="14"/>
      <c r="AB1108" s="14" t="s">
        <v>57</v>
      </c>
      <c r="AC1108" s="14">
        <v>2004</v>
      </c>
      <c r="AD1108" s="14">
        <v>4</v>
      </c>
      <c r="AE1108" s="14"/>
      <c r="AF1108" s="14"/>
      <c r="AG1108" s="14">
        <v>2001</v>
      </c>
      <c r="AH1108" s="14">
        <f t="shared" si="77"/>
        <v>3</v>
      </c>
      <c r="AI1108" s="17">
        <f t="shared" si="78"/>
        <v>7</v>
      </c>
      <c r="AJ1108" s="14"/>
      <c r="AK1108" s="14" t="s">
        <v>58</v>
      </c>
      <c r="AL1108" s="13" t="s">
        <v>1146</v>
      </c>
      <c r="AM1108" s="14">
        <v>2012</v>
      </c>
      <c r="AN1108" s="12" t="s">
        <v>1147</v>
      </c>
      <c r="AO1108" s="12" t="s">
        <v>56</v>
      </c>
      <c r="AP1108" s="12"/>
      <c r="AQ1108" s="12" t="s">
        <v>56</v>
      </c>
      <c r="AR1108" s="12" t="s">
        <v>58</v>
      </c>
      <c r="AS1108" s="12" t="s">
        <v>62</v>
      </c>
      <c r="AT1108" s="12"/>
      <c r="AU1108" s="45"/>
      <c r="AV1108" s="15"/>
      <c r="AW1108" s="12" t="str">
        <f>B1108&amp;C1108&amp;L1108&amp;M1108&amp;O1108&amp;U1108&amp;AL1108&amp;AM1108</f>
        <v>Canary IslandsLa Palma marine reserveCanistrocarpus cervicorniscoverN/ASangil2012</v>
      </c>
    </row>
    <row r="1109" spans="1:49" ht="14.25" customHeight="1" x14ac:dyDescent="0.35">
      <c r="A1109" s="12">
        <v>1108</v>
      </c>
      <c r="B1109" s="12" t="s">
        <v>1107</v>
      </c>
      <c r="C1109" s="12" t="s">
        <v>1144</v>
      </c>
      <c r="D1109" s="12" t="s">
        <v>2637</v>
      </c>
      <c r="E1109" s="12" t="s">
        <v>730</v>
      </c>
      <c r="F1109" s="13" t="s">
        <v>50</v>
      </c>
      <c r="G1109" s="13" t="s">
        <v>51</v>
      </c>
      <c r="H1109" s="13" t="s">
        <v>108</v>
      </c>
      <c r="I1109" s="13" t="s">
        <v>53</v>
      </c>
      <c r="J1109" s="14">
        <v>37.19</v>
      </c>
      <c r="K1109" s="14"/>
      <c r="L1109" s="14" t="s">
        <v>1159</v>
      </c>
      <c r="M1109" s="14"/>
      <c r="N1109" s="14" t="s">
        <v>85</v>
      </c>
      <c r="O1109" s="17" t="s">
        <v>101</v>
      </c>
      <c r="P1109" s="14"/>
      <c r="Q1109" s="14"/>
      <c r="R1109" s="14"/>
      <c r="S1109" s="14">
        <v>0.11</v>
      </c>
      <c r="T1109" s="14">
        <v>0.01</v>
      </c>
      <c r="U1109" s="19">
        <f t="shared" si="76"/>
        <v>9.0909090909090912E-2</v>
      </c>
      <c r="V1109" s="41">
        <f t="shared" si="79"/>
        <v>-90.909090909090907</v>
      </c>
      <c r="W1109" s="14"/>
      <c r="X1109" s="14" t="s">
        <v>56</v>
      </c>
      <c r="Z1109" s="14" t="s">
        <v>56</v>
      </c>
      <c r="AA1109" s="14"/>
      <c r="AB1109" s="14" t="s">
        <v>57</v>
      </c>
      <c r="AC1109" s="14">
        <v>2004</v>
      </c>
      <c r="AD1109" s="14">
        <v>4</v>
      </c>
      <c r="AE1109" s="14"/>
      <c r="AF1109" s="14"/>
      <c r="AG1109" s="14">
        <v>2001</v>
      </c>
      <c r="AH1109" s="14">
        <f t="shared" si="77"/>
        <v>3</v>
      </c>
      <c r="AI1109" s="17">
        <f t="shared" si="78"/>
        <v>7</v>
      </c>
      <c r="AJ1109" s="14"/>
      <c r="AK1109" s="14" t="s">
        <v>58</v>
      </c>
      <c r="AL1109" s="13" t="s">
        <v>1146</v>
      </c>
      <c r="AM1109" s="14">
        <v>2012</v>
      </c>
      <c r="AN1109" s="12" t="s">
        <v>1147</v>
      </c>
      <c r="AO1109" s="12" t="s">
        <v>56</v>
      </c>
      <c r="AP1109" s="12"/>
      <c r="AQ1109" s="12" t="s">
        <v>56</v>
      </c>
      <c r="AR1109" s="12" t="s">
        <v>58</v>
      </c>
      <c r="AS1109" s="12" t="s">
        <v>62</v>
      </c>
      <c r="AT1109" s="12"/>
      <c r="AU1109" s="45"/>
      <c r="AV1109" s="15"/>
      <c r="AW1109" s="12" t="str">
        <f>B1109&amp;C1109&amp;L1109&amp;M1109&amp;O1109&amp;U1109&amp;AL1109&amp;AM1109</f>
        <v>Canary IslandsLa Palma marine reservePadina pavonicacover0.0909090909090909Sangil2012</v>
      </c>
    </row>
    <row r="1110" spans="1:49" ht="14.25" customHeight="1" x14ac:dyDescent="0.35">
      <c r="A1110" s="12">
        <v>1109</v>
      </c>
      <c r="B1110" s="12" t="s">
        <v>1107</v>
      </c>
      <c r="C1110" s="12" t="s">
        <v>1144</v>
      </c>
      <c r="D1110" s="12" t="s">
        <v>2637</v>
      </c>
      <c r="E1110" s="12" t="s">
        <v>730</v>
      </c>
      <c r="F1110" s="13" t="s">
        <v>50</v>
      </c>
      <c r="G1110" s="13" t="s">
        <v>51</v>
      </c>
      <c r="H1110" s="13" t="s">
        <v>108</v>
      </c>
      <c r="I1110" s="13" t="s">
        <v>53</v>
      </c>
      <c r="J1110" s="14">
        <v>37.19</v>
      </c>
      <c r="K1110" s="17"/>
      <c r="L1110" s="14" t="s">
        <v>1160</v>
      </c>
      <c r="M1110" s="14"/>
      <c r="N1110" s="14" t="s">
        <v>85</v>
      </c>
      <c r="O1110" s="17" t="s">
        <v>101</v>
      </c>
      <c r="P1110" s="14"/>
      <c r="Q1110" s="14"/>
      <c r="R1110" s="14"/>
      <c r="S1110" s="14">
        <v>0</v>
      </c>
      <c r="T1110" s="14">
        <v>0.97</v>
      </c>
      <c r="U1110" s="19" t="str">
        <f t="shared" si="76"/>
        <v>N/A</v>
      </c>
      <c r="V1110" s="41" t="str">
        <f t="shared" si="79"/>
        <v>N/A</v>
      </c>
      <c r="W1110" s="14"/>
      <c r="X1110" s="14" t="s">
        <v>56</v>
      </c>
      <c r="Z1110" s="14" t="s">
        <v>56</v>
      </c>
      <c r="AA1110" s="14"/>
      <c r="AB1110" s="14" t="s">
        <v>57</v>
      </c>
      <c r="AC1110" s="14">
        <v>2004</v>
      </c>
      <c r="AD1110" s="14">
        <v>4</v>
      </c>
      <c r="AE1110" s="14"/>
      <c r="AF1110" s="14"/>
      <c r="AG1110" s="14">
        <v>2001</v>
      </c>
      <c r="AH1110" s="14">
        <f t="shared" si="77"/>
        <v>3</v>
      </c>
      <c r="AI1110" s="17">
        <f t="shared" si="78"/>
        <v>7</v>
      </c>
      <c r="AJ1110" s="14"/>
      <c r="AK1110" s="14" t="s">
        <v>58</v>
      </c>
      <c r="AL1110" s="13" t="s">
        <v>1146</v>
      </c>
      <c r="AM1110" s="14">
        <v>2012</v>
      </c>
      <c r="AN1110" s="12" t="s">
        <v>1147</v>
      </c>
      <c r="AO1110" s="12" t="s">
        <v>56</v>
      </c>
      <c r="AP1110" s="12"/>
      <c r="AQ1110" s="12" t="s">
        <v>56</v>
      </c>
      <c r="AR1110" s="12" t="s">
        <v>58</v>
      </c>
      <c r="AS1110" s="12" t="s">
        <v>62</v>
      </c>
      <c r="AT1110" s="12"/>
      <c r="AU1110" s="45"/>
      <c r="AV1110" s="15"/>
      <c r="AW1110" s="12" t="str">
        <f>B1110&amp;C1110&amp;L1110&amp;M1110&amp;O1110&amp;U1110&amp;AL1110&amp;AM1110</f>
        <v>Canary IslandsLa Palma marine reserveDictyota dichotomacoverN/ASangil2012</v>
      </c>
    </row>
    <row r="1111" spans="1:49" ht="14.25" customHeight="1" x14ac:dyDescent="0.35">
      <c r="A1111" s="12">
        <v>1110</v>
      </c>
      <c r="B1111" s="12" t="s">
        <v>1107</v>
      </c>
      <c r="C1111" s="12" t="s">
        <v>1144</v>
      </c>
      <c r="D1111" s="12" t="s">
        <v>2637</v>
      </c>
      <c r="E1111" s="12" t="s">
        <v>730</v>
      </c>
      <c r="F1111" s="13" t="s">
        <v>50</v>
      </c>
      <c r="G1111" s="13" t="s">
        <v>51</v>
      </c>
      <c r="H1111" s="13" t="s">
        <v>108</v>
      </c>
      <c r="I1111" s="13" t="s">
        <v>53</v>
      </c>
      <c r="J1111" s="14">
        <v>37.19</v>
      </c>
      <c r="K1111" s="17"/>
      <c r="L1111" s="14" t="s">
        <v>1161</v>
      </c>
      <c r="M1111" s="14"/>
      <c r="N1111" s="14" t="s">
        <v>85</v>
      </c>
      <c r="O1111" s="17" t="s">
        <v>101</v>
      </c>
      <c r="P1111" s="14"/>
      <c r="Q1111" s="14"/>
      <c r="R1111" s="14"/>
      <c r="S1111" s="14">
        <v>0.18</v>
      </c>
      <c r="T1111" s="14">
        <v>0.75</v>
      </c>
      <c r="U1111" s="19">
        <f t="shared" si="76"/>
        <v>4.166666666666667</v>
      </c>
      <c r="V1111" s="41">
        <f t="shared" si="79"/>
        <v>316.66666666666669</v>
      </c>
      <c r="W1111" s="14"/>
      <c r="X1111" s="14" t="s">
        <v>56</v>
      </c>
      <c r="Z1111" s="14" t="s">
        <v>56</v>
      </c>
      <c r="AA1111" s="14"/>
      <c r="AB1111" s="14" t="s">
        <v>57</v>
      </c>
      <c r="AC1111" s="14">
        <v>2004</v>
      </c>
      <c r="AD1111" s="14">
        <v>4</v>
      </c>
      <c r="AE1111" s="14"/>
      <c r="AF1111" s="14"/>
      <c r="AG1111" s="17">
        <v>2001</v>
      </c>
      <c r="AH1111" s="14">
        <f t="shared" si="77"/>
        <v>3</v>
      </c>
      <c r="AI1111" s="17">
        <f t="shared" si="78"/>
        <v>7</v>
      </c>
      <c r="AJ1111" s="14"/>
      <c r="AK1111" s="14" t="s">
        <v>58</v>
      </c>
      <c r="AL1111" s="13" t="s">
        <v>1146</v>
      </c>
      <c r="AM1111" s="14">
        <v>2012</v>
      </c>
      <c r="AN1111" s="12" t="s">
        <v>1147</v>
      </c>
      <c r="AO1111" s="12" t="s">
        <v>56</v>
      </c>
      <c r="AP1111" s="12"/>
      <c r="AQ1111" s="12" t="s">
        <v>56</v>
      </c>
      <c r="AR1111" s="12" t="s">
        <v>58</v>
      </c>
      <c r="AS1111" s="12" t="s">
        <v>62</v>
      </c>
      <c r="AT1111" s="12"/>
      <c r="AU1111" s="45"/>
      <c r="AV1111" s="15"/>
      <c r="AW1111" s="12" t="str">
        <f>B1111&amp;C1111&amp;L1111&amp;M1111&amp;O1111&amp;U1111&amp;AL1111&amp;AM1111</f>
        <v>Canary IslandsLa Palma marine reserveJania adhaerenscover4.16666666666667Sangil2012</v>
      </c>
    </row>
    <row r="1112" spans="1:49" ht="14.25" customHeight="1" x14ac:dyDescent="0.35">
      <c r="A1112" s="12">
        <v>1111</v>
      </c>
      <c r="B1112" s="12" t="s">
        <v>1107</v>
      </c>
      <c r="C1112" s="12" t="s">
        <v>1144</v>
      </c>
      <c r="D1112" s="12" t="s">
        <v>2637</v>
      </c>
      <c r="E1112" s="12" t="s">
        <v>730</v>
      </c>
      <c r="F1112" s="13" t="s">
        <v>50</v>
      </c>
      <c r="G1112" s="13" t="s">
        <v>51</v>
      </c>
      <c r="H1112" s="13" t="s">
        <v>108</v>
      </c>
      <c r="I1112" s="13" t="s">
        <v>53</v>
      </c>
      <c r="J1112" s="14">
        <v>37.19</v>
      </c>
      <c r="K1112" s="17"/>
      <c r="L1112" s="14" t="s">
        <v>1162</v>
      </c>
      <c r="M1112" s="14"/>
      <c r="N1112" s="14" t="s">
        <v>85</v>
      </c>
      <c r="O1112" s="17" t="s">
        <v>101</v>
      </c>
      <c r="P1112" s="14"/>
      <c r="Q1112" s="14"/>
      <c r="R1112" s="14"/>
      <c r="S1112" s="14">
        <v>0</v>
      </c>
      <c r="T1112" s="14">
        <v>1.4</v>
      </c>
      <c r="U1112" s="19" t="str">
        <f t="shared" si="76"/>
        <v>N/A</v>
      </c>
      <c r="V1112" s="41" t="str">
        <f t="shared" si="79"/>
        <v>N/A</v>
      </c>
      <c r="W1112" s="14"/>
      <c r="X1112" s="14" t="s">
        <v>56</v>
      </c>
      <c r="Z1112" s="14" t="s">
        <v>56</v>
      </c>
      <c r="AA1112" s="14"/>
      <c r="AB1112" s="14" t="s">
        <v>57</v>
      </c>
      <c r="AC1112" s="14">
        <v>2004</v>
      </c>
      <c r="AD1112" s="14">
        <v>4</v>
      </c>
      <c r="AE1112" s="14"/>
      <c r="AF1112" s="14"/>
      <c r="AG1112" s="17">
        <v>2001</v>
      </c>
      <c r="AH1112" s="14">
        <f t="shared" si="77"/>
        <v>3</v>
      </c>
      <c r="AI1112" s="17">
        <f t="shared" si="78"/>
        <v>7</v>
      </c>
      <c r="AJ1112" s="14"/>
      <c r="AK1112" s="14" t="s">
        <v>58</v>
      </c>
      <c r="AL1112" s="13" t="s">
        <v>1146</v>
      </c>
      <c r="AM1112" s="14">
        <v>2012</v>
      </c>
      <c r="AN1112" s="12" t="s">
        <v>1147</v>
      </c>
      <c r="AO1112" s="12" t="s">
        <v>56</v>
      </c>
      <c r="AP1112" s="12"/>
      <c r="AQ1112" s="12" t="s">
        <v>56</v>
      </c>
      <c r="AR1112" s="12" t="s">
        <v>58</v>
      </c>
      <c r="AS1112" s="12" t="s">
        <v>62</v>
      </c>
      <c r="AT1112" s="12"/>
      <c r="AU1112" s="45"/>
      <c r="AV1112" s="15"/>
      <c r="AW1112" s="12" t="str">
        <f>B1112&amp;C1112&amp;L1112&amp;M1112&amp;O1112&amp;U1112&amp;AL1112&amp;AM1112</f>
        <v>Canary IslandsLa Palma marine reserveAsparagopsis taxiformiscoverN/ASangil2012</v>
      </c>
    </row>
    <row r="1113" spans="1:49" ht="14.25" customHeight="1" x14ac:dyDescent="0.35">
      <c r="A1113" s="12">
        <v>1112</v>
      </c>
      <c r="B1113" s="12" t="s">
        <v>1107</v>
      </c>
      <c r="C1113" s="12" t="s">
        <v>1144</v>
      </c>
      <c r="D1113" s="12" t="s">
        <v>2637</v>
      </c>
      <c r="E1113" s="12" t="s">
        <v>730</v>
      </c>
      <c r="F1113" s="13" t="s">
        <v>50</v>
      </c>
      <c r="G1113" s="13" t="s">
        <v>51</v>
      </c>
      <c r="H1113" s="13" t="s">
        <v>108</v>
      </c>
      <c r="I1113" s="13" t="s">
        <v>53</v>
      </c>
      <c r="J1113" s="14">
        <v>37.19</v>
      </c>
      <c r="K1113" s="17"/>
      <c r="M1113" s="14" t="s">
        <v>1163</v>
      </c>
      <c r="N1113" s="14" t="s">
        <v>1070</v>
      </c>
      <c r="O1113" s="17" t="s">
        <v>101</v>
      </c>
      <c r="P1113" s="14"/>
      <c r="Q1113" s="14"/>
      <c r="R1113" s="14"/>
      <c r="S1113" s="14">
        <v>0.18</v>
      </c>
      <c r="T1113" s="14">
        <v>0.02</v>
      </c>
      <c r="U1113" s="19">
        <f t="shared" si="76"/>
        <v>0.11111111111111112</v>
      </c>
      <c r="V1113" s="41">
        <f t="shared" si="79"/>
        <v>-88.888888888888886</v>
      </c>
      <c r="W1113" s="14"/>
      <c r="X1113" s="14" t="s">
        <v>56</v>
      </c>
      <c r="Z1113" s="14" t="s">
        <v>56</v>
      </c>
      <c r="AA1113" s="14"/>
      <c r="AB1113" s="14" t="s">
        <v>57</v>
      </c>
      <c r="AC1113" s="14">
        <v>2004</v>
      </c>
      <c r="AD1113" s="14">
        <v>4</v>
      </c>
      <c r="AE1113" s="14"/>
      <c r="AF1113" s="14"/>
      <c r="AG1113" s="17">
        <v>2001</v>
      </c>
      <c r="AH1113" s="14">
        <f t="shared" si="77"/>
        <v>3</v>
      </c>
      <c r="AI1113" s="17">
        <f t="shared" si="78"/>
        <v>7</v>
      </c>
      <c r="AJ1113" s="14"/>
      <c r="AK1113" s="14" t="s">
        <v>58</v>
      </c>
      <c r="AL1113" s="13" t="s">
        <v>1146</v>
      </c>
      <c r="AM1113" s="14">
        <v>2012</v>
      </c>
      <c r="AN1113" s="12" t="s">
        <v>1147</v>
      </c>
      <c r="AO1113" s="12" t="s">
        <v>56</v>
      </c>
      <c r="AP1113" s="12"/>
      <c r="AQ1113" s="12" t="s">
        <v>56</v>
      </c>
      <c r="AR1113" s="12" t="s">
        <v>58</v>
      </c>
      <c r="AS1113" s="12" t="s">
        <v>62</v>
      </c>
      <c r="AT1113" s="12"/>
      <c r="AU1113" s="45"/>
      <c r="AV1113" s="15"/>
      <c r="AW1113" s="12" t="str">
        <f>B1113&amp;C1113&amp;L1113&amp;M1113&amp;O1113&amp;U1113&amp;AL1113&amp;AM1113</f>
        <v>Canary IslandsLa Palma marine reserveFilamentous ceramialescover0.111111111111111Sangil2012</v>
      </c>
    </row>
    <row r="1114" spans="1:49" ht="14.25" customHeight="1" x14ac:dyDescent="0.35">
      <c r="A1114" s="12">
        <v>1113</v>
      </c>
      <c r="B1114" s="15" t="s">
        <v>1107</v>
      </c>
      <c r="C1114" s="12" t="s">
        <v>1144</v>
      </c>
      <c r="D1114" s="12" t="s">
        <v>2637</v>
      </c>
      <c r="E1114" s="15" t="s">
        <v>730</v>
      </c>
      <c r="F1114" s="13" t="s">
        <v>50</v>
      </c>
      <c r="G1114" s="13" t="s">
        <v>51</v>
      </c>
      <c r="H1114" s="16" t="s">
        <v>108</v>
      </c>
      <c r="I1114" s="16" t="s">
        <v>53</v>
      </c>
      <c r="J1114" s="17">
        <v>37.19</v>
      </c>
      <c r="K1114" s="17"/>
      <c r="L1114" s="17" t="s">
        <v>1164</v>
      </c>
      <c r="M1114" s="17"/>
      <c r="N1114" s="17" t="s">
        <v>85</v>
      </c>
      <c r="O1114" s="17" t="s">
        <v>101</v>
      </c>
      <c r="P1114" s="17"/>
      <c r="Q1114" s="17"/>
      <c r="R1114" s="17"/>
      <c r="S1114" s="17">
        <v>0.03</v>
      </c>
      <c r="T1114" s="17">
        <v>0.25</v>
      </c>
      <c r="U1114" s="20">
        <f t="shared" si="76"/>
        <v>8.3333333333333339</v>
      </c>
      <c r="V1114" s="41">
        <f t="shared" si="79"/>
        <v>733.33333333333337</v>
      </c>
      <c r="W1114" s="17"/>
      <c r="X1114" s="17" t="s">
        <v>56</v>
      </c>
      <c r="Z1114" s="17" t="s">
        <v>56</v>
      </c>
      <c r="AA1114" s="17"/>
      <c r="AB1114" s="17" t="s">
        <v>57</v>
      </c>
      <c r="AC1114" s="17">
        <v>2004</v>
      </c>
      <c r="AD1114" s="17">
        <v>4</v>
      </c>
      <c r="AE1114" s="17"/>
      <c r="AF1114" s="17"/>
      <c r="AG1114" s="17">
        <v>2001</v>
      </c>
      <c r="AH1114" s="14">
        <f t="shared" si="77"/>
        <v>3</v>
      </c>
      <c r="AI1114" s="17">
        <f t="shared" si="78"/>
        <v>7</v>
      </c>
      <c r="AJ1114" s="17"/>
      <c r="AK1114" s="17" t="s">
        <v>58</v>
      </c>
      <c r="AL1114" s="16" t="s">
        <v>1146</v>
      </c>
      <c r="AM1114" s="17">
        <v>2012</v>
      </c>
      <c r="AN1114" s="12" t="s">
        <v>1147</v>
      </c>
      <c r="AO1114" s="15" t="s">
        <v>56</v>
      </c>
      <c r="AP1114" s="15"/>
      <c r="AQ1114" s="15" t="s">
        <v>56</v>
      </c>
      <c r="AR1114" s="15" t="s">
        <v>58</v>
      </c>
      <c r="AS1114" s="15" t="s">
        <v>62</v>
      </c>
      <c r="AT1114" s="15"/>
      <c r="AU1114" s="45"/>
      <c r="AV1114" s="15"/>
      <c r="AW1114" s="12" t="str">
        <f>B1114&amp;C1114&amp;L1114&amp;M1114&amp;O1114&amp;U1114&amp;AL1114&amp;AM1114</f>
        <v>Canary IslandsLa Palma marine reservePseudotetraspora marinacover8.33333333333333Sangil2012</v>
      </c>
    </row>
    <row r="1115" spans="1:49" ht="14.25" customHeight="1" x14ac:dyDescent="0.35">
      <c r="A1115" s="12">
        <v>1114</v>
      </c>
      <c r="B1115" s="15" t="s">
        <v>1107</v>
      </c>
      <c r="C1115" s="12" t="s">
        <v>1144</v>
      </c>
      <c r="D1115" s="12" t="s">
        <v>2637</v>
      </c>
      <c r="E1115" s="15" t="s">
        <v>730</v>
      </c>
      <c r="F1115" s="13" t="s">
        <v>50</v>
      </c>
      <c r="G1115" s="13" t="s">
        <v>51</v>
      </c>
      <c r="H1115" s="16" t="s">
        <v>108</v>
      </c>
      <c r="I1115" s="16" t="s">
        <v>53</v>
      </c>
      <c r="J1115" s="17">
        <v>37.19</v>
      </c>
      <c r="K1115" s="17"/>
      <c r="L1115" s="17" t="s">
        <v>1165</v>
      </c>
      <c r="M1115" s="17"/>
      <c r="N1115" s="14" t="s">
        <v>691</v>
      </c>
      <c r="O1115" s="17" t="s">
        <v>101</v>
      </c>
      <c r="P1115" s="17"/>
      <c r="Q1115" s="17"/>
      <c r="R1115" s="17"/>
      <c r="S1115" s="17">
        <v>0.25</v>
      </c>
      <c r="T1115" s="17">
        <v>66</v>
      </c>
      <c r="U1115" s="20">
        <f t="shared" si="76"/>
        <v>264</v>
      </c>
      <c r="V1115" s="41">
        <f t="shared" si="79"/>
        <v>26300</v>
      </c>
      <c r="W1115" s="17"/>
      <c r="X1115" s="17" t="s">
        <v>56</v>
      </c>
      <c r="Y1115" s="17"/>
      <c r="Z1115" s="17" t="s">
        <v>56</v>
      </c>
      <c r="AA1115" s="17"/>
      <c r="AB1115" s="17" t="s">
        <v>57</v>
      </c>
      <c r="AC1115" s="17">
        <v>2004</v>
      </c>
      <c r="AD1115" s="17">
        <v>4</v>
      </c>
      <c r="AE1115" s="17"/>
      <c r="AF1115" s="17"/>
      <c r="AG1115" s="17">
        <v>2001</v>
      </c>
      <c r="AH1115" s="14">
        <f t="shared" si="77"/>
        <v>3</v>
      </c>
      <c r="AI1115" s="17">
        <f t="shared" si="78"/>
        <v>7</v>
      </c>
      <c r="AJ1115" s="17"/>
      <c r="AK1115" s="17" t="s">
        <v>58</v>
      </c>
      <c r="AL1115" s="16" t="s">
        <v>1146</v>
      </c>
      <c r="AM1115" s="17">
        <v>2012</v>
      </c>
      <c r="AN1115" s="15" t="s">
        <v>1147</v>
      </c>
      <c r="AO1115" s="15" t="s">
        <v>56</v>
      </c>
      <c r="AP1115" s="15"/>
      <c r="AQ1115" s="15" t="s">
        <v>56</v>
      </c>
      <c r="AR1115" s="15" t="s">
        <v>58</v>
      </c>
      <c r="AS1115" s="15" t="s">
        <v>62</v>
      </c>
      <c r="AT1115" s="15"/>
      <c r="AU1115" s="45" t="s">
        <v>2843</v>
      </c>
      <c r="AV1115" s="15"/>
      <c r="AW1115" s="12" t="str">
        <f>B1115&amp;C1115&amp;L1115&amp;M1115&amp;O1115&amp;U1115&amp;AL1115&amp;AM1115</f>
        <v>Canary IslandsLa Palma marine reserveCyanophytescover264Sangil2012</v>
      </c>
    </row>
    <row r="1116" spans="1:49" ht="14.25" customHeight="1" x14ac:dyDescent="0.35">
      <c r="A1116" s="12">
        <v>1115</v>
      </c>
      <c r="B1116" s="15" t="s">
        <v>1107</v>
      </c>
      <c r="C1116" s="12" t="s">
        <v>1144</v>
      </c>
      <c r="D1116" s="12" t="s">
        <v>2637</v>
      </c>
      <c r="E1116" s="15" t="s">
        <v>730</v>
      </c>
      <c r="F1116" s="13" t="s">
        <v>50</v>
      </c>
      <c r="G1116" s="13" t="s">
        <v>51</v>
      </c>
      <c r="H1116" s="16" t="s">
        <v>108</v>
      </c>
      <c r="I1116" s="16" t="s">
        <v>53</v>
      </c>
      <c r="J1116" s="17">
        <v>37.19</v>
      </c>
      <c r="K1116" s="17"/>
      <c r="L1116" s="17" t="s">
        <v>1166</v>
      </c>
      <c r="M1116" s="17"/>
      <c r="N1116" s="17" t="s">
        <v>85</v>
      </c>
      <c r="O1116" s="17" t="s">
        <v>101</v>
      </c>
      <c r="P1116" s="17"/>
      <c r="Q1116" s="17"/>
      <c r="R1116" s="17"/>
      <c r="S1116" s="17">
        <v>0.05</v>
      </c>
      <c r="T1116" s="17">
        <v>0</v>
      </c>
      <c r="U1116" s="20">
        <f t="shared" si="76"/>
        <v>0</v>
      </c>
      <c r="V1116" s="41">
        <f t="shared" si="79"/>
        <v>-100</v>
      </c>
      <c r="W1116" s="17"/>
      <c r="X1116" s="17" t="s">
        <v>56</v>
      </c>
      <c r="Y1116" s="17"/>
      <c r="Z1116" s="17" t="s">
        <v>56</v>
      </c>
      <c r="AA1116" s="17"/>
      <c r="AB1116" s="17" t="s">
        <v>57</v>
      </c>
      <c r="AC1116" s="17">
        <v>2004</v>
      </c>
      <c r="AD1116" s="17">
        <v>4</v>
      </c>
      <c r="AE1116" s="17"/>
      <c r="AF1116" s="17"/>
      <c r="AG1116" s="17">
        <v>2001</v>
      </c>
      <c r="AH1116" s="14">
        <f t="shared" si="77"/>
        <v>3</v>
      </c>
      <c r="AI1116" s="17">
        <f t="shared" si="78"/>
        <v>7</v>
      </c>
      <c r="AJ1116" s="17"/>
      <c r="AK1116" s="17" t="s">
        <v>58</v>
      </c>
      <c r="AL1116" s="16" t="s">
        <v>1146</v>
      </c>
      <c r="AM1116" s="17">
        <v>2012</v>
      </c>
      <c r="AN1116" s="15" t="s">
        <v>1147</v>
      </c>
      <c r="AO1116" s="15" t="s">
        <v>56</v>
      </c>
      <c r="AP1116" s="15"/>
      <c r="AQ1116" s="15" t="s">
        <v>56</v>
      </c>
      <c r="AR1116" s="15" t="s">
        <v>58</v>
      </c>
      <c r="AS1116" s="15" t="s">
        <v>62</v>
      </c>
      <c r="AT1116" s="15"/>
      <c r="AU1116" s="45"/>
      <c r="AV1116" s="15"/>
      <c r="AW1116" s="12" t="str">
        <f>B1116&amp;C1116&amp;L1116&amp;M1116&amp;O1116&amp;U1116&amp;AL1116&amp;AM1116</f>
        <v>Canary IslandsLa Palma marine reservePseudochlorodesmis furcellatacover0Sangil2012</v>
      </c>
    </row>
    <row r="1117" spans="1:49" ht="14.25" customHeight="1" x14ac:dyDescent="0.35">
      <c r="A1117" s="12">
        <v>1116</v>
      </c>
      <c r="B1117" s="15" t="s">
        <v>1107</v>
      </c>
      <c r="C1117" s="12" t="s">
        <v>1144</v>
      </c>
      <c r="D1117" s="12" t="s">
        <v>2637</v>
      </c>
      <c r="E1117" s="15" t="s">
        <v>730</v>
      </c>
      <c r="F1117" s="16" t="s">
        <v>50</v>
      </c>
      <c r="G1117" s="16" t="s">
        <v>51</v>
      </c>
      <c r="H1117" s="16" t="s">
        <v>108</v>
      </c>
      <c r="I1117" s="16" t="s">
        <v>53</v>
      </c>
      <c r="J1117" s="17">
        <v>37.19</v>
      </c>
      <c r="K1117" s="17"/>
      <c r="L1117" s="17" t="s">
        <v>1167</v>
      </c>
      <c r="M1117" s="17"/>
      <c r="N1117" s="14" t="s">
        <v>120</v>
      </c>
      <c r="O1117" s="17" t="s">
        <v>101</v>
      </c>
      <c r="P1117" s="17"/>
      <c r="Q1117" s="17"/>
      <c r="R1117" s="17"/>
      <c r="S1117" s="17">
        <v>0</v>
      </c>
      <c r="T1117" s="17">
        <v>0.01</v>
      </c>
      <c r="U1117" s="20" t="str">
        <f t="shared" si="76"/>
        <v>N/A</v>
      </c>
      <c r="V1117" s="41" t="str">
        <f t="shared" si="79"/>
        <v>N/A</v>
      </c>
      <c r="W1117" s="17"/>
      <c r="X1117" s="17" t="s">
        <v>56</v>
      </c>
      <c r="Y1117" s="17"/>
      <c r="Z1117" s="17" t="s">
        <v>56</v>
      </c>
      <c r="AA1117" s="17"/>
      <c r="AB1117" s="17" t="s">
        <v>57</v>
      </c>
      <c r="AC1117" s="17">
        <v>2004</v>
      </c>
      <c r="AD1117" s="17">
        <v>4</v>
      </c>
      <c r="AE1117" s="17"/>
      <c r="AF1117" s="17"/>
      <c r="AG1117" s="17">
        <v>2001</v>
      </c>
      <c r="AH1117" s="14">
        <f t="shared" si="77"/>
        <v>3</v>
      </c>
      <c r="AI1117" s="17">
        <f t="shared" si="78"/>
        <v>7</v>
      </c>
      <c r="AJ1117" s="17"/>
      <c r="AK1117" s="17" t="s">
        <v>58</v>
      </c>
      <c r="AL1117" s="16" t="s">
        <v>1146</v>
      </c>
      <c r="AM1117" s="17">
        <v>2012</v>
      </c>
      <c r="AN1117" s="15" t="s">
        <v>1147</v>
      </c>
      <c r="AO1117" s="15" t="s">
        <v>56</v>
      </c>
      <c r="AP1117" s="15"/>
      <c r="AQ1117" s="15" t="s">
        <v>56</v>
      </c>
      <c r="AR1117" s="15" t="s">
        <v>58</v>
      </c>
      <c r="AS1117" s="15" t="s">
        <v>62</v>
      </c>
      <c r="AT1117" s="15"/>
      <c r="AU1117" s="45"/>
      <c r="AV1117" s="15"/>
      <c r="AW1117" s="12" t="str">
        <f>B1117&amp;C1117&amp;L1117&amp;M1117&amp;O1117&amp;U1117&amp;AL1117&amp;AM1117</f>
        <v>Canary IslandsLa Palma marine reserveLaurenciacoverN/ASangil2012</v>
      </c>
    </row>
    <row r="1118" spans="1:49" ht="14.25" customHeight="1" x14ac:dyDescent="0.35">
      <c r="A1118" s="12">
        <v>1117</v>
      </c>
      <c r="B1118" s="12" t="s">
        <v>1107</v>
      </c>
      <c r="C1118" s="12" t="s">
        <v>1144</v>
      </c>
      <c r="D1118" s="12" t="s">
        <v>2637</v>
      </c>
      <c r="E1118" s="12" t="s">
        <v>730</v>
      </c>
      <c r="F1118" s="13" t="s">
        <v>50</v>
      </c>
      <c r="G1118" s="13" t="s">
        <v>51</v>
      </c>
      <c r="H1118" s="13" t="s">
        <v>108</v>
      </c>
      <c r="I1118" s="13" t="s">
        <v>53</v>
      </c>
      <c r="J1118" s="14">
        <v>37.19</v>
      </c>
      <c r="K1118" s="17"/>
      <c r="L1118" s="14" t="s">
        <v>1168</v>
      </c>
      <c r="M1118" s="14"/>
      <c r="N1118" s="14" t="s">
        <v>85</v>
      </c>
      <c r="O1118" s="17" t="s">
        <v>101</v>
      </c>
      <c r="P1118" s="14"/>
      <c r="Q1118" s="14"/>
      <c r="R1118" s="14"/>
      <c r="S1118" s="14">
        <v>0.01</v>
      </c>
      <c r="T1118" s="14">
        <v>0</v>
      </c>
      <c r="U1118" s="19">
        <f t="shared" si="76"/>
        <v>0</v>
      </c>
      <c r="V1118" s="41">
        <f t="shared" si="79"/>
        <v>-100</v>
      </c>
      <c r="W1118" s="14"/>
      <c r="X1118" s="14" t="s">
        <v>56</v>
      </c>
      <c r="Z1118" s="14" t="s">
        <v>56</v>
      </c>
      <c r="AA1118" s="14"/>
      <c r="AB1118" s="14" t="s">
        <v>57</v>
      </c>
      <c r="AC1118" s="14">
        <v>2004</v>
      </c>
      <c r="AD1118" s="14">
        <v>4</v>
      </c>
      <c r="AE1118" s="14"/>
      <c r="AF1118" s="14"/>
      <c r="AG1118" s="17">
        <v>2001</v>
      </c>
      <c r="AH1118" s="14">
        <f t="shared" si="77"/>
        <v>3</v>
      </c>
      <c r="AI1118" s="17">
        <f t="shared" si="78"/>
        <v>7</v>
      </c>
      <c r="AJ1118" s="14"/>
      <c r="AK1118" s="14" t="s">
        <v>58</v>
      </c>
      <c r="AL1118" s="13" t="s">
        <v>1146</v>
      </c>
      <c r="AM1118" s="14">
        <v>2012</v>
      </c>
      <c r="AN1118" s="15" t="s">
        <v>1147</v>
      </c>
      <c r="AO1118" s="12" t="s">
        <v>56</v>
      </c>
      <c r="AP1118" s="12"/>
      <c r="AQ1118" s="12" t="s">
        <v>56</v>
      </c>
      <c r="AR1118" s="12" t="s">
        <v>58</v>
      </c>
      <c r="AS1118" s="12" t="s">
        <v>62</v>
      </c>
      <c r="AT1118" s="12"/>
      <c r="AU1118" s="45"/>
      <c r="AV1118" s="15"/>
      <c r="AW1118" s="12" t="str">
        <f>B1118&amp;C1118&amp;L1118&amp;M1118&amp;O1118&amp;U1118&amp;AL1118&amp;AM1118</f>
        <v>Canary IslandsLa Palma marine reserveGelidium pusillumcover0Sangil2012</v>
      </c>
    </row>
    <row r="1119" spans="1:49" ht="14.25" customHeight="1" x14ac:dyDescent="0.35">
      <c r="A1119" s="12">
        <v>1118</v>
      </c>
      <c r="B1119" s="15" t="s">
        <v>1107</v>
      </c>
      <c r="C1119" s="12" t="s">
        <v>1144</v>
      </c>
      <c r="D1119" s="12" t="s">
        <v>2637</v>
      </c>
      <c r="E1119" s="15" t="s">
        <v>730</v>
      </c>
      <c r="F1119" s="13" t="s">
        <v>50</v>
      </c>
      <c r="G1119" s="13" t="s">
        <v>51</v>
      </c>
      <c r="H1119" s="16" t="s">
        <v>108</v>
      </c>
      <c r="I1119" s="16" t="s">
        <v>53</v>
      </c>
      <c r="J1119" s="17">
        <v>37.19</v>
      </c>
      <c r="K1119" s="17"/>
      <c r="L1119" s="17" t="s">
        <v>1169</v>
      </c>
      <c r="M1119" s="17"/>
      <c r="N1119" s="14" t="s">
        <v>85</v>
      </c>
      <c r="O1119" s="17" t="s">
        <v>101</v>
      </c>
      <c r="P1119" s="17"/>
      <c r="Q1119" s="17"/>
      <c r="R1119" s="17"/>
      <c r="S1119" s="17">
        <v>0</v>
      </c>
      <c r="T1119" s="17">
        <v>0</v>
      </c>
      <c r="U1119" s="20" t="str">
        <f t="shared" si="76"/>
        <v>N/A</v>
      </c>
      <c r="V1119" s="41" t="str">
        <f t="shared" si="79"/>
        <v>N/A</v>
      </c>
      <c r="W1119" s="17"/>
      <c r="X1119" s="17" t="s">
        <v>56</v>
      </c>
      <c r="Z1119" s="17" t="s">
        <v>56</v>
      </c>
      <c r="AA1119" s="17"/>
      <c r="AB1119" s="17" t="s">
        <v>57</v>
      </c>
      <c r="AC1119" s="17">
        <v>2004</v>
      </c>
      <c r="AD1119" s="17">
        <v>4</v>
      </c>
      <c r="AE1119" s="17"/>
      <c r="AF1119" s="17"/>
      <c r="AG1119" s="17">
        <v>2001</v>
      </c>
      <c r="AH1119" s="14">
        <f t="shared" si="77"/>
        <v>3</v>
      </c>
      <c r="AI1119" s="17">
        <f t="shared" si="78"/>
        <v>7</v>
      </c>
      <c r="AJ1119" s="17"/>
      <c r="AK1119" s="17" t="s">
        <v>58</v>
      </c>
      <c r="AL1119" s="16" t="s">
        <v>1146</v>
      </c>
      <c r="AM1119" s="17">
        <v>2012</v>
      </c>
      <c r="AN1119" s="15" t="s">
        <v>1147</v>
      </c>
      <c r="AO1119" s="15" t="s">
        <v>56</v>
      </c>
      <c r="AP1119" s="15"/>
      <c r="AQ1119" s="15" t="s">
        <v>56</v>
      </c>
      <c r="AR1119" s="15" t="s">
        <v>58</v>
      </c>
      <c r="AS1119" s="15" t="s">
        <v>62</v>
      </c>
      <c r="AT1119" s="15"/>
      <c r="AU1119" s="45"/>
      <c r="AV1119" s="15"/>
      <c r="AW1119" s="12" t="str">
        <f>B1119&amp;C1119&amp;L1119&amp;M1119&amp;O1119&amp;U1119&amp;AL1119&amp;AM1119</f>
        <v>Canary IslandsLa Palma marine reserveHeterosiphonia crispellacoverN/ASangil2012</v>
      </c>
    </row>
    <row r="1120" spans="1:49" ht="14.25" customHeight="1" x14ac:dyDescent="0.35">
      <c r="A1120" s="12">
        <v>1119</v>
      </c>
      <c r="B1120" s="15" t="s">
        <v>1107</v>
      </c>
      <c r="C1120" s="12" t="s">
        <v>1144</v>
      </c>
      <c r="D1120" s="12" t="s">
        <v>2637</v>
      </c>
      <c r="E1120" s="15" t="s">
        <v>730</v>
      </c>
      <c r="F1120" s="13" t="s">
        <v>50</v>
      </c>
      <c r="G1120" s="13" t="s">
        <v>51</v>
      </c>
      <c r="H1120" s="16" t="s">
        <v>108</v>
      </c>
      <c r="I1120" s="16" t="s">
        <v>53</v>
      </c>
      <c r="J1120" s="17">
        <v>37.19</v>
      </c>
      <c r="K1120" s="17"/>
      <c r="L1120" s="17" t="s">
        <v>1170</v>
      </c>
      <c r="M1120" s="17"/>
      <c r="N1120" s="17" t="s">
        <v>85</v>
      </c>
      <c r="O1120" s="17" t="s">
        <v>101</v>
      </c>
      <c r="P1120" s="17"/>
      <c r="Q1120" s="17"/>
      <c r="R1120" s="17"/>
      <c r="S1120" s="17">
        <v>0</v>
      </c>
      <c r="T1120" s="17">
        <v>1E-3</v>
      </c>
      <c r="U1120" s="20" t="str">
        <f t="shared" si="76"/>
        <v>N/A</v>
      </c>
      <c r="V1120" s="41" t="str">
        <f t="shared" si="79"/>
        <v>N/A</v>
      </c>
      <c r="W1120" s="17"/>
      <c r="X1120" s="17" t="s">
        <v>56</v>
      </c>
      <c r="Y1120" s="17"/>
      <c r="Z1120" s="17" t="s">
        <v>56</v>
      </c>
      <c r="AA1120" s="17"/>
      <c r="AB1120" s="17" t="s">
        <v>57</v>
      </c>
      <c r="AC1120" s="17">
        <v>2004</v>
      </c>
      <c r="AD1120" s="17">
        <v>4</v>
      </c>
      <c r="AE1120" s="17"/>
      <c r="AF1120" s="17"/>
      <c r="AG1120" s="17">
        <v>2001</v>
      </c>
      <c r="AH1120" s="14">
        <f t="shared" si="77"/>
        <v>3</v>
      </c>
      <c r="AI1120" s="17">
        <f t="shared" si="78"/>
        <v>7</v>
      </c>
      <c r="AJ1120" s="17"/>
      <c r="AK1120" s="17" t="s">
        <v>58</v>
      </c>
      <c r="AL1120" s="16" t="s">
        <v>1146</v>
      </c>
      <c r="AM1120" s="17">
        <v>2012</v>
      </c>
      <c r="AN1120" s="15" t="s">
        <v>1147</v>
      </c>
      <c r="AO1120" s="15" t="s">
        <v>56</v>
      </c>
      <c r="AP1120" s="15"/>
      <c r="AQ1120" s="15" t="s">
        <v>56</v>
      </c>
      <c r="AR1120" s="15" t="s">
        <v>58</v>
      </c>
      <c r="AS1120" s="15" t="s">
        <v>62</v>
      </c>
      <c r="AT1120" s="15"/>
      <c r="AU1120" s="45"/>
      <c r="AV1120" s="15"/>
      <c r="AW1120" s="12" t="str">
        <f>B1120&amp;C1120&amp;L1120&amp;M1120&amp;O1120&amp;U1120&amp;AL1120&amp;AM1120</f>
        <v>Canary IslandsLa Palma marine reserveWrangelia penicillatacoverN/ASangil2012</v>
      </c>
    </row>
    <row r="1121" spans="1:49" ht="14.25" customHeight="1" x14ac:dyDescent="0.35">
      <c r="A1121" s="12">
        <v>1120</v>
      </c>
      <c r="B1121" s="15" t="s">
        <v>153</v>
      </c>
      <c r="C1121" s="12" t="s">
        <v>2589</v>
      </c>
      <c r="D1121" s="12" t="s">
        <v>2589</v>
      </c>
      <c r="E1121" s="15" t="s">
        <v>259</v>
      </c>
      <c r="F1121" s="13" t="s">
        <v>50</v>
      </c>
      <c r="G1121" s="13" t="s">
        <v>51</v>
      </c>
      <c r="H1121" s="16" t="s">
        <v>78</v>
      </c>
      <c r="I1121" s="16" t="s">
        <v>156</v>
      </c>
      <c r="J1121" s="17">
        <v>0.5</v>
      </c>
      <c r="K1121" s="17"/>
      <c r="L1121" s="17" t="s">
        <v>260</v>
      </c>
      <c r="M1121" s="17" t="s">
        <v>261</v>
      </c>
      <c r="N1121" s="53" t="s">
        <v>98</v>
      </c>
      <c r="O1121" s="17" t="s">
        <v>86</v>
      </c>
      <c r="P1121" s="17"/>
      <c r="Q1121" s="17"/>
      <c r="R1121" s="17"/>
      <c r="S1121" s="17">
        <v>48.303449999999998</v>
      </c>
      <c r="T1121" s="17">
        <v>80.082759999999993</v>
      </c>
      <c r="U1121" s="20">
        <f t="shared" si="76"/>
        <v>1.6579097352259518</v>
      </c>
      <c r="V1121" s="41">
        <f t="shared" si="79"/>
        <v>65.790973522595181</v>
      </c>
      <c r="W1121" s="17"/>
      <c r="X1121" s="17" t="s">
        <v>56</v>
      </c>
      <c r="Y1121" s="17"/>
      <c r="Z1121" s="17" t="s">
        <v>56</v>
      </c>
      <c r="AA1121" s="17"/>
      <c r="AB1121" s="17" t="s">
        <v>57</v>
      </c>
      <c r="AC1121" s="17">
        <v>1998</v>
      </c>
      <c r="AD1121" s="17">
        <v>6</v>
      </c>
      <c r="AE1121" s="17"/>
      <c r="AF1121" s="17"/>
      <c r="AG1121" s="17">
        <v>1995</v>
      </c>
      <c r="AH1121" s="14">
        <f t="shared" si="77"/>
        <v>3</v>
      </c>
      <c r="AI1121" s="17">
        <f t="shared" si="78"/>
        <v>9</v>
      </c>
      <c r="AJ1121" s="17"/>
      <c r="AK1121" s="17" t="s">
        <v>58</v>
      </c>
      <c r="AL1121" s="16" t="s">
        <v>262</v>
      </c>
      <c r="AM1121" s="17">
        <v>2007</v>
      </c>
      <c r="AN1121" s="15" t="s">
        <v>263</v>
      </c>
      <c r="AO1121" s="15" t="s">
        <v>56</v>
      </c>
      <c r="AP1121" s="15"/>
      <c r="AQ1121" s="15" t="s">
        <v>56</v>
      </c>
      <c r="AR1121" s="15" t="s">
        <v>58</v>
      </c>
      <c r="AS1121" s="15" t="s">
        <v>62</v>
      </c>
      <c r="AT1121" s="15"/>
      <c r="AU1121" s="45" t="s">
        <v>264</v>
      </c>
      <c r="AV1121" s="15"/>
      <c r="AW1121" s="12" t="str">
        <f>B1121&amp;C1121&amp;L1121&amp;M1121&amp;O1121&amp;U1121&amp;AL1121&amp;AM1121</f>
        <v>PhilippinesHandumon marine reserveHaemulidae, Lethrinidae, Lutjanidae, Nemipteridae, Serranidaetop-trophic level fishdensity1.65790973522595Samoilys2007</v>
      </c>
    </row>
    <row r="1122" spans="1:49" ht="14.25" customHeight="1" x14ac:dyDescent="0.35">
      <c r="A1122" s="12">
        <v>1121</v>
      </c>
      <c r="B1122" s="12" t="s">
        <v>153</v>
      </c>
      <c r="C1122" s="12" t="s">
        <v>2587</v>
      </c>
      <c r="D1122" s="12" t="s">
        <v>2587</v>
      </c>
      <c r="E1122" s="12" t="s">
        <v>259</v>
      </c>
      <c r="F1122" s="13" t="s">
        <v>50</v>
      </c>
      <c r="G1122" s="13" t="s">
        <v>51</v>
      </c>
      <c r="H1122" s="13" t="s">
        <v>78</v>
      </c>
      <c r="I1122" s="13" t="s">
        <v>156</v>
      </c>
      <c r="J1122" s="14">
        <v>0.66</v>
      </c>
      <c r="K1122" s="17"/>
      <c r="L1122" s="14" t="s">
        <v>260</v>
      </c>
      <c r="M1122" s="14" t="s">
        <v>261</v>
      </c>
      <c r="N1122" s="53" t="s">
        <v>98</v>
      </c>
      <c r="O1122" s="17" t="s">
        <v>86</v>
      </c>
      <c r="P1122" s="14"/>
      <c r="Q1122" s="14">
        <v>47.586210000000001</v>
      </c>
      <c r="R1122" s="14">
        <v>13.793100000000001</v>
      </c>
      <c r="S1122" s="14">
        <v>89.655169999999998</v>
      </c>
      <c r="T1122" s="14">
        <v>59.310339999999997</v>
      </c>
      <c r="U1122" s="19">
        <f t="shared" si="76"/>
        <v>2.2823082874084211</v>
      </c>
      <c r="V1122" s="41">
        <f t="shared" si="79"/>
        <v>128.2308287408421</v>
      </c>
      <c r="W1122" s="14"/>
      <c r="X1122" s="14" t="s">
        <v>56</v>
      </c>
      <c r="Z1122" s="14" t="s">
        <v>56</v>
      </c>
      <c r="AA1122" s="14"/>
      <c r="AB1122" s="14" t="s">
        <v>111</v>
      </c>
      <c r="AC1122" s="14">
        <v>1998</v>
      </c>
      <c r="AD1122" s="14">
        <v>6</v>
      </c>
      <c r="AE1122" s="14"/>
      <c r="AF1122" s="14"/>
      <c r="AG1122" s="17">
        <v>2000</v>
      </c>
      <c r="AH1122" s="14">
        <f t="shared" si="77"/>
        <v>-2</v>
      </c>
      <c r="AI1122" s="17">
        <f t="shared" si="78"/>
        <v>4</v>
      </c>
      <c r="AJ1122" s="14"/>
      <c r="AK1122" s="14" t="s">
        <v>58</v>
      </c>
      <c r="AL1122" s="13" t="s">
        <v>262</v>
      </c>
      <c r="AM1122" s="14">
        <v>2007</v>
      </c>
      <c r="AN1122" s="12" t="s">
        <v>263</v>
      </c>
      <c r="AO1122" s="12" t="s">
        <v>56</v>
      </c>
      <c r="AP1122" s="12"/>
      <c r="AQ1122" s="12" t="s">
        <v>56</v>
      </c>
      <c r="AR1122" s="12" t="s">
        <v>58</v>
      </c>
      <c r="AS1122" s="12" t="s">
        <v>62</v>
      </c>
      <c r="AT1122" s="12"/>
      <c r="AU1122" s="45" t="s">
        <v>264</v>
      </c>
      <c r="AV1122" s="15"/>
      <c r="AW1122" s="12" t="str">
        <f>B1122&amp;C1122&amp;L1122&amp;M1122&amp;O1122&amp;U1122&amp;AL1122&amp;AM1122</f>
        <v>PhilippinesAsinan marine reserveHaemulidae, Lethrinidae, Lutjanidae, Nemipteridae, Serranidaetop-trophic level fishdensity2.28230828740842Samoilys2007</v>
      </c>
    </row>
    <row r="1123" spans="1:49" ht="14.25" customHeight="1" x14ac:dyDescent="0.35">
      <c r="A1123" s="12">
        <v>1122</v>
      </c>
      <c r="B1123" s="15" t="s">
        <v>153</v>
      </c>
      <c r="C1123" s="12" t="s">
        <v>2588</v>
      </c>
      <c r="D1123" s="12" t="s">
        <v>2588</v>
      </c>
      <c r="E1123" s="15" t="s">
        <v>259</v>
      </c>
      <c r="F1123" s="13" t="s">
        <v>50</v>
      </c>
      <c r="G1123" s="13" t="s">
        <v>51</v>
      </c>
      <c r="H1123" s="16" t="s">
        <v>78</v>
      </c>
      <c r="I1123" s="16" t="s">
        <v>156</v>
      </c>
      <c r="J1123" s="17">
        <v>0.19500000000000001</v>
      </c>
      <c r="K1123" s="17"/>
      <c r="L1123" s="17" t="s">
        <v>260</v>
      </c>
      <c r="M1123" s="17" t="s">
        <v>261</v>
      </c>
      <c r="N1123" s="53" t="s">
        <v>98</v>
      </c>
      <c r="O1123" s="17" t="s">
        <v>86</v>
      </c>
      <c r="P1123" s="17"/>
      <c r="Q1123" s="17">
        <v>2.7586210000000002</v>
      </c>
      <c r="R1123" s="17">
        <v>31.034479999999999</v>
      </c>
      <c r="S1123" s="17">
        <v>9.6551720000000003</v>
      </c>
      <c r="T1123" s="17">
        <v>160.68969999999999</v>
      </c>
      <c r="U1123" s="20">
        <f t="shared" si="76"/>
        <v>1.479365853392685</v>
      </c>
      <c r="V1123" s="41">
        <f t="shared" si="79"/>
        <v>47.936585339268504</v>
      </c>
      <c r="W1123" s="17"/>
      <c r="X1123" s="17" t="s">
        <v>56</v>
      </c>
      <c r="Y1123" s="17"/>
      <c r="Z1123" s="17" t="s">
        <v>56</v>
      </c>
      <c r="AA1123" s="17"/>
      <c r="AB1123" s="17" t="s">
        <v>111</v>
      </c>
      <c r="AC1123" s="17">
        <v>1999</v>
      </c>
      <c r="AD1123" s="17">
        <v>5</v>
      </c>
      <c r="AE1123" s="17"/>
      <c r="AF1123" s="17"/>
      <c r="AG1123" s="17">
        <v>1999</v>
      </c>
      <c r="AH1123" s="14">
        <f t="shared" si="77"/>
        <v>0</v>
      </c>
      <c r="AI1123" s="17">
        <f t="shared" si="78"/>
        <v>5</v>
      </c>
      <c r="AJ1123" s="17"/>
      <c r="AK1123" s="17" t="s">
        <v>58</v>
      </c>
      <c r="AL1123" s="16" t="s">
        <v>262</v>
      </c>
      <c r="AM1123" s="17">
        <v>2007</v>
      </c>
      <c r="AN1123" s="15" t="s">
        <v>263</v>
      </c>
      <c r="AO1123" s="15" t="s">
        <v>56</v>
      </c>
      <c r="AP1123" s="15"/>
      <c r="AQ1123" s="15" t="s">
        <v>56</v>
      </c>
      <c r="AR1123" s="15" t="s">
        <v>58</v>
      </c>
      <c r="AS1123" s="15" t="s">
        <v>62</v>
      </c>
      <c r="AT1123" s="15"/>
      <c r="AU1123" s="45" t="s">
        <v>264</v>
      </c>
      <c r="AV1123" s="15"/>
      <c r="AW1123" s="12" t="str">
        <f>B1123&amp;C1123&amp;L1123&amp;M1123&amp;O1123&amp;U1123&amp;AL1123&amp;AM1123</f>
        <v>PhilippinesBatasan marine reserveHaemulidae, Lethrinidae, Lutjanidae, Nemipteridae, Serranidaetop-trophic level fishdensity1.47936585339269Samoilys2007</v>
      </c>
    </row>
    <row r="1124" spans="1:49" ht="14.25" customHeight="1" x14ac:dyDescent="0.35">
      <c r="A1124" s="12">
        <v>1123</v>
      </c>
      <c r="B1124" s="15" t="s">
        <v>153</v>
      </c>
      <c r="C1124" s="12" t="s">
        <v>2589</v>
      </c>
      <c r="D1124" s="12" t="s">
        <v>2589</v>
      </c>
      <c r="E1124" s="15" t="s">
        <v>259</v>
      </c>
      <c r="F1124" s="13" t="s">
        <v>50</v>
      </c>
      <c r="G1124" s="13" t="s">
        <v>51</v>
      </c>
      <c r="H1124" s="16" t="s">
        <v>78</v>
      </c>
      <c r="I1124" s="16" t="s">
        <v>156</v>
      </c>
      <c r="J1124" s="17">
        <v>0.5</v>
      </c>
      <c r="K1124" s="17"/>
      <c r="L1124" s="17" t="s">
        <v>265</v>
      </c>
      <c r="M1124" s="17" t="s">
        <v>266</v>
      </c>
      <c r="N1124" s="17" t="s">
        <v>170</v>
      </c>
      <c r="O1124" s="17" t="s">
        <v>86</v>
      </c>
      <c r="P1124" s="17"/>
      <c r="Q1124" s="17"/>
      <c r="R1124" s="17"/>
      <c r="S1124" s="17">
        <v>67.945210000000003</v>
      </c>
      <c r="T1124" s="17">
        <v>166.5753</v>
      </c>
      <c r="U1124" s="20">
        <f t="shared" si="76"/>
        <v>2.4516121151145165</v>
      </c>
      <c r="V1124" s="41">
        <f t="shared" si="79"/>
        <v>145.16121151145165</v>
      </c>
      <c r="W1124" s="17"/>
      <c r="X1124" s="17" t="s">
        <v>56</v>
      </c>
      <c r="Y1124" s="17"/>
      <c r="Z1124" s="17" t="s">
        <v>56</v>
      </c>
      <c r="AA1124" s="17"/>
      <c r="AB1124" s="17" t="s">
        <v>57</v>
      </c>
      <c r="AC1124" s="17">
        <v>1998</v>
      </c>
      <c r="AD1124" s="17">
        <v>6</v>
      </c>
      <c r="AE1124" s="17"/>
      <c r="AF1124" s="17"/>
      <c r="AG1124" s="17">
        <v>1995</v>
      </c>
      <c r="AH1124" s="14">
        <f t="shared" si="77"/>
        <v>3</v>
      </c>
      <c r="AI1124" s="17">
        <f t="shared" si="78"/>
        <v>9</v>
      </c>
      <c r="AJ1124" s="17"/>
      <c r="AK1124" s="17" t="s">
        <v>58</v>
      </c>
      <c r="AL1124" s="16" t="s">
        <v>262</v>
      </c>
      <c r="AM1124" s="17">
        <v>2007</v>
      </c>
      <c r="AN1124" s="15" t="s">
        <v>263</v>
      </c>
      <c r="AO1124" s="15" t="s">
        <v>56</v>
      </c>
      <c r="AP1124" s="15"/>
      <c r="AQ1124" s="15" t="s">
        <v>56</v>
      </c>
      <c r="AR1124" s="15" t="s">
        <v>58</v>
      </c>
      <c r="AS1124" s="15" t="s">
        <v>62</v>
      </c>
      <c r="AT1124" s="15"/>
      <c r="AU1124" s="45" t="s">
        <v>264</v>
      </c>
      <c r="AV1124" s="15"/>
      <c r="AW1124" s="12" t="str">
        <f>B1124&amp;C1124&amp;L1124&amp;M1124&amp;O1124&amp;U1124&amp;AL1124&amp;AM1124</f>
        <v>PhilippinesHandumon marine reserveLabridaewrassesdensity2.45161211511452Samoilys2007</v>
      </c>
    </row>
    <row r="1125" spans="1:49" ht="14.25" customHeight="1" x14ac:dyDescent="0.35">
      <c r="A1125" s="12">
        <v>1124</v>
      </c>
      <c r="B1125" s="15" t="s">
        <v>153</v>
      </c>
      <c r="C1125" s="12" t="s">
        <v>2587</v>
      </c>
      <c r="D1125" s="12" t="s">
        <v>2587</v>
      </c>
      <c r="E1125" s="15" t="s">
        <v>259</v>
      </c>
      <c r="F1125" s="13" t="s">
        <v>50</v>
      </c>
      <c r="G1125" s="13" t="s">
        <v>51</v>
      </c>
      <c r="H1125" s="16" t="s">
        <v>78</v>
      </c>
      <c r="I1125" s="16" t="s">
        <v>156</v>
      </c>
      <c r="J1125" s="17">
        <v>0.66</v>
      </c>
      <c r="K1125" s="17"/>
      <c r="L1125" s="17" t="s">
        <v>265</v>
      </c>
      <c r="M1125" s="17" t="s">
        <v>266</v>
      </c>
      <c r="N1125" s="17" t="s">
        <v>170</v>
      </c>
      <c r="O1125" s="17" t="s">
        <v>86</v>
      </c>
      <c r="P1125" s="17"/>
      <c r="Q1125" s="17">
        <v>61.818179999999998</v>
      </c>
      <c r="R1125" s="17">
        <v>32.727269999999997</v>
      </c>
      <c r="S1125" s="17">
        <v>200</v>
      </c>
      <c r="T1125" s="17">
        <v>147.27269999999999</v>
      </c>
      <c r="U1125" s="20">
        <f t="shared" si="76"/>
        <v>1.3909089083333257</v>
      </c>
      <c r="V1125" s="41">
        <f t="shared" si="79"/>
        <v>39.090890833332573</v>
      </c>
      <c r="W1125" s="17"/>
      <c r="X1125" s="17" t="s">
        <v>56</v>
      </c>
      <c r="Y1125" s="17"/>
      <c r="Z1125" s="17" t="s">
        <v>56</v>
      </c>
      <c r="AA1125" s="17"/>
      <c r="AB1125" s="17" t="s">
        <v>111</v>
      </c>
      <c r="AC1125" s="17">
        <v>1998</v>
      </c>
      <c r="AD1125" s="17">
        <v>6</v>
      </c>
      <c r="AE1125" s="17"/>
      <c r="AF1125" s="17"/>
      <c r="AG1125" s="17">
        <v>2000</v>
      </c>
      <c r="AH1125" s="14">
        <f t="shared" si="77"/>
        <v>-2</v>
      </c>
      <c r="AI1125" s="17">
        <f t="shared" si="78"/>
        <v>4</v>
      </c>
      <c r="AJ1125" s="17"/>
      <c r="AK1125" s="17" t="s">
        <v>58</v>
      </c>
      <c r="AL1125" s="16" t="s">
        <v>262</v>
      </c>
      <c r="AM1125" s="17">
        <v>2007</v>
      </c>
      <c r="AN1125" s="15" t="s">
        <v>263</v>
      </c>
      <c r="AO1125" s="15" t="s">
        <v>56</v>
      </c>
      <c r="AP1125" s="15"/>
      <c r="AQ1125" s="15" t="s">
        <v>56</v>
      </c>
      <c r="AR1125" s="15" t="s">
        <v>58</v>
      </c>
      <c r="AS1125" s="15" t="s">
        <v>62</v>
      </c>
      <c r="AT1125" s="15"/>
      <c r="AU1125" s="45" t="s">
        <v>264</v>
      </c>
      <c r="AV1125" s="15"/>
      <c r="AW1125" s="12" t="str">
        <f>B1125&amp;C1125&amp;L1125&amp;M1125&amp;O1125&amp;U1125&amp;AL1125&amp;AM1125</f>
        <v>PhilippinesAsinan marine reserveLabridaewrassesdensity1.39090890833333Samoilys2007</v>
      </c>
    </row>
    <row r="1126" spans="1:49" ht="14.25" customHeight="1" x14ac:dyDescent="0.35">
      <c r="A1126" s="12">
        <v>1125</v>
      </c>
      <c r="B1126" s="15" t="s">
        <v>153</v>
      </c>
      <c r="C1126" s="12" t="s">
        <v>2588</v>
      </c>
      <c r="D1126" s="12" t="s">
        <v>2588</v>
      </c>
      <c r="E1126" s="15" t="s">
        <v>259</v>
      </c>
      <c r="F1126" s="13" t="s">
        <v>50</v>
      </c>
      <c r="G1126" s="13" t="s">
        <v>51</v>
      </c>
      <c r="H1126" s="16" t="s">
        <v>78</v>
      </c>
      <c r="I1126" s="16" t="s">
        <v>156</v>
      </c>
      <c r="J1126" s="17">
        <v>0.19500000000000001</v>
      </c>
      <c r="K1126" s="17"/>
      <c r="L1126" s="17" t="s">
        <v>265</v>
      </c>
      <c r="M1126" s="17" t="s">
        <v>266</v>
      </c>
      <c r="N1126" s="17" t="s">
        <v>170</v>
      </c>
      <c r="O1126" s="17" t="s">
        <v>86</v>
      </c>
      <c r="P1126" s="17"/>
      <c r="Q1126" s="17">
        <v>89.982990000000001</v>
      </c>
      <c r="R1126" s="17">
        <v>205.36439999999999</v>
      </c>
      <c r="S1126" s="17">
        <v>399.11810000000003</v>
      </c>
      <c r="T1126" s="17">
        <v>433.9502</v>
      </c>
      <c r="U1126" s="20">
        <f t="shared" si="76"/>
        <v>0.47640216750612585</v>
      </c>
      <c r="V1126" s="41">
        <f t="shared" si="79"/>
        <v>-52.359783249387412</v>
      </c>
      <c r="W1126" s="17"/>
      <c r="X1126" s="17" t="s">
        <v>56</v>
      </c>
      <c r="Y1126" s="17"/>
      <c r="Z1126" s="17" t="s">
        <v>56</v>
      </c>
      <c r="AA1126" s="17"/>
      <c r="AB1126" s="17" t="s">
        <v>111</v>
      </c>
      <c r="AC1126" s="17">
        <v>1999</v>
      </c>
      <c r="AD1126" s="17">
        <v>5</v>
      </c>
      <c r="AE1126" s="17"/>
      <c r="AF1126" s="17"/>
      <c r="AG1126" s="17">
        <v>1999</v>
      </c>
      <c r="AH1126" s="14">
        <f t="shared" si="77"/>
        <v>0</v>
      </c>
      <c r="AI1126" s="17">
        <f t="shared" si="78"/>
        <v>5</v>
      </c>
      <c r="AJ1126" s="17"/>
      <c r="AK1126" s="17" t="s">
        <v>58</v>
      </c>
      <c r="AL1126" s="16" t="s">
        <v>262</v>
      </c>
      <c r="AM1126" s="17">
        <v>2007</v>
      </c>
      <c r="AN1126" s="15" t="s">
        <v>263</v>
      </c>
      <c r="AO1126" s="15" t="s">
        <v>56</v>
      </c>
      <c r="AP1126" s="15"/>
      <c r="AQ1126" s="15" t="s">
        <v>56</v>
      </c>
      <c r="AR1126" s="15" t="s">
        <v>58</v>
      </c>
      <c r="AS1126" s="15" t="s">
        <v>62</v>
      </c>
      <c r="AT1126" s="15"/>
      <c r="AU1126" s="45" t="s">
        <v>264</v>
      </c>
      <c r="AV1126" s="15"/>
      <c r="AW1126" s="12" t="str">
        <f>B1126&amp;C1126&amp;L1126&amp;M1126&amp;O1126&amp;U1126&amp;AL1126&amp;AM1126</f>
        <v>PhilippinesBatasan marine reserveLabridaewrassesdensity0.476402167506126Samoilys2007</v>
      </c>
    </row>
    <row r="1127" spans="1:49" ht="14.25" customHeight="1" x14ac:dyDescent="0.35">
      <c r="A1127" s="12">
        <v>1126</v>
      </c>
      <c r="B1127" s="12" t="s">
        <v>153</v>
      </c>
      <c r="C1127" s="12" t="s">
        <v>2589</v>
      </c>
      <c r="D1127" s="12" t="s">
        <v>2589</v>
      </c>
      <c r="E1127" s="15" t="s">
        <v>259</v>
      </c>
      <c r="F1127" s="13" t="s">
        <v>50</v>
      </c>
      <c r="G1127" s="13" t="s">
        <v>51</v>
      </c>
      <c r="H1127" s="16" t="s">
        <v>78</v>
      </c>
      <c r="I1127" s="16" t="s">
        <v>156</v>
      </c>
      <c r="J1127" s="17">
        <v>0.5</v>
      </c>
      <c r="K1127" s="17"/>
      <c r="L1127" s="17" t="s">
        <v>267</v>
      </c>
      <c r="M1127" s="17" t="s">
        <v>268</v>
      </c>
      <c r="N1127" s="17" t="s">
        <v>170</v>
      </c>
      <c r="O1127" s="17" t="s">
        <v>86</v>
      </c>
      <c r="P1127" s="17"/>
      <c r="Q1127" s="17"/>
      <c r="R1127" s="17"/>
      <c r="S1127" s="17">
        <v>34.044440000000002</v>
      </c>
      <c r="T1127" s="17">
        <v>232.4444</v>
      </c>
      <c r="U1127" s="20">
        <f t="shared" si="76"/>
        <v>6.82767582606734</v>
      </c>
      <c r="V1127" s="41">
        <f t="shared" si="79"/>
        <v>582.76758260673398</v>
      </c>
      <c r="W1127" s="17"/>
      <c r="X1127" s="17" t="s">
        <v>56</v>
      </c>
      <c r="Y1127" s="17"/>
      <c r="Z1127" s="17" t="s">
        <v>56</v>
      </c>
      <c r="AA1127" s="17"/>
      <c r="AB1127" s="17" t="s">
        <v>57</v>
      </c>
      <c r="AC1127" s="17">
        <v>1998</v>
      </c>
      <c r="AD1127" s="17">
        <v>6</v>
      </c>
      <c r="AE1127" s="17"/>
      <c r="AF1127" s="17"/>
      <c r="AG1127" s="17">
        <v>1995</v>
      </c>
      <c r="AH1127" s="14">
        <f t="shared" si="77"/>
        <v>3</v>
      </c>
      <c r="AI1127" s="17">
        <f t="shared" si="78"/>
        <v>9</v>
      </c>
      <c r="AJ1127" s="17"/>
      <c r="AK1127" s="17" t="s">
        <v>58</v>
      </c>
      <c r="AL1127" s="16" t="s">
        <v>262</v>
      </c>
      <c r="AM1127" s="17">
        <v>2007</v>
      </c>
      <c r="AN1127" s="15" t="s">
        <v>263</v>
      </c>
      <c r="AO1127" s="15" t="s">
        <v>56</v>
      </c>
      <c r="AP1127" s="15"/>
      <c r="AQ1127" s="15" t="s">
        <v>56</v>
      </c>
      <c r="AR1127" s="15" t="s">
        <v>58</v>
      </c>
      <c r="AS1127" s="15" t="s">
        <v>62</v>
      </c>
      <c r="AT1127" s="15"/>
      <c r="AU1127" s="45" t="s">
        <v>264</v>
      </c>
      <c r="AV1127" s="15"/>
      <c r="AW1127" s="12" t="str">
        <f>B1127&amp;C1127&amp;L1127&amp;M1127&amp;O1127&amp;U1127&amp;AL1127&amp;AM1127</f>
        <v>PhilippinesHandumon marine reserveScaridaeParrotfishdensity6.82767582606734Samoilys2007</v>
      </c>
    </row>
    <row r="1128" spans="1:49" ht="14.25" customHeight="1" x14ac:dyDescent="0.35">
      <c r="A1128" s="12">
        <v>1127</v>
      </c>
      <c r="B1128" s="15" t="s">
        <v>153</v>
      </c>
      <c r="C1128" s="12" t="s">
        <v>2587</v>
      </c>
      <c r="D1128" s="12" t="s">
        <v>2587</v>
      </c>
      <c r="E1128" s="15" t="s">
        <v>259</v>
      </c>
      <c r="F1128" s="13" t="s">
        <v>50</v>
      </c>
      <c r="G1128" s="13" t="s">
        <v>51</v>
      </c>
      <c r="H1128" s="16" t="s">
        <v>78</v>
      </c>
      <c r="I1128" s="16" t="s">
        <v>156</v>
      </c>
      <c r="J1128" s="17">
        <v>0.66</v>
      </c>
      <c r="K1128" s="17"/>
      <c r="L1128" s="17" t="s">
        <v>267</v>
      </c>
      <c r="M1128" s="17" t="s">
        <v>268</v>
      </c>
      <c r="N1128" s="17" t="s">
        <v>170</v>
      </c>
      <c r="O1128" s="17" t="s">
        <v>86</v>
      </c>
      <c r="P1128" s="17"/>
      <c r="Q1128" s="17">
        <v>0</v>
      </c>
      <c r="R1128" s="17">
        <v>4.8296299999999999</v>
      </c>
      <c r="S1128" s="17">
        <v>65.629630000000006</v>
      </c>
      <c r="T1128" s="17">
        <v>79.496300000000005</v>
      </c>
      <c r="U1128" s="20" t="str">
        <f t="shared" si="76"/>
        <v>N/A</v>
      </c>
      <c r="V1128" s="41" t="str">
        <f t="shared" si="79"/>
        <v>N/A</v>
      </c>
      <c r="W1128" s="17"/>
      <c r="X1128" s="17" t="s">
        <v>56</v>
      </c>
      <c r="Y1128" s="17"/>
      <c r="Z1128" s="17" t="s">
        <v>56</v>
      </c>
      <c r="AA1128" s="17"/>
      <c r="AB1128" s="17" t="s">
        <v>111</v>
      </c>
      <c r="AC1128" s="17">
        <v>1998</v>
      </c>
      <c r="AD1128" s="17">
        <v>6</v>
      </c>
      <c r="AE1128" s="17"/>
      <c r="AF1128" s="17"/>
      <c r="AG1128" s="17">
        <v>2000</v>
      </c>
      <c r="AH1128" s="14">
        <f t="shared" si="77"/>
        <v>-2</v>
      </c>
      <c r="AI1128" s="17">
        <f t="shared" si="78"/>
        <v>4</v>
      </c>
      <c r="AJ1128" s="17"/>
      <c r="AK1128" s="17" t="s">
        <v>58</v>
      </c>
      <c r="AL1128" s="16" t="s">
        <v>262</v>
      </c>
      <c r="AM1128" s="17">
        <v>2007</v>
      </c>
      <c r="AN1128" s="15" t="s">
        <v>263</v>
      </c>
      <c r="AO1128" s="15" t="s">
        <v>56</v>
      </c>
      <c r="AP1128" s="15"/>
      <c r="AQ1128" s="15" t="s">
        <v>56</v>
      </c>
      <c r="AR1128" s="15" t="s">
        <v>58</v>
      </c>
      <c r="AS1128" s="15" t="s">
        <v>62</v>
      </c>
      <c r="AT1128" s="15"/>
      <c r="AU1128" s="45" t="s">
        <v>264</v>
      </c>
      <c r="AV1128" s="15"/>
      <c r="AW1128" s="12" t="str">
        <f>B1128&amp;C1128&amp;L1128&amp;M1128&amp;O1128&amp;U1128&amp;AL1128&amp;AM1128</f>
        <v>PhilippinesAsinan marine reserveScaridaeParrotfishdensityN/ASamoilys2007</v>
      </c>
    </row>
    <row r="1129" spans="1:49" ht="14.25" customHeight="1" x14ac:dyDescent="0.35">
      <c r="A1129" s="12">
        <v>1128</v>
      </c>
      <c r="B1129" s="15" t="s">
        <v>153</v>
      </c>
      <c r="C1129" s="12" t="s">
        <v>2588</v>
      </c>
      <c r="D1129" s="12" t="s">
        <v>2588</v>
      </c>
      <c r="E1129" s="15" t="s">
        <v>259</v>
      </c>
      <c r="F1129" s="16" t="s">
        <v>50</v>
      </c>
      <c r="G1129" s="16" t="s">
        <v>51</v>
      </c>
      <c r="H1129" s="16" t="s">
        <v>78</v>
      </c>
      <c r="I1129" s="16" t="s">
        <v>156</v>
      </c>
      <c r="J1129" s="17">
        <v>0.19500000000000001</v>
      </c>
      <c r="K1129" s="17"/>
      <c r="L1129" s="17" t="s">
        <v>267</v>
      </c>
      <c r="M1129" s="17" t="s">
        <v>268</v>
      </c>
      <c r="N1129" s="17" t="s">
        <v>170</v>
      </c>
      <c r="O1129" s="17" t="s">
        <v>86</v>
      </c>
      <c r="P1129" s="17"/>
      <c r="Q1129" s="17">
        <v>0</v>
      </c>
      <c r="R1129" s="17">
        <v>0</v>
      </c>
      <c r="S1129" s="17">
        <v>71.180490000000006</v>
      </c>
      <c r="T1129" s="17">
        <v>235.0829</v>
      </c>
      <c r="U1129" s="20" t="str">
        <f t="shared" si="76"/>
        <v>N/A</v>
      </c>
      <c r="V1129" s="41" t="str">
        <f t="shared" si="79"/>
        <v>N/A</v>
      </c>
      <c r="W1129" s="17"/>
      <c r="X1129" s="17" t="s">
        <v>56</v>
      </c>
      <c r="Y1129" s="17"/>
      <c r="Z1129" s="17" t="s">
        <v>56</v>
      </c>
      <c r="AA1129" s="17"/>
      <c r="AB1129" s="17" t="s">
        <v>111</v>
      </c>
      <c r="AC1129" s="17">
        <v>1999</v>
      </c>
      <c r="AD1129" s="17">
        <v>5</v>
      </c>
      <c r="AE1129" s="17"/>
      <c r="AF1129" s="17"/>
      <c r="AG1129" s="17">
        <v>1999</v>
      </c>
      <c r="AH1129" s="14">
        <f t="shared" si="77"/>
        <v>0</v>
      </c>
      <c r="AI1129" s="17">
        <f t="shared" si="78"/>
        <v>5</v>
      </c>
      <c r="AJ1129" s="17"/>
      <c r="AK1129" s="17" t="s">
        <v>58</v>
      </c>
      <c r="AL1129" s="16" t="s">
        <v>262</v>
      </c>
      <c r="AM1129" s="17">
        <v>2007</v>
      </c>
      <c r="AN1129" s="15" t="s">
        <v>263</v>
      </c>
      <c r="AO1129" s="15" t="s">
        <v>56</v>
      </c>
      <c r="AP1129" s="15"/>
      <c r="AQ1129" s="15" t="s">
        <v>56</v>
      </c>
      <c r="AR1129" s="15" t="s">
        <v>58</v>
      </c>
      <c r="AS1129" s="15" t="s">
        <v>62</v>
      </c>
      <c r="AT1129" s="15"/>
      <c r="AU1129" s="45" t="s">
        <v>264</v>
      </c>
      <c r="AV1129" s="15"/>
      <c r="AW1129" s="12" t="str">
        <f>B1129&amp;C1129&amp;L1129&amp;M1129&amp;O1129&amp;U1129&amp;AL1129&amp;AM1129</f>
        <v>PhilippinesBatasan marine reserveScaridaeParrotfishdensityN/ASamoilys2007</v>
      </c>
    </row>
    <row r="1130" spans="1:49" ht="14.25" customHeight="1" x14ac:dyDescent="0.35">
      <c r="A1130" s="12">
        <v>1129</v>
      </c>
      <c r="B1130" s="15" t="s">
        <v>153</v>
      </c>
      <c r="C1130" s="12" t="s">
        <v>2589</v>
      </c>
      <c r="D1130" s="12" t="s">
        <v>2589</v>
      </c>
      <c r="E1130" s="15" t="s">
        <v>259</v>
      </c>
      <c r="F1130" s="16" t="s">
        <v>50</v>
      </c>
      <c r="G1130" s="16" t="s">
        <v>51</v>
      </c>
      <c r="H1130" s="16" t="s">
        <v>78</v>
      </c>
      <c r="I1130" s="16" t="s">
        <v>156</v>
      </c>
      <c r="J1130" s="17">
        <v>0.5</v>
      </c>
      <c r="K1130" s="17"/>
      <c r="L1130" s="17" t="s">
        <v>269</v>
      </c>
      <c r="M1130" s="17" t="s">
        <v>270</v>
      </c>
      <c r="N1130" s="17" t="s">
        <v>170</v>
      </c>
      <c r="O1130" s="17" t="s">
        <v>86</v>
      </c>
      <c r="P1130" s="17"/>
      <c r="Q1130" s="17"/>
      <c r="R1130" s="17"/>
      <c r="S1130" s="17">
        <v>57.824779999999997</v>
      </c>
      <c r="T1130" s="17">
        <v>618.87689999999998</v>
      </c>
      <c r="U1130" s="20">
        <f t="shared" si="76"/>
        <v>10.702624376608091</v>
      </c>
      <c r="V1130" s="41">
        <f t="shared" si="79"/>
        <v>970.26243766080904</v>
      </c>
      <c r="W1130" s="17"/>
      <c r="X1130" s="17" t="s">
        <v>56</v>
      </c>
      <c r="Y1130" s="17"/>
      <c r="Z1130" s="17" t="s">
        <v>56</v>
      </c>
      <c r="AA1130" s="17"/>
      <c r="AB1130" s="17" t="s">
        <v>57</v>
      </c>
      <c r="AC1130" s="17">
        <v>1998</v>
      </c>
      <c r="AD1130" s="17">
        <v>6</v>
      </c>
      <c r="AE1130" s="17"/>
      <c r="AF1130" s="17"/>
      <c r="AG1130" s="17">
        <v>1995</v>
      </c>
      <c r="AH1130" s="14">
        <f t="shared" si="77"/>
        <v>3</v>
      </c>
      <c r="AI1130" s="17">
        <f t="shared" si="78"/>
        <v>9</v>
      </c>
      <c r="AJ1130" s="17"/>
      <c r="AK1130" s="17" t="s">
        <v>58</v>
      </c>
      <c r="AL1130" s="16" t="s">
        <v>262</v>
      </c>
      <c r="AM1130" s="17">
        <v>2007</v>
      </c>
      <c r="AN1130" s="15" t="s">
        <v>263</v>
      </c>
      <c r="AO1130" s="15" t="s">
        <v>56</v>
      </c>
      <c r="AP1130" s="15"/>
      <c r="AQ1130" s="15" t="s">
        <v>56</v>
      </c>
      <c r="AR1130" s="15" t="s">
        <v>58</v>
      </c>
      <c r="AS1130" s="15" t="s">
        <v>62</v>
      </c>
      <c r="AT1130" s="15"/>
      <c r="AU1130" s="45" t="s">
        <v>264</v>
      </c>
      <c r="AV1130" s="15"/>
      <c r="AW1130" s="12" t="str">
        <f>B1130&amp;C1130&amp;L1130&amp;M1130&amp;O1130&amp;U1130&amp;AL1130&amp;AM1130</f>
        <v>PhilippinesHandumon marine reservePomacentridaedamselfish, clownfishdensity10.7026243766081Samoilys2007</v>
      </c>
    </row>
    <row r="1131" spans="1:49" ht="14.25" customHeight="1" x14ac:dyDescent="0.35">
      <c r="A1131" s="12">
        <v>1130</v>
      </c>
      <c r="B1131" s="12" t="s">
        <v>153</v>
      </c>
      <c r="C1131" s="12" t="s">
        <v>2587</v>
      </c>
      <c r="D1131" s="12" t="s">
        <v>2587</v>
      </c>
      <c r="E1131" s="12" t="s">
        <v>259</v>
      </c>
      <c r="F1131" s="16" t="s">
        <v>50</v>
      </c>
      <c r="G1131" s="16" t="s">
        <v>51</v>
      </c>
      <c r="H1131" s="16" t="s">
        <v>78</v>
      </c>
      <c r="I1131" s="16" t="s">
        <v>156</v>
      </c>
      <c r="J1131" s="17">
        <v>0.66</v>
      </c>
      <c r="K1131" s="17"/>
      <c r="L1131" s="17" t="s">
        <v>269</v>
      </c>
      <c r="M1131" s="17" t="s">
        <v>270</v>
      </c>
      <c r="N1131" s="17" t="s">
        <v>170</v>
      </c>
      <c r="O1131" s="17" t="s">
        <v>86</v>
      </c>
      <c r="P1131" s="17"/>
      <c r="Q1131" s="17">
        <v>9.9384619999999995</v>
      </c>
      <c r="R1131" s="17">
        <v>16.584620000000001</v>
      </c>
      <c r="S1131" s="17">
        <v>581.5077</v>
      </c>
      <c r="T1131" s="17">
        <v>435.29230000000001</v>
      </c>
      <c r="U1131" s="19">
        <f t="shared" si="76"/>
        <v>0.44857924076182981</v>
      </c>
      <c r="V1131" s="41">
        <f t="shared" si="79"/>
        <v>-55.142075923817011</v>
      </c>
      <c r="W1131" s="14"/>
      <c r="X1131" s="17" t="s">
        <v>56</v>
      </c>
      <c r="Y1131" s="17"/>
      <c r="Z1131" s="17" t="s">
        <v>56</v>
      </c>
      <c r="AA1131" s="17"/>
      <c r="AB1131" s="17" t="s">
        <v>111</v>
      </c>
      <c r="AC1131" s="17">
        <v>1998</v>
      </c>
      <c r="AD1131" s="17">
        <v>6</v>
      </c>
      <c r="AE1131" s="17"/>
      <c r="AF1131" s="17"/>
      <c r="AG1131" s="17">
        <v>2000</v>
      </c>
      <c r="AH1131" s="14">
        <f t="shared" si="77"/>
        <v>-2</v>
      </c>
      <c r="AI1131" s="17">
        <f t="shared" si="78"/>
        <v>4</v>
      </c>
      <c r="AJ1131" s="17"/>
      <c r="AK1131" s="17" t="s">
        <v>58</v>
      </c>
      <c r="AL1131" s="16" t="s">
        <v>262</v>
      </c>
      <c r="AM1131" s="17">
        <v>2007</v>
      </c>
      <c r="AN1131" s="15" t="s">
        <v>263</v>
      </c>
      <c r="AO1131" s="15" t="s">
        <v>56</v>
      </c>
      <c r="AP1131" s="15"/>
      <c r="AQ1131" s="15" t="s">
        <v>56</v>
      </c>
      <c r="AR1131" s="15" t="s">
        <v>58</v>
      </c>
      <c r="AS1131" s="15" t="s">
        <v>62</v>
      </c>
      <c r="AT1131" s="12"/>
      <c r="AU1131" s="45" t="s">
        <v>264</v>
      </c>
      <c r="AV1131" s="15"/>
      <c r="AW1131" s="12" t="str">
        <f>B1131&amp;C1131&amp;L1131&amp;M1131&amp;O1131&amp;U1131&amp;AL1131&amp;AM1131</f>
        <v>PhilippinesAsinan marine reservePomacentridaedamselfish, clownfishdensity0.44857924076183Samoilys2007</v>
      </c>
    </row>
    <row r="1132" spans="1:49" ht="14.25" customHeight="1" x14ac:dyDescent="0.35">
      <c r="A1132" s="12">
        <v>1131</v>
      </c>
      <c r="B1132" s="15" t="s">
        <v>153</v>
      </c>
      <c r="C1132" s="12" t="s">
        <v>2588</v>
      </c>
      <c r="D1132" s="12" t="s">
        <v>2588</v>
      </c>
      <c r="E1132" s="15" t="s">
        <v>259</v>
      </c>
      <c r="F1132" s="13" t="s">
        <v>50</v>
      </c>
      <c r="G1132" s="13" t="s">
        <v>51</v>
      </c>
      <c r="H1132" s="16" t="s">
        <v>78</v>
      </c>
      <c r="I1132" s="16" t="s">
        <v>156</v>
      </c>
      <c r="J1132" s="17">
        <v>0.19500000000000001</v>
      </c>
      <c r="K1132" s="17"/>
      <c r="L1132" s="17" t="s">
        <v>269</v>
      </c>
      <c r="M1132" s="17" t="s">
        <v>270</v>
      </c>
      <c r="N1132" s="17" t="s">
        <v>170</v>
      </c>
      <c r="O1132" s="17" t="s">
        <v>86</v>
      </c>
      <c r="P1132" s="17"/>
      <c r="Q1132" s="17">
        <v>652.34289999999999</v>
      </c>
      <c r="R1132" s="17">
        <v>463.08569999999997</v>
      </c>
      <c r="S1132" s="17">
        <v>1631.5429999999999</v>
      </c>
      <c r="T1132" s="17">
        <v>1220.114</v>
      </c>
      <c r="U1132" s="20">
        <f t="shared" si="76"/>
        <v>1.053456132854089</v>
      </c>
      <c r="V1132" s="41">
        <f t="shared" si="79"/>
        <v>5.3456132854089011</v>
      </c>
      <c r="W1132" s="17"/>
      <c r="X1132" s="17" t="s">
        <v>56</v>
      </c>
      <c r="Y1132" s="17"/>
      <c r="Z1132" s="17" t="s">
        <v>56</v>
      </c>
      <c r="AA1132" s="17"/>
      <c r="AB1132" s="17" t="s">
        <v>111</v>
      </c>
      <c r="AC1132" s="17">
        <v>1999</v>
      </c>
      <c r="AD1132" s="17">
        <v>5</v>
      </c>
      <c r="AE1132" s="17"/>
      <c r="AF1132" s="17"/>
      <c r="AG1132" s="17">
        <v>1999</v>
      </c>
      <c r="AH1132" s="14">
        <f t="shared" si="77"/>
        <v>0</v>
      </c>
      <c r="AI1132" s="17">
        <f t="shared" si="78"/>
        <v>5</v>
      </c>
      <c r="AJ1132" s="17"/>
      <c r="AK1132" s="17" t="s">
        <v>58</v>
      </c>
      <c r="AL1132" s="16" t="s">
        <v>262</v>
      </c>
      <c r="AM1132" s="17">
        <v>2007</v>
      </c>
      <c r="AN1132" s="15" t="s">
        <v>263</v>
      </c>
      <c r="AO1132" s="15" t="s">
        <v>56</v>
      </c>
      <c r="AP1132" s="15"/>
      <c r="AQ1132" s="15" t="s">
        <v>56</v>
      </c>
      <c r="AR1132" s="15" t="s">
        <v>58</v>
      </c>
      <c r="AS1132" s="15" t="s">
        <v>62</v>
      </c>
      <c r="AT1132" s="15"/>
      <c r="AU1132" s="45" t="s">
        <v>264</v>
      </c>
      <c r="AV1132" s="15"/>
      <c r="AW1132" s="12" t="str">
        <f>B1132&amp;C1132&amp;L1132&amp;M1132&amp;O1132&amp;U1132&amp;AL1132&amp;AM1132</f>
        <v>PhilippinesBatasan marine reservePomacentridaedamselfish, clownfishdensity1.05345613285409Samoilys2007</v>
      </c>
    </row>
    <row r="1133" spans="1:49" ht="14.25" customHeight="1" x14ac:dyDescent="0.35">
      <c r="A1133" s="12">
        <v>1132</v>
      </c>
      <c r="B1133" s="15" t="s">
        <v>153</v>
      </c>
      <c r="C1133" s="12" t="s">
        <v>2589</v>
      </c>
      <c r="D1133" s="12" t="s">
        <v>2589</v>
      </c>
      <c r="E1133" s="15" t="s">
        <v>259</v>
      </c>
      <c r="F1133" s="13" t="s">
        <v>50</v>
      </c>
      <c r="G1133" s="13" t="s">
        <v>51</v>
      </c>
      <c r="H1133" s="16" t="s">
        <v>78</v>
      </c>
      <c r="I1133" s="16" t="s">
        <v>156</v>
      </c>
      <c r="J1133" s="17">
        <v>0.5</v>
      </c>
      <c r="K1133" s="17"/>
      <c r="L1133" s="17" t="s">
        <v>188</v>
      </c>
      <c r="M1133" s="17" t="s">
        <v>962</v>
      </c>
      <c r="N1133" s="17" t="s">
        <v>170</v>
      </c>
      <c r="O1133" s="17" t="s">
        <v>86</v>
      </c>
      <c r="P1133" s="17"/>
      <c r="Q1133" s="17"/>
      <c r="R1133" s="17"/>
      <c r="S1133" s="17">
        <v>18.969069999999999</v>
      </c>
      <c r="T1133" s="17">
        <v>42.886600000000001</v>
      </c>
      <c r="U1133" s="20">
        <f t="shared" si="76"/>
        <v>2.2608699319471119</v>
      </c>
      <c r="V1133" s="41">
        <f t="shared" si="79"/>
        <v>126.0869931947112</v>
      </c>
      <c r="W1133" s="17"/>
      <c r="X1133" s="17" t="s">
        <v>56</v>
      </c>
      <c r="Y1133" s="17"/>
      <c r="Z1133" s="17" t="s">
        <v>56</v>
      </c>
      <c r="AA1133" s="17"/>
      <c r="AB1133" s="17" t="s">
        <v>57</v>
      </c>
      <c r="AC1133" s="17">
        <v>1998</v>
      </c>
      <c r="AD1133" s="17">
        <v>6</v>
      </c>
      <c r="AE1133" s="17"/>
      <c r="AF1133" s="17"/>
      <c r="AG1133" s="17">
        <v>1995</v>
      </c>
      <c r="AH1133" s="14">
        <f t="shared" si="77"/>
        <v>3</v>
      </c>
      <c r="AI1133" s="17">
        <f t="shared" si="78"/>
        <v>9</v>
      </c>
      <c r="AJ1133" s="17"/>
      <c r="AK1133" s="17" t="s">
        <v>58</v>
      </c>
      <c r="AL1133" s="16" t="s">
        <v>262</v>
      </c>
      <c r="AM1133" s="17">
        <v>2007</v>
      </c>
      <c r="AN1133" s="15" t="s">
        <v>263</v>
      </c>
      <c r="AO1133" s="15" t="s">
        <v>56</v>
      </c>
      <c r="AP1133" s="15"/>
      <c r="AQ1133" s="15" t="s">
        <v>56</v>
      </c>
      <c r="AR1133" s="15" t="s">
        <v>58</v>
      </c>
      <c r="AS1133" s="15" t="s">
        <v>62</v>
      </c>
      <c r="AT1133" s="15"/>
      <c r="AU1133" s="45" t="s">
        <v>264</v>
      </c>
      <c r="AV1133" s="15"/>
      <c r="AW1133" s="12" t="str">
        <f>B1133&amp;C1133&amp;L1133&amp;M1133&amp;O1133&amp;U1133&amp;AL1133&amp;AM1133</f>
        <v>PhilippinesHandumon marine reserveChaetodontidaebutterflyfishdensity2.26086993194711Samoilys2007</v>
      </c>
    </row>
    <row r="1134" spans="1:49" ht="14.25" customHeight="1" x14ac:dyDescent="0.35">
      <c r="A1134" s="12">
        <v>1133</v>
      </c>
      <c r="B1134" s="15" t="s">
        <v>153</v>
      </c>
      <c r="C1134" s="12" t="s">
        <v>2587</v>
      </c>
      <c r="D1134" s="12" t="s">
        <v>2587</v>
      </c>
      <c r="E1134" s="15" t="s">
        <v>259</v>
      </c>
      <c r="F1134" s="13" t="s">
        <v>50</v>
      </c>
      <c r="G1134" s="13" t="s">
        <v>51</v>
      </c>
      <c r="H1134" s="16" t="s">
        <v>78</v>
      </c>
      <c r="I1134" s="16" t="s">
        <v>156</v>
      </c>
      <c r="J1134" s="17">
        <v>0.66</v>
      </c>
      <c r="K1134" s="17"/>
      <c r="L1134" s="17" t="s">
        <v>188</v>
      </c>
      <c r="M1134" s="17" t="s">
        <v>962</v>
      </c>
      <c r="N1134" s="17" t="s">
        <v>170</v>
      </c>
      <c r="O1134" s="17" t="s">
        <v>86</v>
      </c>
      <c r="P1134" s="17"/>
      <c r="Q1134" s="17">
        <v>43.728810000000003</v>
      </c>
      <c r="R1134" s="17">
        <v>5.084746</v>
      </c>
      <c r="S1134" s="17">
        <v>96.271190000000004</v>
      </c>
      <c r="T1134" s="17">
        <v>78.644069999999999</v>
      </c>
      <c r="U1134" s="20">
        <f t="shared" si="76"/>
        <v>7.0253511500862125</v>
      </c>
      <c r="V1134" s="41">
        <f t="shared" si="79"/>
        <v>602.53511500862123</v>
      </c>
      <c r="W1134" s="17"/>
      <c r="X1134" s="17" t="s">
        <v>56</v>
      </c>
      <c r="Y1134" s="17"/>
      <c r="Z1134" s="17" t="s">
        <v>56</v>
      </c>
      <c r="AA1134" s="17"/>
      <c r="AB1134" s="17" t="s">
        <v>111</v>
      </c>
      <c r="AC1134" s="17">
        <v>1998</v>
      </c>
      <c r="AD1134" s="17">
        <v>6</v>
      </c>
      <c r="AE1134" s="17"/>
      <c r="AF1134" s="17"/>
      <c r="AG1134" s="17">
        <v>2000</v>
      </c>
      <c r="AH1134" s="14">
        <f t="shared" si="77"/>
        <v>-2</v>
      </c>
      <c r="AI1134" s="17">
        <f t="shared" si="78"/>
        <v>4</v>
      </c>
      <c r="AJ1134" s="17"/>
      <c r="AK1134" s="17" t="s">
        <v>58</v>
      </c>
      <c r="AL1134" s="16" t="s">
        <v>262</v>
      </c>
      <c r="AM1134" s="17">
        <v>2007</v>
      </c>
      <c r="AN1134" s="15" t="s">
        <v>263</v>
      </c>
      <c r="AO1134" s="15" t="s">
        <v>56</v>
      </c>
      <c r="AP1134" s="15"/>
      <c r="AQ1134" s="15" t="s">
        <v>56</v>
      </c>
      <c r="AR1134" s="15" t="s">
        <v>58</v>
      </c>
      <c r="AS1134" s="15" t="s">
        <v>62</v>
      </c>
      <c r="AT1134" s="15"/>
      <c r="AU1134" s="45" t="s">
        <v>264</v>
      </c>
      <c r="AV1134" s="15"/>
      <c r="AW1134" s="12" t="str">
        <f>B1134&amp;C1134&amp;L1134&amp;M1134&amp;O1134&amp;U1134&amp;AL1134&amp;AM1134</f>
        <v>PhilippinesAsinan marine reserveChaetodontidaebutterflyfishdensity7.02535115008621Samoilys2007</v>
      </c>
    </row>
    <row r="1135" spans="1:49" ht="14.25" customHeight="1" x14ac:dyDescent="0.35">
      <c r="A1135" s="12">
        <v>1134</v>
      </c>
      <c r="B1135" s="15" t="s">
        <v>153</v>
      </c>
      <c r="C1135" s="12" t="s">
        <v>2588</v>
      </c>
      <c r="D1135" s="12" t="s">
        <v>2588</v>
      </c>
      <c r="E1135" s="15" t="s">
        <v>259</v>
      </c>
      <c r="F1135" s="13" t="s">
        <v>50</v>
      </c>
      <c r="G1135" s="13" t="s">
        <v>51</v>
      </c>
      <c r="H1135" s="16" t="s">
        <v>78</v>
      </c>
      <c r="I1135" s="16" t="s">
        <v>156</v>
      </c>
      <c r="J1135" s="17">
        <v>0.19500000000000001</v>
      </c>
      <c r="K1135" s="17"/>
      <c r="L1135" s="17" t="s">
        <v>188</v>
      </c>
      <c r="M1135" s="17" t="s">
        <v>962</v>
      </c>
      <c r="N1135" s="14" t="s">
        <v>170</v>
      </c>
      <c r="O1135" s="17" t="s">
        <v>86</v>
      </c>
      <c r="P1135" s="17"/>
      <c r="Q1135" s="17">
        <v>40.851059999999997</v>
      </c>
      <c r="R1135" s="17">
        <v>56.737589999999997</v>
      </c>
      <c r="S1135" s="17">
        <v>47.659570000000002</v>
      </c>
      <c r="T1135" s="17">
        <v>121.9858</v>
      </c>
      <c r="U1135" s="20">
        <f t="shared" si="76"/>
        <v>1.8428568633750066</v>
      </c>
      <c r="V1135" s="41">
        <f t="shared" si="79"/>
        <v>84.285686337500664</v>
      </c>
      <c r="W1135" s="17"/>
      <c r="X1135" s="17" t="s">
        <v>56</v>
      </c>
      <c r="Y1135" s="17"/>
      <c r="Z1135" s="17" t="s">
        <v>56</v>
      </c>
      <c r="AA1135" s="17"/>
      <c r="AB1135" s="17" t="s">
        <v>111</v>
      </c>
      <c r="AC1135" s="17">
        <v>1999</v>
      </c>
      <c r="AD1135" s="17">
        <v>5</v>
      </c>
      <c r="AE1135" s="17"/>
      <c r="AF1135" s="17"/>
      <c r="AG1135" s="17">
        <v>1999</v>
      </c>
      <c r="AH1135" s="14">
        <f t="shared" si="77"/>
        <v>0</v>
      </c>
      <c r="AI1135" s="17">
        <f t="shared" si="78"/>
        <v>5</v>
      </c>
      <c r="AJ1135" s="17"/>
      <c r="AK1135" s="17" t="s">
        <v>58</v>
      </c>
      <c r="AL1135" s="16" t="s">
        <v>262</v>
      </c>
      <c r="AM1135" s="17">
        <v>2007</v>
      </c>
      <c r="AN1135" s="15" t="s">
        <v>263</v>
      </c>
      <c r="AO1135" s="15" t="s">
        <v>56</v>
      </c>
      <c r="AP1135" s="15"/>
      <c r="AQ1135" s="15" t="s">
        <v>56</v>
      </c>
      <c r="AR1135" s="15" t="s">
        <v>58</v>
      </c>
      <c r="AS1135" s="15" t="s">
        <v>62</v>
      </c>
      <c r="AT1135" s="15"/>
      <c r="AU1135" s="45" t="s">
        <v>264</v>
      </c>
      <c r="AV1135" s="15"/>
      <c r="AW1135" s="12" t="str">
        <f>B1135&amp;C1135&amp;L1135&amp;M1135&amp;O1135&amp;U1135&amp;AL1135&amp;AM1135</f>
        <v>PhilippinesBatasan marine reserveChaetodontidaebutterflyfishdensity1.84285686337501Samoilys2007</v>
      </c>
    </row>
    <row r="1136" spans="1:49" ht="14.25" customHeight="1" x14ac:dyDescent="0.35">
      <c r="A1136" s="12">
        <v>1135</v>
      </c>
      <c r="B1136" s="12" t="s">
        <v>153</v>
      </c>
      <c r="C1136" s="12" t="s">
        <v>154</v>
      </c>
      <c r="D1136" s="12" t="s">
        <v>154</v>
      </c>
      <c r="E1136" s="12" t="s">
        <v>187</v>
      </c>
      <c r="F1136" s="13" t="s">
        <v>50</v>
      </c>
      <c r="G1136" s="13" t="s">
        <v>51</v>
      </c>
      <c r="H1136" s="16" t="s">
        <v>78</v>
      </c>
      <c r="I1136" s="16" t="s">
        <v>156</v>
      </c>
      <c r="J1136" s="17">
        <v>0.22500000000000001</v>
      </c>
      <c r="K1136" s="17"/>
      <c r="L1136" s="17" t="s">
        <v>193</v>
      </c>
      <c r="M1136" s="17" t="s">
        <v>194</v>
      </c>
      <c r="N1136" s="14" t="s">
        <v>85</v>
      </c>
      <c r="O1136" s="17" t="s">
        <v>86</v>
      </c>
      <c r="P1136" s="17"/>
      <c r="Q1136" s="17"/>
      <c r="R1136" s="17">
        <v>0</v>
      </c>
      <c r="S1136" s="17"/>
      <c r="T1136" s="17">
        <v>1.8409089999999999</v>
      </c>
      <c r="U1136" s="19" t="str">
        <f t="shared" si="76"/>
        <v>N/A</v>
      </c>
      <c r="V1136" s="41" t="str">
        <f t="shared" si="79"/>
        <v>N/A</v>
      </c>
      <c r="W1136" s="14"/>
      <c r="X1136" s="17" t="s">
        <v>56</v>
      </c>
      <c r="Y1136" s="17"/>
      <c r="Z1136" s="17" t="s">
        <v>56</v>
      </c>
      <c r="AA1136" s="17"/>
      <c r="AB1136" s="17" t="s">
        <v>192</v>
      </c>
      <c r="AC1136" s="17">
        <v>1983</v>
      </c>
      <c r="AD1136" s="17">
        <v>31</v>
      </c>
      <c r="AE1136" s="17"/>
      <c r="AF1136" s="17"/>
      <c r="AG1136" s="17">
        <v>1982</v>
      </c>
      <c r="AH1136" s="14">
        <f t="shared" si="77"/>
        <v>1</v>
      </c>
      <c r="AI1136" s="17">
        <f t="shared" si="78"/>
        <v>32</v>
      </c>
      <c r="AJ1136" s="17"/>
      <c r="AK1136" s="17" t="s">
        <v>58</v>
      </c>
      <c r="AL1136" s="16" t="s">
        <v>159</v>
      </c>
      <c r="AM1136" s="17">
        <v>2018</v>
      </c>
      <c r="AN1136" s="15" t="s">
        <v>195</v>
      </c>
      <c r="AO1136" s="15" t="s">
        <v>56</v>
      </c>
      <c r="AP1136" s="15"/>
      <c r="AQ1136" s="15" t="s">
        <v>56</v>
      </c>
      <c r="AR1136" s="15" t="s">
        <v>58</v>
      </c>
      <c r="AS1136" s="15" t="s">
        <v>62</v>
      </c>
      <c r="AT1136" s="12"/>
      <c r="AU1136" s="45"/>
      <c r="AV1136" s="15"/>
      <c r="AW1136" s="12" t="str">
        <f>B1136&amp;C1136&amp;L1136&amp;M1136&amp;O1136&amp;U1136&amp;AL1136&amp;AM1136</f>
        <v>PhilippinesApo Island ReserveAcanthurus nigricaudaEpaulette surgeonfishdensityN/ARuss2018</v>
      </c>
    </row>
    <row r="1137" spans="1:49" ht="14.25" customHeight="1" x14ac:dyDescent="0.35">
      <c r="A1137" s="12">
        <v>1136</v>
      </c>
      <c r="B1137" s="15" t="s">
        <v>153</v>
      </c>
      <c r="C1137" s="12" t="s">
        <v>154</v>
      </c>
      <c r="D1137" s="12" t="s">
        <v>154</v>
      </c>
      <c r="E1137" s="15" t="s">
        <v>187</v>
      </c>
      <c r="F1137" s="13" t="s">
        <v>50</v>
      </c>
      <c r="G1137" s="13" t="s">
        <v>51</v>
      </c>
      <c r="H1137" s="16" t="s">
        <v>78</v>
      </c>
      <c r="I1137" s="16" t="s">
        <v>156</v>
      </c>
      <c r="J1137" s="17">
        <v>0.22500000000000001</v>
      </c>
      <c r="K1137" s="17"/>
      <c r="L1137" s="17" t="s">
        <v>196</v>
      </c>
      <c r="M1137" s="17" t="s">
        <v>197</v>
      </c>
      <c r="N1137" s="14" t="s">
        <v>85</v>
      </c>
      <c r="O1137" s="17" t="s">
        <v>86</v>
      </c>
      <c r="P1137" s="17"/>
      <c r="Q1137" s="17"/>
      <c r="R1137" s="17">
        <v>0</v>
      </c>
      <c r="S1137" s="17"/>
      <c r="T1137" s="17">
        <v>12.489800000000001</v>
      </c>
      <c r="U1137" s="20" t="str">
        <f t="shared" si="76"/>
        <v>N/A</v>
      </c>
      <c r="V1137" s="41" t="str">
        <f t="shared" si="79"/>
        <v>N/A</v>
      </c>
      <c r="W1137" s="17"/>
      <c r="X1137" s="17" t="s">
        <v>56</v>
      </c>
      <c r="Y1137" s="17"/>
      <c r="Z1137" s="17" t="s">
        <v>56</v>
      </c>
      <c r="AA1137" s="17"/>
      <c r="AB1137" s="17" t="s">
        <v>192</v>
      </c>
      <c r="AC1137" s="17">
        <v>1983</v>
      </c>
      <c r="AD1137" s="17">
        <v>31</v>
      </c>
      <c r="AE1137" s="17"/>
      <c r="AF1137" s="17"/>
      <c r="AG1137" s="17">
        <v>1982</v>
      </c>
      <c r="AH1137" s="14">
        <f t="shared" si="77"/>
        <v>1</v>
      </c>
      <c r="AI1137" s="17">
        <f t="shared" si="78"/>
        <v>32</v>
      </c>
      <c r="AJ1137" s="17"/>
      <c r="AK1137" s="17" t="s">
        <v>58</v>
      </c>
      <c r="AL1137" s="16" t="s">
        <v>159</v>
      </c>
      <c r="AM1137" s="17">
        <v>2018</v>
      </c>
      <c r="AN1137" s="15" t="s">
        <v>195</v>
      </c>
      <c r="AO1137" s="15" t="s">
        <v>56</v>
      </c>
      <c r="AP1137" s="15"/>
      <c r="AQ1137" s="15" t="s">
        <v>56</v>
      </c>
      <c r="AR1137" s="15" t="s">
        <v>58</v>
      </c>
      <c r="AS1137" s="15" t="s">
        <v>62</v>
      </c>
      <c r="AT1137" s="15"/>
      <c r="AU1137" s="45"/>
      <c r="AV1137" s="15"/>
      <c r="AW1137" s="12" t="str">
        <f>B1137&amp;C1137&amp;L1137&amp;M1137&amp;O1137&amp;U1137&amp;AL1137&amp;AM1137</f>
        <v>PhilippinesApo Island ReserveAcanthurus pyroferusChocolate surgeonfishdensityN/ARuss2018</v>
      </c>
    </row>
    <row r="1138" spans="1:49" ht="14.25" customHeight="1" x14ac:dyDescent="0.35">
      <c r="A1138" s="12">
        <v>1137</v>
      </c>
      <c r="B1138" s="12" t="s">
        <v>153</v>
      </c>
      <c r="C1138" s="44" t="s">
        <v>1893</v>
      </c>
      <c r="D1138" s="44" t="s">
        <v>1893</v>
      </c>
      <c r="E1138" s="12" t="s">
        <v>187</v>
      </c>
      <c r="F1138" s="13" t="s">
        <v>50</v>
      </c>
      <c r="G1138" s="13" t="s">
        <v>51</v>
      </c>
      <c r="H1138" s="16" t="s">
        <v>78</v>
      </c>
      <c r="I1138" s="16" t="s">
        <v>156</v>
      </c>
      <c r="J1138" s="17">
        <v>0.375</v>
      </c>
      <c r="K1138" s="17"/>
      <c r="L1138" s="17" t="s">
        <v>196</v>
      </c>
      <c r="M1138" s="14" t="s">
        <v>197</v>
      </c>
      <c r="N1138" s="14" t="s">
        <v>85</v>
      </c>
      <c r="O1138" s="17" t="s">
        <v>86</v>
      </c>
      <c r="P1138" s="17"/>
      <c r="Q1138" s="17"/>
      <c r="R1138" s="17">
        <v>0</v>
      </c>
      <c r="S1138" s="17"/>
      <c r="T1138" s="17">
        <v>0</v>
      </c>
      <c r="U1138" s="19" t="str">
        <f t="shared" si="76"/>
        <v>N/A</v>
      </c>
      <c r="V1138" s="41" t="str">
        <f t="shared" si="79"/>
        <v>N/A</v>
      </c>
      <c r="W1138" s="14"/>
      <c r="X1138" s="17" t="s">
        <v>56</v>
      </c>
      <c r="Y1138" s="17"/>
      <c r="Z1138" s="17" t="s">
        <v>56</v>
      </c>
      <c r="AA1138" s="17"/>
      <c r="AB1138" s="17" t="s">
        <v>192</v>
      </c>
      <c r="AC1138" s="17">
        <v>1983</v>
      </c>
      <c r="AD1138" s="17">
        <v>31</v>
      </c>
      <c r="AE1138" s="17"/>
      <c r="AF1138" s="17"/>
      <c r="AG1138" s="17">
        <v>1999</v>
      </c>
      <c r="AH1138" s="14">
        <f t="shared" si="77"/>
        <v>-16</v>
      </c>
      <c r="AI1138" s="17">
        <f t="shared" si="78"/>
        <v>15</v>
      </c>
      <c r="AJ1138" s="17"/>
      <c r="AK1138" s="17" t="s">
        <v>58</v>
      </c>
      <c r="AL1138" s="16" t="s">
        <v>159</v>
      </c>
      <c r="AM1138" s="17">
        <v>2018</v>
      </c>
      <c r="AN1138" s="15" t="s">
        <v>195</v>
      </c>
      <c r="AO1138" s="15" t="s">
        <v>56</v>
      </c>
      <c r="AP1138" s="15"/>
      <c r="AQ1138" s="15" t="s">
        <v>56</v>
      </c>
      <c r="AR1138" s="15" t="s">
        <v>58</v>
      </c>
      <c r="AS1138" s="15" t="s">
        <v>62</v>
      </c>
      <c r="AT1138" s="12"/>
      <c r="AU1138" s="45" t="s">
        <v>1894</v>
      </c>
      <c r="AV1138" s="15"/>
      <c r="AW1138" s="12" t="str">
        <f>B1138&amp;C1138&amp;L1138&amp;M1138&amp;O1138&amp;U1138&amp;AL1138&amp;AM1138</f>
        <v>PhilippinesSumilon Island ReserveAcanthurus pyroferusChocolate surgeonfishdensityN/ARuss2018</v>
      </c>
    </row>
    <row r="1139" spans="1:49" ht="14.25" customHeight="1" x14ac:dyDescent="0.35">
      <c r="A1139" s="12">
        <v>1138</v>
      </c>
      <c r="B1139" s="12" t="s">
        <v>153</v>
      </c>
      <c r="C1139" s="12" t="s">
        <v>154</v>
      </c>
      <c r="D1139" s="12" t="s">
        <v>154</v>
      </c>
      <c r="E1139" s="12" t="s">
        <v>187</v>
      </c>
      <c r="F1139" s="13" t="s">
        <v>50</v>
      </c>
      <c r="G1139" s="13" t="s">
        <v>51</v>
      </c>
      <c r="H1139" s="16" t="s">
        <v>78</v>
      </c>
      <c r="I1139" s="16" t="s">
        <v>156</v>
      </c>
      <c r="J1139" s="17">
        <v>0.22500000000000001</v>
      </c>
      <c r="K1139" s="17"/>
      <c r="L1139" s="17" t="s">
        <v>176</v>
      </c>
      <c r="M1139" s="17" t="s">
        <v>177</v>
      </c>
      <c r="N1139" s="14" t="s">
        <v>85</v>
      </c>
      <c r="O1139" s="17" t="s">
        <v>86</v>
      </c>
      <c r="P1139" s="17"/>
      <c r="Q1139" s="17">
        <v>0.19753100000000001</v>
      </c>
      <c r="R1139" s="17">
        <v>1.0833330000000001</v>
      </c>
      <c r="S1139" s="17">
        <v>0.33333299999999999</v>
      </c>
      <c r="T1139" s="17">
        <v>0.33333299999999999</v>
      </c>
      <c r="U1139" s="19">
        <f t="shared" si="76"/>
        <v>0.18233636379580426</v>
      </c>
      <c r="V1139" s="41">
        <f t="shared" si="79"/>
        <v>-81.766363620419583</v>
      </c>
      <c r="W1139" s="14"/>
      <c r="X1139" s="17" t="s">
        <v>56</v>
      </c>
      <c r="Y1139" s="17"/>
      <c r="Z1139" s="17" t="s">
        <v>56</v>
      </c>
      <c r="AA1139" s="17"/>
      <c r="AB1139" s="17" t="s">
        <v>111</v>
      </c>
      <c r="AC1139" s="17">
        <v>1983</v>
      </c>
      <c r="AD1139" s="17">
        <v>31</v>
      </c>
      <c r="AE1139" s="17"/>
      <c r="AF1139" s="17"/>
      <c r="AG1139" s="17">
        <v>1982</v>
      </c>
      <c r="AH1139" s="14">
        <f t="shared" si="77"/>
        <v>1</v>
      </c>
      <c r="AI1139" s="17">
        <f t="shared" si="78"/>
        <v>32</v>
      </c>
      <c r="AJ1139" s="17"/>
      <c r="AK1139" s="17" t="s">
        <v>58</v>
      </c>
      <c r="AL1139" s="16" t="s">
        <v>159</v>
      </c>
      <c r="AM1139" s="17">
        <v>2017</v>
      </c>
      <c r="AN1139" s="15" t="s">
        <v>150</v>
      </c>
      <c r="AO1139" s="15" t="s">
        <v>56</v>
      </c>
      <c r="AP1139" s="15"/>
      <c r="AQ1139" s="15" t="s">
        <v>56</v>
      </c>
      <c r="AR1139" s="15" t="s">
        <v>58</v>
      </c>
      <c r="AS1139" s="15" t="s">
        <v>62</v>
      </c>
      <c r="AT1139" s="12"/>
      <c r="AU1139" s="45"/>
      <c r="AV1139" s="15"/>
      <c r="AW1139" s="12" t="str">
        <f>B1139&amp;C1139&amp;L1139&amp;M1139&amp;O1139&amp;U1139&amp;AL1139&amp;AM1139</f>
        <v>PhilippinesApo Island ReserveHemigymnus melapterusBlackeye thicklip wrasse (Omnivore) density0.182336363795804Russ2017</v>
      </c>
    </row>
    <row r="1140" spans="1:49" ht="14.25" customHeight="1" x14ac:dyDescent="0.35">
      <c r="A1140" s="12">
        <v>1139</v>
      </c>
      <c r="B1140" s="12" t="s">
        <v>153</v>
      </c>
      <c r="C1140" s="15" t="s">
        <v>154</v>
      </c>
      <c r="D1140" s="15" t="s">
        <v>154</v>
      </c>
      <c r="E1140" s="12" t="s">
        <v>187</v>
      </c>
      <c r="F1140" s="13" t="s">
        <v>50</v>
      </c>
      <c r="G1140" s="13" t="s">
        <v>51</v>
      </c>
      <c r="H1140" s="16" t="s">
        <v>78</v>
      </c>
      <c r="I1140" s="16" t="s">
        <v>156</v>
      </c>
      <c r="J1140" s="17">
        <v>0.22500000000000001</v>
      </c>
      <c r="K1140" s="17"/>
      <c r="L1140" s="17" t="s">
        <v>198</v>
      </c>
      <c r="M1140" s="17" t="s">
        <v>199</v>
      </c>
      <c r="N1140" s="14" t="s">
        <v>85</v>
      </c>
      <c r="O1140" s="17" t="s">
        <v>86</v>
      </c>
      <c r="P1140" s="17"/>
      <c r="Q1140" s="17">
        <v>0.89166699999999999</v>
      </c>
      <c r="R1140" s="17">
        <v>0.15</v>
      </c>
      <c r="S1140" s="17">
        <v>0.67500000000000004</v>
      </c>
      <c r="T1140" s="17">
        <v>0.13333300000000001</v>
      </c>
      <c r="U1140" s="19">
        <f t="shared" si="76"/>
        <v>1.1742087517135802</v>
      </c>
      <c r="V1140" s="41">
        <f t="shared" si="79"/>
        <v>17.42087517135802</v>
      </c>
      <c r="W1140" s="14"/>
      <c r="X1140" s="17" t="s">
        <v>56</v>
      </c>
      <c r="Y1140" s="17"/>
      <c r="Z1140" s="17" t="s">
        <v>56</v>
      </c>
      <c r="AA1140" s="17"/>
      <c r="AB1140" s="17" t="s">
        <v>111</v>
      </c>
      <c r="AC1140" s="17">
        <v>1983</v>
      </c>
      <c r="AD1140" s="17">
        <v>31</v>
      </c>
      <c r="AE1140" s="17"/>
      <c r="AF1140" s="17"/>
      <c r="AG1140" s="17">
        <v>1982</v>
      </c>
      <c r="AH1140" s="14">
        <f t="shared" si="77"/>
        <v>1</v>
      </c>
      <c r="AI1140" s="17">
        <f t="shared" si="78"/>
        <v>32</v>
      </c>
      <c r="AJ1140" s="17"/>
      <c r="AK1140" s="17" t="s">
        <v>58</v>
      </c>
      <c r="AL1140" s="16" t="s">
        <v>159</v>
      </c>
      <c r="AM1140" s="17">
        <v>2017</v>
      </c>
      <c r="AN1140" s="15" t="s">
        <v>150</v>
      </c>
      <c r="AO1140" s="15" t="s">
        <v>56</v>
      </c>
      <c r="AP1140" s="15"/>
      <c r="AQ1140" s="15" t="s">
        <v>56</v>
      </c>
      <c r="AR1140" s="15" t="s">
        <v>58</v>
      </c>
      <c r="AS1140" s="15" t="s">
        <v>62</v>
      </c>
      <c r="AT1140" s="12"/>
      <c r="AU1140" s="45"/>
      <c r="AV1140" s="15"/>
      <c r="AW1140" s="12" t="str">
        <f>B1140&amp;C1140&amp;L1140&amp;M1140&amp;O1140&amp;U1140&amp;AL1140&amp;AM1140</f>
        <v>PhilippinesApo Island ReserveHemigymnus fasciatusthicklip wrassedensity1.17420875171358Russ2017</v>
      </c>
    </row>
    <row r="1141" spans="1:49" ht="14.25" customHeight="1" x14ac:dyDescent="0.35">
      <c r="A1141" s="12">
        <v>1140</v>
      </c>
      <c r="B1141" s="12" t="s">
        <v>153</v>
      </c>
      <c r="C1141" s="15" t="s">
        <v>154</v>
      </c>
      <c r="D1141" s="15" t="s">
        <v>154</v>
      </c>
      <c r="E1141" s="12" t="s">
        <v>187</v>
      </c>
      <c r="F1141" s="13" t="s">
        <v>50</v>
      </c>
      <c r="G1141" s="13" t="s">
        <v>51</v>
      </c>
      <c r="H1141" s="16" t="s">
        <v>78</v>
      </c>
      <c r="I1141" s="16" t="s">
        <v>156</v>
      </c>
      <c r="J1141" s="17">
        <v>0.22500000000000001</v>
      </c>
      <c r="K1141" s="17"/>
      <c r="L1141" s="17" t="s">
        <v>200</v>
      </c>
      <c r="M1141" s="17" t="s">
        <v>201</v>
      </c>
      <c r="N1141" s="14" t="s">
        <v>85</v>
      </c>
      <c r="O1141" s="17" t="s">
        <v>86</v>
      </c>
      <c r="P1141" s="17"/>
      <c r="Q1141" s="17"/>
      <c r="R1141" s="17"/>
      <c r="S1141" s="17">
        <v>0.37623800000000002</v>
      </c>
      <c r="T1141" s="17">
        <v>1.858333</v>
      </c>
      <c r="U1141" s="19">
        <f t="shared" si="76"/>
        <v>4.9392485607514391</v>
      </c>
      <c r="V1141" s="41">
        <f t="shared" si="79"/>
        <v>393.92485607514391</v>
      </c>
      <c r="W1141" s="14"/>
      <c r="X1141" s="17" t="s">
        <v>56</v>
      </c>
      <c r="Y1141" s="17"/>
      <c r="Z1141" s="17" t="s">
        <v>56</v>
      </c>
      <c r="AA1141" s="17"/>
      <c r="AB1141" s="17" t="s">
        <v>57</v>
      </c>
      <c r="AC1141" s="17">
        <v>1983</v>
      </c>
      <c r="AD1141" s="17">
        <v>31</v>
      </c>
      <c r="AE1141" s="17"/>
      <c r="AF1141" s="17"/>
      <c r="AG1141" s="17">
        <v>1982</v>
      </c>
      <c r="AH1141" s="14">
        <f t="shared" si="77"/>
        <v>1</v>
      </c>
      <c r="AI1141" s="17">
        <f t="shared" si="78"/>
        <v>32</v>
      </c>
      <c r="AJ1141" s="17"/>
      <c r="AK1141" s="17" t="s">
        <v>58</v>
      </c>
      <c r="AL1141" s="16" t="s">
        <v>159</v>
      </c>
      <c r="AM1141" s="17">
        <v>2017</v>
      </c>
      <c r="AN1141" s="15" t="s">
        <v>150</v>
      </c>
      <c r="AO1141" s="15" t="s">
        <v>56</v>
      </c>
      <c r="AP1141" s="15"/>
      <c r="AQ1141" s="15" t="s">
        <v>56</v>
      </c>
      <c r="AR1141" s="15" t="s">
        <v>58</v>
      </c>
      <c r="AS1141" s="15" t="s">
        <v>62</v>
      </c>
      <c r="AT1141" s="12"/>
      <c r="AU1141" s="45"/>
      <c r="AV1141" s="15"/>
      <c r="AW1141" s="12" t="str">
        <f>B1141&amp;C1141&amp;L1141&amp;M1141&amp;O1141&amp;U1141&amp;AL1141&amp;AM1141</f>
        <v>PhilippinesApo Island ReserveThalassoma hardwickiisixbar wrassedensity4.93924856075144Russ2017</v>
      </c>
    </row>
    <row r="1142" spans="1:49" ht="14.25" customHeight="1" x14ac:dyDescent="0.35">
      <c r="A1142" s="12">
        <v>1141</v>
      </c>
      <c r="B1142" s="15" t="s">
        <v>153</v>
      </c>
      <c r="C1142" s="15" t="s">
        <v>154</v>
      </c>
      <c r="D1142" s="15" t="s">
        <v>154</v>
      </c>
      <c r="E1142" s="15" t="s">
        <v>187</v>
      </c>
      <c r="F1142" s="13" t="s">
        <v>50</v>
      </c>
      <c r="G1142" s="13" t="s">
        <v>51</v>
      </c>
      <c r="H1142" s="16" t="s">
        <v>78</v>
      </c>
      <c r="I1142" s="16" t="s">
        <v>156</v>
      </c>
      <c r="J1142" s="17">
        <v>0.22500000000000001</v>
      </c>
      <c r="K1142" s="17"/>
      <c r="L1142" s="17" t="s">
        <v>202</v>
      </c>
      <c r="M1142" s="17" t="s">
        <v>203</v>
      </c>
      <c r="N1142" s="17" t="s">
        <v>85</v>
      </c>
      <c r="O1142" s="17" t="s">
        <v>86</v>
      </c>
      <c r="P1142" s="17"/>
      <c r="Q1142" s="17"/>
      <c r="R1142" s="17"/>
      <c r="S1142" s="17">
        <v>1.5384999999999999E-2</v>
      </c>
      <c r="T1142" s="17">
        <v>28.928570000000001</v>
      </c>
      <c r="U1142" s="20">
        <f t="shared" si="76"/>
        <v>1880.310042248944</v>
      </c>
      <c r="V1142" s="41">
        <f t="shared" si="79"/>
        <v>187931.00422489439</v>
      </c>
      <c r="W1142" s="17"/>
      <c r="X1142" s="17" t="s">
        <v>56</v>
      </c>
      <c r="Y1142" s="17"/>
      <c r="Z1142" s="17" t="s">
        <v>56</v>
      </c>
      <c r="AA1142" s="17"/>
      <c r="AB1142" s="17" t="s">
        <v>57</v>
      </c>
      <c r="AC1142" s="17">
        <v>1983</v>
      </c>
      <c r="AD1142" s="17">
        <v>31</v>
      </c>
      <c r="AE1142" s="17"/>
      <c r="AF1142" s="17"/>
      <c r="AG1142" s="17">
        <v>1982</v>
      </c>
      <c r="AH1142" s="14">
        <f t="shared" si="77"/>
        <v>1</v>
      </c>
      <c r="AI1142" s="17">
        <f t="shared" si="78"/>
        <v>32</v>
      </c>
      <c r="AJ1142" s="17"/>
      <c r="AK1142" s="17" t="s">
        <v>58</v>
      </c>
      <c r="AL1142" s="16" t="s">
        <v>159</v>
      </c>
      <c r="AM1142" s="17">
        <v>2017</v>
      </c>
      <c r="AN1142" s="15" t="s">
        <v>150</v>
      </c>
      <c r="AO1142" s="15" t="s">
        <v>56</v>
      </c>
      <c r="AP1142" s="15"/>
      <c r="AQ1142" s="15" t="s">
        <v>56</v>
      </c>
      <c r="AR1142" s="15" t="s">
        <v>58</v>
      </c>
      <c r="AS1142" s="15" t="s">
        <v>62</v>
      </c>
      <c r="AT1142" s="15"/>
      <c r="AU1142" s="45" t="s">
        <v>2842</v>
      </c>
      <c r="AV1142" s="15"/>
      <c r="AW1142" s="12" t="str">
        <f>B1142&amp;C1142&amp;L1142&amp;M1142&amp;O1142&amp;U1142&amp;AL1142&amp;AM1142</f>
        <v>PhilippinesApo Island ReserveThalassoma lunaremoon wrassedensity1880.31004224894Russ2017</v>
      </c>
    </row>
    <row r="1143" spans="1:49" ht="14.25" customHeight="1" x14ac:dyDescent="0.35">
      <c r="A1143" s="12">
        <v>1142</v>
      </c>
      <c r="B1143" s="15" t="s">
        <v>153</v>
      </c>
      <c r="C1143" s="15" t="s">
        <v>154</v>
      </c>
      <c r="D1143" s="15" t="s">
        <v>154</v>
      </c>
      <c r="E1143" s="15" t="s">
        <v>187</v>
      </c>
      <c r="F1143" s="16" t="s">
        <v>50</v>
      </c>
      <c r="G1143" s="16" t="s">
        <v>51</v>
      </c>
      <c r="H1143" s="16" t="s">
        <v>78</v>
      </c>
      <c r="I1143" s="16" t="s">
        <v>156</v>
      </c>
      <c r="J1143" s="17">
        <v>0.22500000000000001</v>
      </c>
      <c r="K1143" s="17"/>
      <c r="L1143" s="17" t="s">
        <v>204</v>
      </c>
      <c r="M1143" s="14"/>
      <c r="N1143" s="14" t="s">
        <v>120</v>
      </c>
      <c r="O1143" s="17" t="s">
        <v>86</v>
      </c>
      <c r="P1143" s="17"/>
      <c r="Q1143" s="17">
        <v>632.9787</v>
      </c>
      <c r="R1143" s="17">
        <v>1390.625</v>
      </c>
      <c r="S1143" s="17">
        <v>393.61700000000002</v>
      </c>
      <c r="T1143" s="17">
        <v>1406.25</v>
      </c>
      <c r="U1143" s="20">
        <f t="shared" si="76"/>
        <v>1.6261767663101927</v>
      </c>
      <c r="V1143" s="41">
        <f t="shared" si="79"/>
        <v>62.617676631019272</v>
      </c>
      <c r="W1143" s="17"/>
      <c r="X1143" s="17" t="s">
        <v>56</v>
      </c>
      <c r="Y1143" s="17"/>
      <c r="Z1143" s="17" t="s">
        <v>56</v>
      </c>
      <c r="AA1143" s="17"/>
      <c r="AB1143" s="17" t="s">
        <v>111</v>
      </c>
      <c r="AC1143" s="17">
        <v>1983</v>
      </c>
      <c r="AD1143" s="17">
        <v>31</v>
      </c>
      <c r="AE1143" s="17"/>
      <c r="AF1143" s="17"/>
      <c r="AG1143" s="17">
        <v>1982</v>
      </c>
      <c r="AH1143" s="14">
        <f t="shared" si="77"/>
        <v>1</v>
      </c>
      <c r="AI1143" s="17">
        <f t="shared" si="78"/>
        <v>32</v>
      </c>
      <c r="AJ1143" s="17"/>
      <c r="AK1143" s="17" t="s">
        <v>58</v>
      </c>
      <c r="AL1143" s="16" t="s">
        <v>159</v>
      </c>
      <c r="AM1143" s="17">
        <v>2017</v>
      </c>
      <c r="AN1143" s="15" t="s">
        <v>150</v>
      </c>
      <c r="AO1143" s="15" t="s">
        <v>56</v>
      </c>
      <c r="AP1143" s="15"/>
      <c r="AQ1143" s="15" t="s">
        <v>56</v>
      </c>
      <c r="AR1143" s="15" t="s">
        <v>58</v>
      </c>
      <c r="AS1143" s="15" t="s">
        <v>62</v>
      </c>
      <c r="AT1143" s="15"/>
      <c r="AU1143" s="45"/>
      <c r="AV1143" s="15"/>
      <c r="AW1143" s="12" t="str">
        <f>B1143&amp;C1143&amp;L1143&amp;M1143&amp;O1143&amp;U1143&amp;AL1143&amp;AM1143</f>
        <v>PhilippinesApo Island ReserveCirrhilabrusdensity1.62617676631019Russ2017</v>
      </c>
    </row>
    <row r="1144" spans="1:49" ht="14.25" customHeight="1" x14ac:dyDescent="0.35">
      <c r="A1144" s="12">
        <v>1143</v>
      </c>
      <c r="B1144" s="12" t="s">
        <v>153</v>
      </c>
      <c r="C1144" s="44" t="s">
        <v>1893</v>
      </c>
      <c r="D1144" s="44" t="s">
        <v>1893</v>
      </c>
      <c r="E1144" s="15" t="s">
        <v>187</v>
      </c>
      <c r="F1144" s="13" t="s">
        <v>50</v>
      </c>
      <c r="G1144" s="13" t="s">
        <v>51</v>
      </c>
      <c r="H1144" s="16" t="s">
        <v>78</v>
      </c>
      <c r="I1144" s="16" t="s">
        <v>156</v>
      </c>
      <c r="J1144" s="17">
        <v>0.375</v>
      </c>
      <c r="K1144" s="17"/>
      <c r="L1144" s="17" t="s">
        <v>176</v>
      </c>
      <c r="M1144" s="17" t="s">
        <v>177</v>
      </c>
      <c r="N1144" s="14" t="s">
        <v>85</v>
      </c>
      <c r="O1144" s="17" t="s">
        <v>86</v>
      </c>
      <c r="P1144" s="17"/>
      <c r="Q1144" s="17">
        <v>1.686747</v>
      </c>
      <c r="R1144" s="17">
        <v>2.8548390000000001</v>
      </c>
      <c r="S1144" s="17">
        <v>1.8554219999999999</v>
      </c>
      <c r="T1144" s="17">
        <v>1.3387100000000001</v>
      </c>
      <c r="U1144" s="20">
        <f t="shared" si="76"/>
        <v>0.42629685741752127</v>
      </c>
      <c r="V1144" s="41">
        <f t="shared" si="79"/>
        <v>-57.37031425824788</v>
      </c>
      <c r="W1144" s="17"/>
      <c r="X1144" s="17" t="s">
        <v>56</v>
      </c>
      <c r="Z1144" s="17" t="s">
        <v>56</v>
      </c>
      <c r="AA1144" s="17"/>
      <c r="AB1144" s="17" t="s">
        <v>111</v>
      </c>
      <c r="AC1144" s="17">
        <v>1983</v>
      </c>
      <c r="AD1144" s="17">
        <v>31</v>
      </c>
      <c r="AE1144" s="17"/>
      <c r="AF1144" s="17"/>
      <c r="AG1144" s="17">
        <v>1999</v>
      </c>
      <c r="AH1144" s="14">
        <f t="shared" si="77"/>
        <v>-16</v>
      </c>
      <c r="AI1144" s="17">
        <f t="shared" si="78"/>
        <v>15</v>
      </c>
      <c r="AJ1144" s="17"/>
      <c r="AK1144" s="17" t="s">
        <v>58</v>
      </c>
      <c r="AL1144" s="16" t="s">
        <v>159</v>
      </c>
      <c r="AM1144" s="17">
        <v>2017</v>
      </c>
      <c r="AN1144" s="15" t="s">
        <v>150</v>
      </c>
      <c r="AO1144" s="15" t="s">
        <v>56</v>
      </c>
      <c r="AP1144" s="15"/>
      <c r="AQ1144" s="15" t="s">
        <v>56</v>
      </c>
      <c r="AR1144" s="15" t="s">
        <v>58</v>
      </c>
      <c r="AS1144" s="15" t="s">
        <v>62</v>
      </c>
      <c r="AT1144" s="15"/>
      <c r="AU1144" s="45" t="s">
        <v>1894</v>
      </c>
      <c r="AV1144" s="15"/>
      <c r="AW1144" s="12" t="str">
        <f>B1144&amp;C1144&amp;L1144&amp;M1144&amp;O1144&amp;U1144&amp;AL1144&amp;AM1144</f>
        <v>PhilippinesSumilon Island ReserveHemigymnus melapterusBlackeye thicklip wrasse (Omnivore) density0.426296857417521Russ2017</v>
      </c>
    </row>
    <row r="1145" spans="1:49" ht="14.25" customHeight="1" x14ac:dyDescent="0.35">
      <c r="A1145" s="12">
        <v>1144</v>
      </c>
      <c r="B1145" s="12" t="s">
        <v>153</v>
      </c>
      <c r="C1145" s="43" t="s">
        <v>1893</v>
      </c>
      <c r="D1145" s="43" t="s">
        <v>1893</v>
      </c>
      <c r="E1145" s="15" t="s">
        <v>187</v>
      </c>
      <c r="F1145" s="13" t="s">
        <v>50</v>
      </c>
      <c r="G1145" s="13" t="s">
        <v>51</v>
      </c>
      <c r="H1145" s="16" t="s">
        <v>78</v>
      </c>
      <c r="I1145" s="16" t="s">
        <v>156</v>
      </c>
      <c r="J1145" s="17">
        <v>0.375</v>
      </c>
      <c r="K1145" s="17"/>
      <c r="L1145" s="17" t="s">
        <v>198</v>
      </c>
      <c r="M1145" s="17" t="s">
        <v>199</v>
      </c>
      <c r="N1145" s="14" t="s">
        <v>85</v>
      </c>
      <c r="O1145" s="17" t="s">
        <v>86</v>
      </c>
      <c r="P1145" s="17"/>
      <c r="Q1145" s="17">
        <v>2.5396830000000001</v>
      </c>
      <c r="R1145" s="17">
        <v>3.1954020000000001</v>
      </c>
      <c r="S1145" s="17">
        <v>0.66666700000000001</v>
      </c>
      <c r="T1145" s="17">
        <v>2.16092</v>
      </c>
      <c r="U1145" s="20">
        <f t="shared" si="76"/>
        <v>2.5762247024015181</v>
      </c>
      <c r="V1145" s="41">
        <f t="shared" si="79"/>
        <v>157.62247024015181</v>
      </c>
      <c r="W1145" s="17"/>
      <c r="X1145" s="17" t="s">
        <v>56</v>
      </c>
      <c r="Z1145" s="17" t="s">
        <v>56</v>
      </c>
      <c r="AA1145" s="17"/>
      <c r="AB1145" s="17" t="s">
        <v>111</v>
      </c>
      <c r="AC1145" s="17">
        <v>1983</v>
      </c>
      <c r="AD1145" s="17">
        <v>31</v>
      </c>
      <c r="AE1145" s="17"/>
      <c r="AF1145" s="17"/>
      <c r="AG1145" s="17">
        <v>1999</v>
      </c>
      <c r="AH1145" s="14">
        <f t="shared" si="77"/>
        <v>-16</v>
      </c>
      <c r="AI1145" s="17">
        <f t="shared" si="78"/>
        <v>15</v>
      </c>
      <c r="AJ1145" s="17"/>
      <c r="AK1145" s="17" t="s">
        <v>58</v>
      </c>
      <c r="AL1145" s="16" t="s">
        <v>159</v>
      </c>
      <c r="AM1145" s="17">
        <v>2017</v>
      </c>
      <c r="AN1145" s="15" t="s">
        <v>150</v>
      </c>
      <c r="AO1145" s="15" t="s">
        <v>56</v>
      </c>
      <c r="AP1145" s="15"/>
      <c r="AQ1145" s="15" t="s">
        <v>56</v>
      </c>
      <c r="AR1145" s="15" t="s">
        <v>58</v>
      </c>
      <c r="AS1145" s="15" t="s">
        <v>62</v>
      </c>
      <c r="AT1145" s="15"/>
      <c r="AU1145" s="45" t="s">
        <v>1894</v>
      </c>
      <c r="AV1145" s="15"/>
      <c r="AW1145" s="12" t="str">
        <f>B1145&amp;C1145&amp;L1145&amp;M1145&amp;O1145&amp;U1145&amp;AL1145&amp;AM1145</f>
        <v>PhilippinesSumilon Island ReserveHemigymnus fasciatusthicklip wrassedensity2.57622470240152Russ2017</v>
      </c>
    </row>
    <row r="1146" spans="1:49" ht="14.25" customHeight="1" x14ac:dyDescent="0.35">
      <c r="A1146" s="12">
        <v>1145</v>
      </c>
      <c r="B1146" s="12" t="s">
        <v>153</v>
      </c>
      <c r="C1146" s="43" t="s">
        <v>1893</v>
      </c>
      <c r="D1146" s="43" t="s">
        <v>1893</v>
      </c>
      <c r="E1146" s="15" t="s">
        <v>187</v>
      </c>
      <c r="F1146" s="13" t="s">
        <v>50</v>
      </c>
      <c r="G1146" s="13" t="s">
        <v>51</v>
      </c>
      <c r="H1146" s="16" t="s">
        <v>78</v>
      </c>
      <c r="I1146" s="16" t="s">
        <v>156</v>
      </c>
      <c r="J1146" s="17">
        <v>0.375</v>
      </c>
      <c r="K1146" s="17"/>
      <c r="L1146" s="17" t="s">
        <v>202</v>
      </c>
      <c r="M1146" s="17" t="s">
        <v>203</v>
      </c>
      <c r="N1146" s="17" t="s">
        <v>85</v>
      </c>
      <c r="O1146" s="17" t="s">
        <v>86</v>
      </c>
      <c r="P1146" s="17"/>
      <c r="Q1146" s="17">
        <v>0.29670299999999999</v>
      </c>
      <c r="R1146" s="17">
        <v>2.8231290000000002</v>
      </c>
      <c r="S1146" s="17">
        <v>0.19780200000000001</v>
      </c>
      <c r="T1146" s="17">
        <v>2.4489800000000002</v>
      </c>
      <c r="U1146" s="20">
        <f t="shared" si="76"/>
        <v>1.3012051521556398</v>
      </c>
      <c r="V1146" s="41">
        <f t="shared" si="79"/>
        <v>30.12051521556398</v>
      </c>
      <c r="W1146" s="17"/>
      <c r="X1146" s="17" t="s">
        <v>56</v>
      </c>
      <c r="Z1146" s="17" t="s">
        <v>56</v>
      </c>
      <c r="AA1146" s="17"/>
      <c r="AB1146" s="17" t="s">
        <v>111</v>
      </c>
      <c r="AC1146" s="17">
        <v>1983</v>
      </c>
      <c r="AD1146" s="17">
        <v>31</v>
      </c>
      <c r="AE1146" s="17"/>
      <c r="AF1146" s="17"/>
      <c r="AG1146" s="17">
        <v>1999</v>
      </c>
      <c r="AH1146" s="14">
        <f t="shared" si="77"/>
        <v>-16</v>
      </c>
      <c r="AI1146" s="17">
        <f t="shared" si="78"/>
        <v>15</v>
      </c>
      <c r="AJ1146" s="17"/>
      <c r="AK1146" s="17" t="s">
        <v>58</v>
      </c>
      <c r="AL1146" s="16" t="s">
        <v>159</v>
      </c>
      <c r="AM1146" s="17">
        <v>2017</v>
      </c>
      <c r="AN1146" s="15" t="s">
        <v>150</v>
      </c>
      <c r="AO1146" s="15" t="s">
        <v>56</v>
      </c>
      <c r="AP1146" s="15"/>
      <c r="AQ1146" s="15" t="s">
        <v>56</v>
      </c>
      <c r="AR1146" s="15" t="s">
        <v>58</v>
      </c>
      <c r="AS1146" s="15" t="s">
        <v>62</v>
      </c>
      <c r="AT1146" s="15"/>
      <c r="AU1146" s="45" t="s">
        <v>1894</v>
      </c>
      <c r="AV1146" s="15"/>
      <c r="AW1146" s="12" t="str">
        <f>B1146&amp;C1146&amp;L1146&amp;M1146&amp;O1146&amp;U1146&amp;AL1146&amp;AM1146</f>
        <v>PhilippinesSumilon Island ReserveThalassoma lunaremoon wrassedensity1.30120515215564Russ2017</v>
      </c>
    </row>
    <row r="1147" spans="1:49" ht="14.25" customHeight="1" x14ac:dyDescent="0.35">
      <c r="A1147" s="12">
        <v>1146</v>
      </c>
      <c r="B1147" s="12" t="s">
        <v>153</v>
      </c>
      <c r="C1147" s="43" t="s">
        <v>1893</v>
      </c>
      <c r="D1147" s="43" t="s">
        <v>1893</v>
      </c>
      <c r="E1147" s="12" t="s">
        <v>187</v>
      </c>
      <c r="F1147" s="13" t="s">
        <v>50</v>
      </c>
      <c r="G1147" s="13" t="s">
        <v>51</v>
      </c>
      <c r="H1147" s="13" t="s">
        <v>78</v>
      </c>
      <c r="I1147" s="13" t="s">
        <v>156</v>
      </c>
      <c r="J1147" s="17">
        <v>0.375</v>
      </c>
      <c r="K1147" s="17"/>
      <c r="L1147" s="14" t="s">
        <v>204</v>
      </c>
      <c r="M1147" s="14"/>
      <c r="N1147" s="14" t="s">
        <v>120</v>
      </c>
      <c r="O1147" s="17" t="s">
        <v>86</v>
      </c>
      <c r="P1147" s="14"/>
      <c r="Q1147" s="14">
        <v>887.93100000000004</v>
      </c>
      <c r="R1147" s="14">
        <v>76.923079999999999</v>
      </c>
      <c r="S1147" s="14">
        <v>1534.4829999999999</v>
      </c>
      <c r="T1147" s="14">
        <v>157.34270000000001</v>
      </c>
      <c r="U1147" s="19">
        <f t="shared" si="76"/>
        <v>1.183605761516539</v>
      </c>
      <c r="V1147" s="41">
        <f t="shared" si="79"/>
        <v>18.360576151653895</v>
      </c>
      <c r="W1147" s="14"/>
      <c r="X1147" s="17" t="s">
        <v>56</v>
      </c>
      <c r="Z1147" s="14" t="s">
        <v>56</v>
      </c>
      <c r="AA1147" s="14"/>
      <c r="AB1147" s="14" t="s">
        <v>111</v>
      </c>
      <c r="AC1147" s="14">
        <v>1983</v>
      </c>
      <c r="AD1147" s="14">
        <v>31</v>
      </c>
      <c r="AE1147" s="14"/>
      <c r="AF1147" s="14"/>
      <c r="AG1147" s="17">
        <v>1999</v>
      </c>
      <c r="AH1147" s="14">
        <f t="shared" si="77"/>
        <v>-16</v>
      </c>
      <c r="AI1147" s="17">
        <f t="shared" si="78"/>
        <v>15</v>
      </c>
      <c r="AJ1147" s="14"/>
      <c r="AK1147" s="14" t="s">
        <v>58</v>
      </c>
      <c r="AL1147" s="13" t="s">
        <v>159</v>
      </c>
      <c r="AM1147" s="14">
        <v>2017</v>
      </c>
      <c r="AN1147" s="12" t="s">
        <v>150</v>
      </c>
      <c r="AO1147" s="12" t="s">
        <v>56</v>
      </c>
      <c r="AP1147" s="12"/>
      <c r="AQ1147" s="12" t="s">
        <v>56</v>
      </c>
      <c r="AR1147" s="12" t="s">
        <v>58</v>
      </c>
      <c r="AS1147" s="12" t="s">
        <v>62</v>
      </c>
      <c r="AT1147" s="12"/>
      <c r="AU1147" s="45" t="s">
        <v>1894</v>
      </c>
      <c r="AV1147" s="15"/>
      <c r="AW1147" s="12" t="str">
        <f>B1147&amp;C1147&amp;L1147&amp;M1147&amp;O1147&amp;U1147&amp;AL1147&amp;AM1147</f>
        <v>PhilippinesSumilon Island ReserveCirrhilabrusdensity1.18360576151654Russ2017</v>
      </c>
    </row>
    <row r="1148" spans="1:49" ht="14.25" customHeight="1" x14ac:dyDescent="0.35">
      <c r="A1148" s="12">
        <v>1147</v>
      </c>
      <c r="B1148" s="15" t="s">
        <v>153</v>
      </c>
      <c r="C1148" s="12" t="s">
        <v>154</v>
      </c>
      <c r="D1148" s="12" t="s">
        <v>154</v>
      </c>
      <c r="E1148" s="15" t="s">
        <v>187</v>
      </c>
      <c r="F1148" s="13" t="s">
        <v>50</v>
      </c>
      <c r="G1148" s="13" t="s">
        <v>51</v>
      </c>
      <c r="H1148" s="16" t="s">
        <v>78</v>
      </c>
      <c r="I1148" s="16" t="s">
        <v>156</v>
      </c>
      <c r="J1148" s="17">
        <v>0.22500000000000001</v>
      </c>
      <c r="K1148" s="17"/>
      <c r="L1148" s="17" t="s">
        <v>205</v>
      </c>
      <c r="M1148" s="17" t="s">
        <v>206</v>
      </c>
      <c r="N1148" s="14" t="s">
        <v>85</v>
      </c>
      <c r="O1148" s="17" t="s">
        <v>86</v>
      </c>
      <c r="P1148" s="17"/>
      <c r="Q1148" s="17"/>
      <c r="R1148" s="17"/>
      <c r="S1148" s="17">
        <v>66.333330000000004</v>
      </c>
      <c r="T1148" s="17">
        <v>385.77780000000001</v>
      </c>
      <c r="U1148" s="20">
        <f t="shared" si="76"/>
        <v>5.8157460208917593</v>
      </c>
      <c r="V1148" s="41">
        <f t="shared" si="79"/>
        <v>481.57460208917593</v>
      </c>
      <c r="W1148" s="17"/>
      <c r="X1148" s="17" t="s">
        <v>56</v>
      </c>
      <c r="Y1148" s="17"/>
      <c r="Z1148" s="17" t="s">
        <v>56</v>
      </c>
      <c r="AA1148" s="17"/>
      <c r="AB1148" s="17" t="s">
        <v>57</v>
      </c>
      <c r="AC1148" s="17">
        <v>1983</v>
      </c>
      <c r="AD1148" s="17">
        <v>31</v>
      </c>
      <c r="AE1148" s="17"/>
      <c r="AF1148" s="17"/>
      <c r="AG1148" s="17">
        <v>1982</v>
      </c>
      <c r="AH1148" s="14">
        <f t="shared" si="77"/>
        <v>1</v>
      </c>
      <c r="AI1148" s="17">
        <f t="shared" si="78"/>
        <v>32</v>
      </c>
      <c r="AJ1148" s="17"/>
      <c r="AK1148" s="17" t="s">
        <v>58</v>
      </c>
      <c r="AL1148" s="16" t="s">
        <v>159</v>
      </c>
      <c r="AM1148" s="17">
        <v>2017</v>
      </c>
      <c r="AN1148" s="15" t="s">
        <v>207</v>
      </c>
      <c r="AO1148" s="15" t="s">
        <v>56</v>
      </c>
      <c r="AP1148" s="15"/>
      <c r="AQ1148" s="15" t="s">
        <v>56</v>
      </c>
      <c r="AR1148" s="15" t="s">
        <v>58</v>
      </c>
      <c r="AS1148" s="15" t="s">
        <v>62</v>
      </c>
      <c r="AT1148" s="15"/>
      <c r="AU1148" s="45"/>
      <c r="AV1148" s="15"/>
      <c r="AW1148" s="12" t="str">
        <f>B1148&amp;C1148&amp;L1148&amp;M1148&amp;O1148&amp;U1148&amp;AL1148&amp;AM1148</f>
        <v>PhilippinesApo Island ReserveCaesio caerulaureaBlue and gold Fusiliersdensity5.81574602089176Russ2017</v>
      </c>
    </row>
    <row r="1149" spans="1:49" ht="14.25" customHeight="1" x14ac:dyDescent="0.35">
      <c r="A1149" s="12">
        <v>1148</v>
      </c>
      <c r="B1149" s="15" t="s">
        <v>153</v>
      </c>
      <c r="C1149" s="12" t="s">
        <v>2666</v>
      </c>
      <c r="D1149" s="12" t="s">
        <v>2666</v>
      </c>
      <c r="E1149" s="15" t="s">
        <v>187</v>
      </c>
      <c r="F1149" s="13" t="s">
        <v>50</v>
      </c>
      <c r="G1149" s="13" t="s">
        <v>51</v>
      </c>
      <c r="H1149" s="16" t="s">
        <v>78</v>
      </c>
      <c r="I1149" s="16" t="s">
        <v>156</v>
      </c>
      <c r="J1149" s="17"/>
      <c r="K1149" s="17">
        <v>9</v>
      </c>
      <c r="L1149" s="17" t="s">
        <v>205</v>
      </c>
      <c r="M1149" s="17" t="s">
        <v>206</v>
      </c>
      <c r="N1149" s="17" t="s">
        <v>85</v>
      </c>
      <c r="O1149" s="17" t="s">
        <v>86</v>
      </c>
      <c r="P1149" s="17"/>
      <c r="Q1149" s="17">
        <v>2.8169010000000001</v>
      </c>
      <c r="R1149" s="17">
        <v>63.380279999999999</v>
      </c>
      <c r="S1149" s="17">
        <v>50.704230000000003</v>
      </c>
      <c r="T1149" s="17">
        <v>193.66200000000001</v>
      </c>
      <c r="U1149" s="20">
        <f t="shared" si="76"/>
        <v>0.16975307546296051</v>
      </c>
      <c r="V1149" s="41">
        <f t="shared" si="79"/>
        <v>-83.024692453703949</v>
      </c>
      <c r="W1149" s="17"/>
      <c r="X1149" s="17" t="s">
        <v>56</v>
      </c>
      <c r="Y1149" s="17"/>
      <c r="Z1149" s="17" t="s">
        <v>56</v>
      </c>
      <c r="AA1149" s="17"/>
      <c r="AB1149" s="17" t="s">
        <v>111</v>
      </c>
      <c r="AC1149" s="17">
        <v>1999</v>
      </c>
      <c r="AD1149" s="17">
        <v>10</v>
      </c>
      <c r="AE1149" s="17"/>
      <c r="AF1149" s="17"/>
      <c r="AG1149" s="17">
        <v>2000</v>
      </c>
      <c r="AH1149" s="14">
        <f t="shared" si="77"/>
        <v>-1</v>
      </c>
      <c r="AI1149" s="17">
        <f t="shared" si="78"/>
        <v>9</v>
      </c>
      <c r="AJ1149" s="17"/>
      <c r="AK1149" s="17" t="s">
        <v>58</v>
      </c>
      <c r="AL1149" s="16" t="s">
        <v>159</v>
      </c>
      <c r="AM1149" s="17">
        <v>2017</v>
      </c>
      <c r="AN1149" s="15" t="s">
        <v>207</v>
      </c>
      <c r="AO1149" s="15" t="s">
        <v>56</v>
      </c>
      <c r="AP1149" s="15"/>
      <c r="AQ1149" s="15" t="s">
        <v>56</v>
      </c>
      <c r="AR1149" s="15" t="s">
        <v>58</v>
      </c>
      <c r="AS1149" s="15" t="s">
        <v>62</v>
      </c>
      <c r="AT1149" s="15"/>
      <c r="AU1149" s="45"/>
      <c r="AV1149" s="15"/>
      <c r="AW1149" s="12" t="str">
        <f>B1149&amp;C1149&amp;L1149&amp;M1149&amp;O1149&amp;U1149&amp;AL1149&amp;AM1149</f>
        <v>PhilippinesSelinog Island ReserveCaesio caerulaureaBlue and gold Fusiliersdensity0.169753075462961Russ2017</v>
      </c>
    </row>
    <row r="1150" spans="1:49" ht="14.25" customHeight="1" x14ac:dyDescent="0.35">
      <c r="A1150" s="12">
        <v>1149</v>
      </c>
      <c r="B1150" s="15" t="s">
        <v>153</v>
      </c>
      <c r="C1150" s="12" t="s">
        <v>154</v>
      </c>
      <c r="D1150" s="12" t="s">
        <v>154</v>
      </c>
      <c r="E1150" s="15" t="s">
        <v>187</v>
      </c>
      <c r="F1150" s="13" t="s">
        <v>50</v>
      </c>
      <c r="G1150" s="13" t="s">
        <v>51</v>
      </c>
      <c r="H1150" s="16" t="s">
        <v>78</v>
      </c>
      <c r="I1150" s="16" t="s">
        <v>156</v>
      </c>
      <c r="J1150" s="17">
        <v>0.22500000000000001</v>
      </c>
      <c r="K1150" s="17"/>
      <c r="L1150" s="17" t="s">
        <v>208</v>
      </c>
      <c r="M1150" s="17" t="s">
        <v>209</v>
      </c>
      <c r="N1150" s="17" t="s">
        <v>170</v>
      </c>
      <c r="O1150" s="17" t="s">
        <v>86</v>
      </c>
      <c r="P1150" s="17"/>
      <c r="Q1150" s="17">
        <v>181.7073</v>
      </c>
      <c r="R1150" s="17">
        <v>1160.377</v>
      </c>
      <c r="S1150" s="17">
        <v>67.073170000000005</v>
      </c>
      <c r="T1150" s="17">
        <v>122.64149999999999</v>
      </c>
      <c r="U1150" s="20">
        <f t="shared" si="76"/>
        <v>0.28632672410255328</v>
      </c>
      <c r="V1150" s="41">
        <f t="shared" si="79"/>
        <v>-71.367327589744662</v>
      </c>
      <c r="W1150" s="17"/>
      <c r="X1150" s="17" t="s">
        <v>56</v>
      </c>
      <c r="Y1150" s="17"/>
      <c r="Z1150" s="17" t="s">
        <v>56</v>
      </c>
      <c r="AA1150" s="17"/>
      <c r="AB1150" s="17" t="s">
        <v>111</v>
      </c>
      <c r="AC1150" s="17">
        <v>1983</v>
      </c>
      <c r="AD1150" s="17">
        <v>31</v>
      </c>
      <c r="AE1150" s="17"/>
      <c r="AF1150" s="17"/>
      <c r="AG1150" s="17">
        <v>1982</v>
      </c>
      <c r="AH1150" s="14">
        <f t="shared" si="77"/>
        <v>1</v>
      </c>
      <c r="AI1150" s="17">
        <f t="shared" si="78"/>
        <v>32</v>
      </c>
      <c r="AJ1150" s="17"/>
      <c r="AK1150" s="17" t="s">
        <v>58</v>
      </c>
      <c r="AL1150" s="16" t="s">
        <v>159</v>
      </c>
      <c r="AM1150" s="17">
        <v>2017</v>
      </c>
      <c r="AN1150" s="15" t="s">
        <v>207</v>
      </c>
      <c r="AO1150" s="15" t="s">
        <v>56</v>
      </c>
      <c r="AP1150" s="15"/>
      <c r="AQ1150" s="15" t="s">
        <v>56</v>
      </c>
      <c r="AR1150" s="15" t="s">
        <v>58</v>
      </c>
      <c r="AS1150" s="15" t="s">
        <v>62</v>
      </c>
      <c r="AT1150" s="15"/>
      <c r="AU1150" s="45"/>
      <c r="AV1150" s="15"/>
      <c r="AW1150" s="12" t="str">
        <f>B1150&amp;C1150&amp;L1150&amp;M1150&amp;O1150&amp;U1150&amp;AL1150&amp;AM1150</f>
        <v>PhilippinesApo Island ReserveCaesionidaeFusiliersdensity0.286326724102553Russ2017</v>
      </c>
    </row>
    <row r="1151" spans="1:49" ht="14.25" customHeight="1" x14ac:dyDescent="0.35">
      <c r="A1151" s="12">
        <v>1150</v>
      </c>
      <c r="B1151" s="15" t="s">
        <v>153</v>
      </c>
      <c r="C1151" s="44" t="s">
        <v>1893</v>
      </c>
      <c r="D1151" s="44" t="s">
        <v>1893</v>
      </c>
      <c r="E1151" s="15" t="s">
        <v>187</v>
      </c>
      <c r="F1151" s="16" t="s">
        <v>50</v>
      </c>
      <c r="G1151" s="16" t="s">
        <v>51</v>
      </c>
      <c r="H1151" s="16" t="s">
        <v>78</v>
      </c>
      <c r="I1151" s="16" t="s">
        <v>156</v>
      </c>
      <c r="J1151" s="17">
        <v>0.375</v>
      </c>
      <c r="K1151" s="17"/>
      <c r="L1151" s="17" t="s">
        <v>208</v>
      </c>
      <c r="M1151" s="17" t="s">
        <v>209</v>
      </c>
      <c r="N1151" s="14" t="s">
        <v>170</v>
      </c>
      <c r="O1151" s="17" t="s">
        <v>86</v>
      </c>
      <c r="P1151" s="17"/>
      <c r="Q1151" s="17">
        <v>732.55809999999997</v>
      </c>
      <c r="R1151" s="17">
        <v>1086.2070000000001</v>
      </c>
      <c r="S1151" s="17">
        <v>63.953490000000002</v>
      </c>
      <c r="T1151" s="17">
        <v>1275.8620000000001</v>
      </c>
      <c r="U1151" s="20">
        <f t="shared" ref="U1151:U1214" si="80">IFERROR(IF(AND(Q1151="",R1151="",S1151="",T1151=""),"",IF(AND(Q1151&lt;&gt;"",R1151&lt;&gt;"",S1151&lt;&gt;"",T1151&lt;&gt;""),(T1151/R1151)/(S1151/Q1151),IF(AND(Q1151&lt;&gt;"",R1151&lt;&gt;""),R1151/Q1151,IF(AND(S1151&lt;&gt;"",T1151&lt;&gt;""),T1151/S1151,IF(AND(Q1151&lt;&gt;"",S1151&lt;&gt;""),Q1151/S1151,IF(AND(R1151&lt;&gt;"",T1151&lt;&gt;""),T1151/R1151)))))), "N/A")</f>
        <v>13.454542377290156</v>
      </c>
      <c r="V1151" s="41">
        <f t="shared" si="79"/>
        <v>1245.4542377290156</v>
      </c>
      <c r="W1151" s="17"/>
      <c r="X1151" s="17" t="s">
        <v>56</v>
      </c>
      <c r="Y1151" s="17"/>
      <c r="Z1151" s="17" t="s">
        <v>56</v>
      </c>
      <c r="AA1151" s="17"/>
      <c r="AB1151" s="17" t="s">
        <v>111</v>
      </c>
      <c r="AC1151" s="17">
        <v>1983</v>
      </c>
      <c r="AD1151" s="17">
        <v>31</v>
      </c>
      <c r="AE1151" s="17"/>
      <c r="AF1151" s="17"/>
      <c r="AG1151" s="17">
        <v>1999</v>
      </c>
      <c r="AH1151" s="14">
        <f t="shared" si="77"/>
        <v>-16</v>
      </c>
      <c r="AI1151" s="17">
        <f t="shared" si="78"/>
        <v>15</v>
      </c>
      <c r="AJ1151" s="17"/>
      <c r="AK1151" s="17" t="s">
        <v>58</v>
      </c>
      <c r="AL1151" s="16" t="s">
        <v>159</v>
      </c>
      <c r="AM1151" s="17">
        <v>2017</v>
      </c>
      <c r="AN1151" s="15" t="s">
        <v>207</v>
      </c>
      <c r="AO1151" s="15" t="s">
        <v>56</v>
      </c>
      <c r="AP1151" s="15"/>
      <c r="AQ1151" s="15" t="s">
        <v>56</v>
      </c>
      <c r="AR1151" s="15" t="s">
        <v>58</v>
      </c>
      <c r="AS1151" s="15" t="s">
        <v>62</v>
      </c>
      <c r="AT1151" s="15"/>
      <c r="AU1151" s="45" t="s">
        <v>1894</v>
      </c>
      <c r="AV1151" s="15"/>
      <c r="AW1151" s="12" t="str">
        <f>B1151&amp;C1151&amp;L1151&amp;M1151&amp;O1151&amp;U1151&amp;AL1151&amp;AM1151</f>
        <v>PhilippinesSumilon Island ReserveCaesionidaeFusiliersdensity13.4545423772902Russ2017</v>
      </c>
    </row>
    <row r="1152" spans="1:49" ht="14.25" customHeight="1" x14ac:dyDescent="0.35">
      <c r="A1152" s="12">
        <v>1151</v>
      </c>
      <c r="B1152" s="15" t="s">
        <v>477</v>
      </c>
      <c r="C1152" s="44" t="s">
        <v>1363</v>
      </c>
      <c r="D1152" s="44" t="s">
        <v>1375</v>
      </c>
      <c r="E1152" s="15" t="s">
        <v>136</v>
      </c>
      <c r="F1152" s="16" t="s">
        <v>50</v>
      </c>
      <c r="G1152" s="16" t="s">
        <v>51</v>
      </c>
      <c r="H1152" s="16" t="s">
        <v>481</v>
      </c>
      <c r="I1152" s="16" t="s">
        <v>53</v>
      </c>
      <c r="J1152" s="17">
        <v>0.94</v>
      </c>
      <c r="K1152" s="17"/>
      <c r="L1152" s="17" t="s">
        <v>226</v>
      </c>
      <c r="M1152" s="17" t="s">
        <v>1260</v>
      </c>
      <c r="N1152" s="14" t="s">
        <v>85</v>
      </c>
      <c r="O1152" s="17" t="s">
        <v>70</v>
      </c>
      <c r="P1152" s="17"/>
      <c r="Q1152" s="17"/>
      <c r="R1152" s="17"/>
      <c r="S1152" s="17">
        <v>5.8731030000000004</v>
      </c>
      <c r="T1152" s="17">
        <v>18.98207</v>
      </c>
      <c r="U1152" s="20">
        <f t="shared" si="80"/>
        <v>3.2320342415244547</v>
      </c>
      <c r="V1152" s="41">
        <f t="shared" si="79"/>
        <v>223.20342415244548</v>
      </c>
      <c r="W1152" s="17"/>
      <c r="X1152" s="17" t="s">
        <v>56</v>
      </c>
      <c r="Y1152" s="17"/>
      <c r="Z1152" s="17" t="s">
        <v>58</v>
      </c>
      <c r="AA1152" s="17" t="s">
        <v>58</v>
      </c>
      <c r="AB1152" s="17" t="s">
        <v>57</v>
      </c>
      <c r="AC1152" s="17">
        <v>1992</v>
      </c>
      <c r="AD1152" s="17">
        <v>13</v>
      </c>
      <c r="AE1152" s="17"/>
      <c r="AF1152" s="17"/>
      <c r="AG1152" s="17">
        <v>1983</v>
      </c>
      <c r="AH1152" s="14">
        <f t="shared" ref="AH1152:AH1215" si="81">IF(OR(AG1152="NA",AC1152="NA"),"NA",IF(OR(AC1152="",AG1152=""), "", AC1152-AG1152))</f>
        <v>9</v>
      </c>
      <c r="AI1152" s="17">
        <f t="shared" ref="AI1152:AI1215" si="82">IF(AH1152="NA", "NA",IF(OR(AH1152="",AND(AD1152="",AE1152="")), "",AH1152+AD1152+AE1152/12))</f>
        <v>22</v>
      </c>
      <c r="AJ1152" s="17"/>
      <c r="AK1152" s="17" t="s">
        <v>56</v>
      </c>
      <c r="AL1152" s="16" t="s">
        <v>1377</v>
      </c>
      <c r="AM1152" s="17">
        <v>2008</v>
      </c>
      <c r="AN1152" s="12" t="s">
        <v>685</v>
      </c>
      <c r="AO1152" s="15" t="s">
        <v>56</v>
      </c>
      <c r="AP1152" s="15"/>
      <c r="AQ1152" s="15" t="s">
        <v>56</v>
      </c>
      <c r="AR1152" s="15" t="s">
        <v>58</v>
      </c>
      <c r="AS1152" s="15" t="s">
        <v>62</v>
      </c>
      <c r="AT1152" s="15"/>
      <c r="AU1152" s="45"/>
      <c r="AV1152" s="15"/>
      <c r="AW1152" s="12" t="str">
        <f>B1152&amp;C1152&amp;L1152&amp;M1152&amp;O1152&amp;U1152&amp;AL1152&amp;AM1152</f>
        <v>SpainMedes Islands Marine ReserveDiplodus sarguswhite seabreambiomassden3.23203424152445Rius2008</v>
      </c>
    </row>
    <row r="1153" spans="1:49" ht="14.25" customHeight="1" x14ac:dyDescent="0.35">
      <c r="A1153" s="12">
        <v>1152</v>
      </c>
      <c r="B1153" s="15" t="s">
        <v>477</v>
      </c>
      <c r="C1153" s="44" t="s">
        <v>1363</v>
      </c>
      <c r="D1153" s="44" t="s">
        <v>1375</v>
      </c>
      <c r="E1153" s="15" t="s">
        <v>136</v>
      </c>
      <c r="F1153" s="16" t="s">
        <v>50</v>
      </c>
      <c r="G1153" s="16" t="s">
        <v>51</v>
      </c>
      <c r="H1153" s="16" t="s">
        <v>481</v>
      </c>
      <c r="I1153" s="16" t="s">
        <v>53</v>
      </c>
      <c r="J1153" s="17">
        <v>0.94</v>
      </c>
      <c r="K1153" s="17"/>
      <c r="L1153" s="17" t="s">
        <v>1371</v>
      </c>
      <c r="M1153" s="17" t="s">
        <v>1378</v>
      </c>
      <c r="N1153" s="14" t="s">
        <v>85</v>
      </c>
      <c r="O1153" s="17" t="s">
        <v>70</v>
      </c>
      <c r="P1153" s="17"/>
      <c r="Q1153" s="17"/>
      <c r="R1153" s="17"/>
      <c r="S1153" s="17">
        <v>0.17977499999999999</v>
      </c>
      <c r="T1153" s="17">
        <v>0.75280899999999995</v>
      </c>
      <c r="U1153" s="20">
        <f t="shared" si="80"/>
        <v>4.1875066054790713</v>
      </c>
      <c r="V1153" s="41">
        <f t="shared" si="79"/>
        <v>318.7506605479071</v>
      </c>
      <c r="W1153" s="17"/>
      <c r="X1153" s="17" t="s">
        <v>56</v>
      </c>
      <c r="Y1153" s="17"/>
      <c r="Z1153" s="17" t="s">
        <v>58</v>
      </c>
      <c r="AA1153" s="17" t="s">
        <v>58</v>
      </c>
      <c r="AB1153" s="17" t="s">
        <v>57</v>
      </c>
      <c r="AC1153" s="17">
        <v>1992</v>
      </c>
      <c r="AD1153" s="17">
        <v>13</v>
      </c>
      <c r="AE1153" s="17"/>
      <c r="AF1153" s="17"/>
      <c r="AG1153" s="17">
        <v>1983</v>
      </c>
      <c r="AH1153" s="14">
        <f t="shared" si="81"/>
        <v>9</v>
      </c>
      <c r="AI1153" s="17">
        <f t="shared" si="82"/>
        <v>22</v>
      </c>
      <c r="AJ1153" s="17"/>
      <c r="AK1153" s="17" t="s">
        <v>56</v>
      </c>
      <c r="AL1153" s="16" t="s">
        <v>1377</v>
      </c>
      <c r="AM1153" s="17">
        <v>2008</v>
      </c>
      <c r="AN1153" s="15" t="s">
        <v>685</v>
      </c>
      <c r="AO1153" s="15" t="s">
        <v>56</v>
      </c>
      <c r="AP1153" s="15"/>
      <c r="AQ1153" s="15" t="s">
        <v>56</v>
      </c>
      <c r="AR1153" s="15" t="s">
        <v>58</v>
      </c>
      <c r="AS1153" s="15" t="s">
        <v>62</v>
      </c>
      <c r="AT1153" s="15"/>
      <c r="AU1153" s="45"/>
      <c r="AV1153" s="15"/>
      <c r="AW1153" s="12" t="str">
        <f>B1153&amp;C1153&amp;L1153&amp;M1153&amp;O1153&amp;U1153&amp;AL1153&amp;AM1153</f>
        <v>SpainMedes Islands Marine ReserveSparus auratagithead seabreambiomassden4.18750660547907Rius2008</v>
      </c>
    </row>
    <row r="1154" spans="1:49" ht="14.25" customHeight="1" x14ac:dyDescent="0.35">
      <c r="A1154" s="12">
        <v>1153</v>
      </c>
      <c r="B1154" s="15" t="s">
        <v>477</v>
      </c>
      <c r="C1154" s="44" t="s">
        <v>1363</v>
      </c>
      <c r="D1154" s="44" t="s">
        <v>1375</v>
      </c>
      <c r="E1154" s="12" t="s">
        <v>136</v>
      </c>
      <c r="F1154" s="13" t="s">
        <v>50</v>
      </c>
      <c r="G1154" s="13" t="s">
        <v>51</v>
      </c>
      <c r="H1154" s="16" t="s">
        <v>481</v>
      </c>
      <c r="I1154" s="16" t="s">
        <v>53</v>
      </c>
      <c r="J1154" s="17">
        <v>0.94</v>
      </c>
      <c r="K1154" s="17"/>
      <c r="L1154" s="17" t="s">
        <v>1379</v>
      </c>
      <c r="M1154" s="17" t="s">
        <v>1380</v>
      </c>
      <c r="N1154" s="14" t="s">
        <v>85</v>
      </c>
      <c r="O1154" s="17" t="s">
        <v>104</v>
      </c>
      <c r="P1154" s="17" t="s">
        <v>568</v>
      </c>
      <c r="Q1154" s="17"/>
      <c r="R1154" s="17"/>
      <c r="S1154" s="17">
        <v>2.3159999999999998</v>
      </c>
      <c r="T1154" s="17">
        <v>2.21</v>
      </c>
      <c r="U1154" s="19">
        <f t="shared" si="80"/>
        <v>0.954231433506045</v>
      </c>
      <c r="V1154" s="41">
        <f t="shared" ref="V1154:V1217" si="83">IFERROR(IF(U1154 = "", "",(U1154-1)*100),"N/A")</f>
        <v>-4.5768566493955003</v>
      </c>
      <c r="W1154" s="14"/>
      <c r="X1154" s="17" t="s">
        <v>56</v>
      </c>
      <c r="Y1154" s="17"/>
      <c r="Z1154" s="17" t="s">
        <v>58</v>
      </c>
      <c r="AA1154" s="17" t="s">
        <v>58</v>
      </c>
      <c r="AB1154" s="17" t="s">
        <v>57</v>
      </c>
      <c r="AC1154" s="17">
        <v>2003</v>
      </c>
      <c r="AD1154" s="17">
        <v>1</v>
      </c>
      <c r="AE1154" s="17"/>
      <c r="AF1154" s="17"/>
      <c r="AG1154" s="17">
        <v>1983</v>
      </c>
      <c r="AH1154" s="14">
        <f t="shared" si="81"/>
        <v>20</v>
      </c>
      <c r="AI1154" s="17">
        <f t="shared" si="82"/>
        <v>21</v>
      </c>
      <c r="AJ1154" s="17"/>
      <c r="AK1154" s="17" t="s">
        <v>56</v>
      </c>
      <c r="AL1154" s="16" t="s">
        <v>1377</v>
      </c>
      <c r="AM1154" s="17">
        <v>2008</v>
      </c>
      <c r="AN1154" s="12" t="s">
        <v>685</v>
      </c>
      <c r="AO1154" s="15" t="s">
        <v>56</v>
      </c>
      <c r="AP1154" s="15"/>
      <c r="AQ1154" s="15" t="s">
        <v>56</v>
      </c>
      <c r="AR1154" s="15" t="s">
        <v>58</v>
      </c>
      <c r="AS1154" s="15" t="s">
        <v>62</v>
      </c>
      <c r="AT1154" s="12"/>
      <c r="AU1154" s="45"/>
      <c r="AV1154" s="15"/>
      <c r="AW1154" s="12" t="str">
        <f>B1154&amp;C1154&amp;L1154&amp;M1154&amp;O1154&amp;U1154&amp;AL1154&amp;AM1154</f>
        <v>SpainMedes Islands Marine ReserveMytilus galloprovincialisMediterranean musselsize0.954231433506045Rius2008</v>
      </c>
    </row>
    <row r="1155" spans="1:49" ht="14.25" customHeight="1" x14ac:dyDescent="0.35">
      <c r="A1155" s="12">
        <v>1154</v>
      </c>
      <c r="B1155" s="15" t="s">
        <v>477</v>
      </c>
      <c r="C1155" s="12" t="s">
        <v>1859</v>
      </c>
      <c r="D1155" s="12" t="s">
        <v>1860</v>
      </c>
      <c r="E1155" s="12" t="s">
        <v>49</v>
      </c>
      <c r="F1155" s="13" t="s">
        <v>50</v>
      </c>
      <c r="G1155" s="13" t="s">
        <v>51</v>
      </c>
      <c r="H1155" s="16" t="s">
        <v>481</v>
      </c>
      <c r="I1155" s="16" t="s">
        <v>53</v>
      </c>
      <c r="J1155" s="17">
        <v>0.8</v>
      </c>
      <c r="K1155" s="17"/>
      <c r="L1155" s="17" t="s">
        <v>226</v>
      </c>
      <c r="M1155" s="17"/>
      <c r="N1155" s="14" t="s">
        <v>85</v>
      </c>
      <c r="O1155" s="17" t="s">
        <v>104</v>
      </c>
      <c r="P1155" s="17" t="s">
        <v>457</v>
      </c>
      <c r="Q1155" s="17"/>
      <c r="R1155" s="17"/>
      <c r="S1155" s="17">
        <v>18.737860000000001</v>
      </c>
      <c r="T1155" s="17">
        <v>23.437139999999999</v>
      </c>
      <c r="U1155" s="19">
        <f t="shared" si="80"/>
        <v>1.2507906452497777</v>
      </c>
      <c r="V1155" s="41">
        <f t="shared" si="83"/>
        <v>25.079064524977767</v>
      </c>
      <c r="W1155" s="14"/>
      <c r="X1155" s="17" t="s">
        <v>56</v>
      </c>
      <c r="Y1155" s="17"/>
      <c r="Z1155" s="17" t="s">
        <v>58</v>
      </c>
      <c r="AA1155" s="17" t="s">
        <v>58</v>
      </c>
      <c r="AB1155" s="17" t="s">
        <v>57</v>
      </c>
      <c r="AC1155" s="17">
        <v>1994</v>
      </c>
      <c r="AD1155" s="17">
        <v>2</v>
      </c>
      <c r="AE1155" s="17"/>
      <c r="AF1155" s="17"/>
      <c r="AG1155" s="17">
        <v>1993</v>
      </c>
      <c r="AH1155" s="14">
        <f t="shared" si="81"/>
        <v>1</v>
      </c>
      <c r="AI1155" s="17">
        <f t="shared" si="82"/>
        <v>3</v>
      </c>
      <c r="AJ1155" s="17"/>
      <c r="AK1155" s="17" t="s">
        <v>56</v>
      </c>
      <c r="AL1155" s="16" t="s">
        <v>1377</v>
      </c>
      <c r="AM1155" s="17">
        <v>2007</v>
      </c>
      <c r="AN1155" s="12" t="s">
        <v>1173</v>
      </c>
      <c r="AO1155" s="15" t="s">
        <v>56</v>
      </c>
      <c r="AP1155" s="15"/>
      <c r="AQ1155" s="15" t="s">
        <v>56</v>
      </c>
      <c r="AR1155" s="15" t="s">
        <v>58</v>
      </c>
      <c r="AS1155" s="15" t="s">
        <v>62</v>
      </c>
      <c r="AT1155" s="12"/>
      <c r="AU1155" s="45" t="s">
        <v>1861</v>
      </c>
      <c r="AV1155" s="15"/>
      <c r="AW1155" s="12" t="str">
        <f>B1155&amp;C1155&amp;L1155&amp;M1155&amp;O1155&amp;U1155&amp;AL1155&amp;AM1155</f>
        <v>SpainSes Negres MPADiplodus sargussize1.25079064524978Rius2007</v>
      </c>
    </row>
    <row r="1156" spans="1:49" ht="14.25" customHeight="1" x14ac:dyDescent="0.35">
      <c r="A1156" s="12">
        <v>1155</v>
      </c>
      <c r="B1156" s="15" t="s">
        <v>477</v>
      </c>
      <c r="C1156" s="12" t="s">
        <v>1859</v>
      </c>
      <c r="D1156" s="12" t="s">
        <v>1860</v>
      </c>
      <c r="E1156" s="15" t="s">
        <v>49</v>
      </c>
      <c r="F1156" s="13" t="s">
        <v>50</v>
      </c>
      <c r="G1156" s="13" t="s">
        <v>51</v>
      </c>
      <c r="H1156" s="16" t="s">
        <v>481</v>
      </c>
      <c r="I1156" s="16" t="s">
        <v>53</v>
      </c>
      <c r="J1156" s="17">
        <v>0.8</v>
      </c>
      <c r="K1156" s="17"/>
      <c r="L1156" s="17" t="s">
        <v>225</v>
      </c>
      <c r="M1156" s="17"/>
      <c r="N1156" s="14" t="s">
        <v>85</v>
      </c>
      <c r="O1156" s="17" t="s">
        <v>104</v>
      </c>
      <c r="P1156" s="17" t="s">
        <v>457</v>
      </c>
      <c r="Q1156" s="17"/>
      <c r="R1156" s="17"/>
      <c r="S1156" s="17">
        <v>17.77778</v>
      </c>
      <c r="T1156" s="17">
        <v>18.486650000000001</v>
      </c>
      <c r="U1156" s="20">
        <f t="shared" si="80"/>
        <v>1.0398739325157584</v>
      </c>
      <c r="V1156" s="41">
        <f t="shared" si="83"/>
        <v>3.9873932515758437</v>
      </c>
      <c r="W1156" s="17"/>
      <c r="X1156" s="17" t="s">
        <v>56</v>
      </c>
      <c r="Y1156" s="17"/>
      <c r="Z1156" s="17" t="s">
        <v>58</v>
      </c>
      <c r="AA1156" s="17" t="s">
        <v>58</v>
      </c>
      <c r="AB1156" s="17" t="s">
        <v>57</v>
      </c>
      <c r="AC1156" s="17">
        <v>1994</v>
      </c>
      <c r="AD1156" s="17">
        <v>2</v>
      </c>
      <c r="AE1156" s="17"/>
      <c r="AF1156" s="17"/>
      <c r="AG1156" s="17">
        <v>1993</v>
      </c>
      <c r="AH1156" s="14">
        <f t="shared" si="81"/>
        <v>1</v>
      </c>
      <c r="AI1156" s="17">
        <f t="shared" si="82"/>
        <v>3</v>
      </c>
      <c r="AJ1156" s="17"/>
      <c r="AK1156" s="17" t="s">
        <v>56</v>
      </c>
      <c r="AL1156" s="16" t="s">
        <v>1377</v>
      </c>
      <c r="AM1156" s="17">
        <v>2007</v>
      </c>
      <c r="AN1156" s="15" t="s">
        <v>1173</v>
      </c>
      <c r="AO1156" s="15" t="s">
        <v>56</v>
      </c>
      <c r="AP1156" s="15"/>
      <c r="AQ1156" s="15" t="s">
        <v>56</v>
      </c>
      <c r="AR1156" s="15" t="s">
        <v>58</v>
      </c>
      <c r="AS1156" s="15" t="s">
        <v>62</v>
      </c>
      <c r="AT1156" s="15"/>
      <c r="AU1156" s="45" t="s">
        <v>1861</v>
      </c>
      <c r="AV1156" s="15"/>
      <c r="AW1156" s="12" t="str">
        <f>B1156&amp;C1156&amp;L1156&amp;M1156&amp;O1156&amp;U1156&amp;AL1156&amp;AM1156</f>
        <v>SpainSes Negres MPADiplodus vulgarissize1.03987393251576Rius2007</v>
      </c>
    </row>
    <row r="1157" spans="1:49" ht="14.25" customHeight="1" x14ac:dyDescent="0.35">
      <c r="A1157" s="12">
        <v>1156</v>
      </c>
      <c r="B1157" s="15" t="s">
        <v>477</v>
      </c>
      <c r="C1157" s="12" t="s">
        <v>1859</v>
      </c>
      <c r="D1157" s="12" t="s">
        <v>1860</v>
      </c>
      <c r="E1157" s="12" t="s">
        <v>49</v>
      </c>
      <c r="F1157" s="13" t="s">
        <v>50</v>
      </c>
      <c r="G1157" s="13" t="s">
        <v>51</v>
      </c>
      <c r="H1157" s="16" t="s">
        <v>481</v>
      </c>
      <c r="I1157" s="16" t="s">
        <v>53</v>
      </c>
      <c r="J1157" s="17">
        <v>0.8</v>
      </c>
      <c r="K1157" s="17"/>
      <c r="L1157" s="17" t="s">
        <v>1577</v>
      </c>
      <c r="M1157" s="17"/>
      <c r="N1157" s="14" t="s">
        <v>85</v>
      </c>
      <c r="O1157" s="17" t="s">
        <v>104</v>
      </c>
      <c r="P1157" s="17" t="s">
        <v>457</v>
      </c>
      <c r="Q1157" s="17"/>
      <c r="R1157" s="17"/>
      <c r="S1157" s="17">
        <v>12.945209999999999</v>
      </c>
      <c r="T1157" s="17">
        <v>16.104970000000002</v>
      </c>
      <c r="U1157" s="19">
        <f t="shared" si="80"/>
        <v>1.2440871951864823</v>
      </c>
      <c r="V1157" s="41">
        <f t="shared" si="83"/>
        <v>24.408719518648226</v>
      </c>
      <c r="W1157" s="14"/>
      <c r="X1157" s="17" t="s">
        <v>56</v>
      </c>
      <c r="Y1157" s="17"/>
      <c r="Z1157" s="17" t="s">
        <v>58</v>
      </c>
      <c r="AA1157" s="17" t="s">
        <v>58</v>
      </c>
      <c r="AB1157" s="17" t="s">
        <v>57</v>
      </c>
      <c r="AC1157" s="17">
        <v>1994</v>
      </c>
      <c r="AD1157" s="17">
        <v>2</v>
      </c>
      <c r="AE1157" s="17"/>
      <c r="AF1157" s="17"/>
      <c r="AG1157" s="17">
        <v>1993</v>
      </c>
      <c r="AH1157" s="14">
        <f t="shared" si="81"/>
        <v>1</v>
      </c>
      <c r="AI1157" s="17">
        <f t="shared" si="82"/>
        <v>3</v>
      </c>
      <c r="AJ1157" s="17"/>
      <c r="AK1157" s="17" t="s">
        <v>56</v>
      </c>
      <c r="AL1157" s="16" t="s">
        <v>1377</v>
      </c>
      <c r="AM1157" s="17">
        <v>2007</v>
      </c>
      <c r="AN1157" s="12" t="s">
        <v>1173</v>
      </c>
      <c r="AO1157" s="15" t="s">
        <v>56</v>
      </c>
      <c r="AP1157" s="15"/>
      <c r="AQ1157" s="15" t="s">
        <v>56</v>
      </c>
      <c r="AR1157" s="15" t="s">
        <v>58</v>
      </c>
      <c r="AS1157" s="15" t="s">
        <v>62</v>
      </c>
      <c r="AT1157" s="12"/>
      <c r="AU1157" s="45" t="s">
        <v>1861</v>
      </c>
      <c r="AV1157" s="15"/>
      <c r="AW1157" s="12" t="str">
        <f>B1157&amp;C1157&amp;L1157&amp;M1157&amp;O1157&amp;U1157&amp;AL1157&amp;AM1157</f>
        <v>SpainSes Negres MPACoris julissize1.24408719518648Rius2007</v>
      </c>
    </row>
    <row r="1158" spans="1:49" ht="14.25" customHeight="1" x14ac:dyDescent="0.35">
      <c r="A1158" s="12">
        <v>1157</v>
      </c>
      <c r="B1158" s="15" t="s">
        <v>477</v>
      </c>
      <c r="C1158" s="12" t="s">
        <v>1859</v>
      </c>
      <c r="D1158" s="12" t="s">
        <v>1860</v>
      </c>
      <c r="E1158" s="12" t="s">
        <v>49</v>
      </c>
      <c r="F1158" s="13" t="s">
        <v>50</v>
      </c>
      <c r="G1158" s="13" t="s">
        <v>51</v>
      </c>
      <c r="H1158" s="16" t="s">
        <v>481</v>
      </c>
      <c r="I1158" s="16" t="s">
        <v>53</v>
      </c>
      <c r="J1158" s="17">
        <v>0.8</v>
      </c>
      <c r="K1158" s="17"/>
      <c r="L1158" s="17" t="s">
        <v>217</v>
      </c>
      <c r="M1158" s="17"/>
      <c r="N1158" s="14" t="s">
        <v>85</v>
      </c>
      <c r="O1158" s="17" t="s">
        <v>104</v>
      </c>
      <c r="P1158" s="17" t="s">
        <v>457</v>
      </c>
      <c r="Q1158" s="17"/>
      <c r="R1158" s="17"/>
      <c r="S1158" s="17">
        <v>8.2035929999999997</v>
      </c>
      <c r="T1158" s="17">
        <v>11.298249999999999</v>
      </c>
      <c r="U1158" s="19">
        <f t="shared" si="80"/>
        <v>1.3772319031429276</v>
      </c>
      <c r="V1158" s="41">
        <f t="shared" si="83"/>
        <v>37.723190314292765</v>
      </c>
      <c r="W1158" s="14"/>
      <c r="X1158" s="17" t="s">
        <v>56</v>
      </c>
      <c r="Y1158" s="17"/>
      <c r="Z1158" s="17" t="s">
        <v>58</v>
      </c>
      <c r="AA1158" s="17" t="s">
        <v>58</v>
      </c>
      <c r="AB1158" s="17" t="s">
        <v>57</v>
      </c>
      <c r="AC1158" s="17">
        <v>1994</v>
      </c>
      <c r="AD1158" s="17">
        <v>2</v>
      </c>
      <c r="AE1158" s="17"/>
      <c r="AF1158" s="17"/>
      <c r="AG1158" s="17">
        <v>1993</v>
      </c>
      <c r="AH1158" s="14">
        <f t="shared" si="81"/>
        <v>1</v>
      </c>
      <c r="AI1158" s="17">
        <f t="shared" si="82"/>
        <v>3</v>
      </c>
      <c r="AJ1158" s="17"/>
      <c r="AK1158" s="17" t="s">
        <v>56</v>
      </c>
      <c r="AL1158" s="16" t="s">
        <v>1377</v>
      </c>
      <c r="AM1158" s="17">
        <v>2007</v>
      </c>
      <c r="AN1158" s="12" t="s">
        <v>1173</v>
      </c>
      <c r="AO1158" s="15" t="s">
        <v>56</v>
      </c>
      <c r="AP1158" s="15"/>
      <c r="AQ1158" s="15" t="s">
        <v>56</v>
      </c>
      <c r="AR1158" s="15" t="s">
        <v>58</v>
      </c>
      <c r="AS1158" s="15" t="s">
        <v>62</v>
      </c>
      <c r="AT1158" s="12"/>
      <c r="AU1158" s="45" t="s">
        <v>1861</v>
      </c>
      <c r="AV1158" s="15"/>
      <c r="AW1158" s="12" t="str">
        <f>B1158&amp;C1158&amp;L1158&amp;M1158&amp;O1158&amp;U1158&amp;AL1158&amp;AM1158</f>
        <v>SpainSes Negres MPASerranus cabrillasize1.37723190314293Rius2007</v>
      </c>
    </row>
    <row r="1159" spans="1:49" ht="14.25" customHeight="1" x14ac:dyDescent="0.35">
      <c r="A1159" s="12">
        <v>1158</v>
      </c>
      <c r="B1159" s="15" t="s">
        <v>254</v>
      </c>
      <c r="C1159" s="12" t="s">
        <v>2828</v>
      </c>
      <c r="D1159" s="15" t="s">
        <v>1252</v>
      </c>
      <c r="E1159" s="12" t="s">
        <v>730</v>
      </c>
      <c r="F1159" s="13" t="s">
        <v>50</v>
      </c>
      <c r="G1159" s="13" t="s">
        <v>51</v>
      </c>
      <c r="H1159" s="16" t="s">
        <v>78</v>
      </c>
      <c r="I1159" s="16" t="s">
        <v>53</v>
      </c>
      <c r="J1159" s="17">
        <v>1.27</v>
      </c>
      <c r="K1159" s="17"/>
      <c r="L1159" s="17"/>
      <c r="M1159" s="17" t="s">
        <v>913</v>
      </c>
      <c r="N1159" s="14" t="s">
        <v>407</v>
      </c>
      <c r="O1159" s="17" t="s">
        <v>70</v>
      </c>
      <c r="P1159" s="17"/>
      <c r="Q1159" s="17">
        <v>3.9479350000000002</v>
      </c>
      <c r="R1159" s="17">
        <v>1.1339809999999999</v>
      </c>
      <c r="S1159" s="17">
        <v>2.645956</v>
      </c>
      <c r="T1159" s="17">
        <v>0.67198899999999995</v>
      </c>
      <c r="U1159" s="19">
        <f t="shared" si="80"/>
        <v>0.88418625995428857</v>
      </c>
      <c r="V1159" s="41">
        <f t="shared" si="83"/>
        <v>-11.581374004571144</v>
      </c>
      <c r="W1159" s="14"/>
      <c r="X1159" s="17" t="s">
        <v>58</v>
      </c>
      <c r="Y1159" s="17">
        <v>10</v>
      </c>
      <c r="Z1159" s="17" t="s">
        <v>56</v>
      </c>
      <c r="AA1159" s="17"/>
      <c r="AB1159" s="17" t="s">
        <v>111</v>
      </c>
      <c r="AC1159" s="17">
        <v>1998</v>
      </c>
      <c r="AD1159" s="17">
        <v>12</v>
      </c>
      <c r="AE1159" s="17"/>
      <c r="AF1159" s="17"/>
      <c r="AG1159" s="17">
        <v>2003</v>
      </c>
      <c r="AH1159" s="14">
        <f t="shared" si="81"/>
        <v>-5</v>
      </c>
      <c r="AI1159" s="17">
        <f t="shared" si="82"/>
        <v>7</v>
      </c>
      <c r="AJ1159" s="17"/>
      <c r="AK1159" s="17" t="s">
        <v>58</v>
      </c>
      <c r="AL1159" s="16" t="s">
        <v>1253</v>
      </c>
      <c r="AM1159" s="17">
        <v>2013</v>
      </c>
      <c r="AN1159" s="12" t="s">
        <v>1254</v>
      </c>
      <c r="AO1159" s="15" t="s">
        <v>56</v>
      </c>
      <c r="AP1159" s="15"/>
      <c r="AQ1159" s="15" t="s">
        <v>56</v>
      </c>
      <c r="AR1159" s="15" t="s">
        <v>58</v>
      </c>
      <c r="AS1159" s="15" t="s">
        <v>62</v>
      </c>
      <c r="AT1159" s="12"/>
      <c r="AU1159" s="45"/>
      <c r="AV1159" s="15"/>
      <c r="AW1159" s="12" t="str">
        <f>B1159&amp;C1159&amp;L1159&amp;M1159&amp;O1159&amp;U1159&amp;AL1159&amp;AM1159</f>
        <v>MexicoLoreto Bay National Park no-take sectionsPiscivorous fishbiomassden0.884186259954289Rife2013</v>
      </c>
    </row>
    <row r="1160" spans="1:49" ht="14.25" customHeight="1" x14ac:dyDescent="0.35">
      <c r="A1160" s="12">
        <v>1159</v>
      </c>
      <c r="B1160" s="15" t="s">
        <v>254</v>
      </c>
      <c r="C1160" s="12" t="s">
        <v>2828</v>
      </c>
      <c r="D1160" s="15" t="s">
        <v>1252</v>
      </c>
      <c r="E1160" s="15" t="s">
        <v>730</v>
      </c>
      <c r="F1160" s="13" t="s">
        <v>50</v>
      </c>
      <c r="G1160" s="13" t="s">
        <v>51</v>
      </c>
      <c r="H1160" s="16" t="s">
        <v>78</v>
      </c>
      <c r="I1160" s="16" t="s">
        <v>53</v>
      </c>
      <c r="J1160" s="17">
        <v>1.27</v>
      </c>
      <c r="K1160" s="17"/>
      <c r="L1160" s="17"/>
      <c r="M1160" s="17" t="s">
        <v>1255</v>
      </c>
      <c r="N1160" s="14" t="s">
        <v>407</v>
      </c>
      <c r="O1160" s="17" t="s">
        <v>70</v>
      </c>
      <c r="P1160" s="17"/>
      <c r="Q1160" s="17">
        <v>5.0040449999999996</v>
      </c>
      <c r="R1160" s="17">
        <v>4.2292249999999996</v>
      </c>
      <c r="S1160" s="17">
        <v>4.3260779999999999</v>
      </c>
      <c r="T1160" s="17">
        <v>6.133991</v>
      </c>
      <c r="U1160" s="20">
        <f t="shared" si="80"/>
        <v>1.6776802989033857</v>
      </c>
      <c r="V1160" s="41">
        <f t="shared" si="83"/>
        <v>67.768029890338568</v>
      </c>
      <c r="W1160" s="17"/>
      <c r="X1160" s="17" t="s">
        <v>58</v>
      </c>
      <c r="Y1160" s="17">
        <v>10</v>
      </c>
      <c r="Z1160" s="17" t="s">
        <v>56</v>
      </c>
      <c r="AA1160" s="17"/>
      <c r="AB1160" s="17" t="s">
        <v>111</v>
      </c>
      <c r="AC1160" s="17">
        <v>1998</v>
      </c>
      <c r="AD1160" s="17">
        <v>12</v>
      </c>
      <c r="AE1160" s="17"/>
      <c r="AF1160" s="17"/>
      <c r="AG1160" s="17">
        <v>2003</v>
      </c>
      <c r="AH1160" s="14">
        <f t="shared" si="81"/>
        <v>-5</v>
      </c>
      <c r="AI1160" s="17">
        <f t="shared" si="82"/>
        <v>7</v>
      </c>
      <c r="AJ1160" s="17"/>
      <c r="AK1160" s="17" t="s">
        <v>58</v>
      </c>
      <c r="AL1160" s="16" t="s">
        <v>1253</v>
      </c>
      <c r="AM1160" s="17">
        <v>2013</v>
      </c>
      <c r="AN1160" s="15" t="s">
        <v>1254</v>
      </c>
      <c r="AO1160" s="15" t="s">
        <v>56</v>
      </c>
      <c r="AP1160" s="15"/>
      <c r="AQ1160" s="15" t="s">
        <v>56</v>
      </c>
      <c r="AR1160" s="15" t="s">
        <v>58</v>
      </c>
      <c r="AS1160" s="15" t="s">
        <v>62</v>
      </c>
      <c r="AT1160" s="15"/>
      <c r="AU1160" s="45"/>
      <c r="AV1160" s="15"/>
      <c r="AW1160" s="12" t="str">
        <f>B1160&amp;C1160&amp;L1160&amp;M1160&amp;O1160&amp;U1160&amp;AL1160&amp;AM1160</f>
        <v>MexicoLoreto Bay National Park no-take sectionsCarnivorous fishbiomassden1.67768029890339Rife2013</v>
      </c>
    </row>
    <row r="1161" spans="1:49" ht="14.25" customHeight="1" x14ac:dyDescent="0.35">
      <c r="A1161" s="12">
        <v>1160</v>
      </c>
      <c r="B1161" s="15" t="s">
        <v>254</v>
      </c>
      <c r="C1161" s="12" t="s">
        <v>2828</v>
      </c>
      <c r="D1161" s="15" t="s">
        <v>1252</v>
      </c>
      <c r="E1161" s="15" t="s">
        <v>730</v>
      </c>
      <c r="F1161" s="13" t="s">
        <v>50</v>
      </c>
      <c r="G1161" s="13" t="s">
        <v>51</v>
      </c>
      <c r="H1161" s="16" t="s">
        <v>78</v>
      </c>
      <c r="I1161" s="16" t="s">
        <v>53</v>
      </c>
      <c r="J1161" s="17">
        <v>1.27</v>
      </c>
      <c r="K1161" s="17"/>
      <c r="L1161" s="17"/>
      <c r="M1161" s="17" t="s">
        <v>292</v>
      </c>
      <c r="N1161" s="14" t="s">
        <v>407</v>
      </c>
      <c r="O1161" s="17" t="s">
        <v>70</v>
      </c>
      <c r="P1161" s="17"/>
      <c r="Q1161" s="17">
        <v>6.9430769999999997</v>
      </c>
      <c r="R1161" s="17">
        <v>3.799042</v>
      </c>
      <c r="S1161" s="17">
        <v>5.1090559999999998</v>
      </c>
      <c r="T1161" s="17">
        <v>6.4845709999999999</v>
      </c>
      <c r="U1161" s="20">
        <f t="shared" si="80"/>
        <v>2.3196287003412857</v>
      </c>
      <c r="V1161" s="41">
        <f t="shared" si="83"/>
        <v>131.96287003412857</v>
      </c>
      <c r="W1161" s="17"/>
      <c r="X1161" s="17" t="s">
        <v>58</v>
      </c>
      <c r="Y1161" s="17">
        <v>10</v>
      </c>
      <c r="Z1161" s="17" t="s">
        <v>56</v>
      </c>
      <c r="AA1161" s="17"/>
      <c r="AB1161" s="17" t="s">
        <v>111</v>
      </c>
      <c r="AC1161" s="17">
        <v>1998</v>
      </c>
      <c r="AD1161" s="17">
        <v>12</v>
      </c>
      <c r="AE1161" s="17"/>
      <c r="AF1161" s="17"/>
      <c r="AG1161" s="17">
        <v>2003</v>
      </c>
      <c r="AH1161" s="14">
        <f t="shared" si="81"/>
        <v>-5</v>
      </c>
      <c r="AI1161" s="17">
        <f t="shared" si="82"/>
        <v>7</v>
      </c>
      <c r="AJ1161" s="17"/>
      <c r="AK1161" s="17" t="s">
        <v>58</v>
      </c>
      <c r="AL1161" s="16" t="s">
        <v>1253</v>
      </c>
      <c r="AM1161" s="17">
        <v>2013</v>
      </c>
      <c r="AN1161" s="15" t="s">
        <v>1254</v>
      </c>
      <c r="AO1161" s="15" t="s">
        <v>56</v>
      </c>
      <c r="AP1161" s="15"/>
      <c r="AQ1161" s="15" t="s">
        <v>56</v>
      </c>
      <c r="AR1161" s="15" t="s">
        <v>58</v>
      </c>
      <c r="AS1161" s="15" t="s">
        <v>62</v>
      </c>
      <c r="AT1161" s="15"/>
      <c r="AU1161" s="45"/>
      <c r="AV1161" s="15"/>
      <c r="AW1161" s="12" t="str">
        <f>B1161&amp;C1161&amp;L1161&amp;M1161&amp;O1161&amp;U1161&amp;AL1161&amp;AM1161</f>
        <v>MexicoLoreto Bay National Park no-take sectionsHerbivorous fishbiomassden2.31962870034129Rife2013</v>
      </c>
    </row>
    <row r="1162" spans="1:49" ht="14.25" customHeight="1" x14ac:dyDescent="0.35">
      <c r="A1162" s="12">
        <v>1161</v>
      </c>
      <c r="B1162" s="15" t="s">
        <v>254</v>
      </c>
      <c r="C1162" s="15" t="s">
        <v>2828</v>
      </c>
      <c r="D1162" s="15" t="s">
        <v>1252</v>
      </c>
      <c r="E1162" s="15" t="s">
        <v>730</v>
      </c>
      <c r="F1162" s="13" t="s">
        <v>50</v>
      </c>
      <c r="G1162" s="13" t="s">
        <v>51</v>
      </c>
      <c r="H1162" s="16" t="s">
        <v>78</v>
      </c>
      <c r="I1162" s="16" t="s">
        <v>53</v>
      </c>
      <c r="J1162" s="17">
        <v>1.27</v>
      </c>
      <c r="K1162" s="17"/>
      <c r="L1162" s="17"/>
      <c r="M1162" s="17" t="s">
        <v>1256</v>
      </c>
      <c r="N1162" s="17" t="s">
        <v>407</v>
      </c>
      <c r="O1162" s="17" t="s">
        <v>70</v>
      </c>
      <c r="P1162" s="17"/>
      <c r="Q1162" s="17">
        <v>3.4387880000000002</v>
      </c>
      <c r="R1162" s="17">
        <v>0.85150899999999996</v>
      </c>
      <c r="S1162" s="17">
        <v>2.5217779999999999</v>
      </c>
      <c r="T1162" s="17">
        <v>5.698563</v>
      </c>
      <c r="U1162" s="20">
        <f t="shared" si="80"/>
        <v>9.1258780781070818</v>
      </c>
      <c r="V1162" s="41">
        <f t="shared" si="83"/>
        <v>812.58780781070823</v>
      </c>
      <c r="W1162" s="17"/>
      <c r="X1162" s="17" t="s">
        <v>58</v>
      </c>
      <c r="Y1162" s="17">
        <v>10</v>
      </c>
      <c r="Z1162" s="17" t="s">
        <v>56</v>
      </c>
      <c r="AA1162" s="17"/>
      <c r="AB1162" s="17" t="s">
        <v>111</v>
      </c>
      <c r="AC1162" s="17">
        <v>1998</v>
      </c>
      <c r="AD1162" s="17">
        <v>12</v>
      </c>
      <c r="AE1162" s="17"/>
      <c r="AF1162" s="17"/>
      <c r="AG1162" s="17">
        <v>2003</v>
      </c>
      <c r="AH1162" s="14">
        <f t="shared" si="81"/>
        <v>-5</v>
      </c>
      <c r="AI1162" s="17">
        <f t="shared" si="82"/>
        <v>7</v>
      </c>
      <c r="AJ1162" s="17"/>
      <c r="AK1162" s="17" t="s">
        <v>58</v>
      </c>
      <c r="AL1162" s="16" t="s">
        <v>1253</v>
      </c>
      <c r="AM1162" s="17">
        <v>2013</v>
      </c>
      <c r="AN1162" s="15" t="s">
        <v>1254</v>
      </c>
      <c r="AO1162" s="15" t="s">
        <v>56</v>
      </c>
      <c r="AP1162" s="15"/>
      <c r="AQ1162" s="15" t="s">
        <v>56</v>
      </c>
      <c r="AR1162" s="15" t="s">
        <v>58</v>
      </c>
      <c r="AS1162" s="15" t="s">
        <v>62</v>
      </c>
      <c r="AT1162" s="15"/>
      <c r="AU1162" s="45" t="s">
        <v>1257</v>
      </c>
      <c r="AV1162" s="15"/>
      <c r="AW1162" s="12" t="str">
        <f>B1162&amp;C1162&amp;L1162&amp;M1162&amp;O1162&amp;U1162&amp;AL1162&amp;AM1162</f>
        <v>MexicoLoreto Bay National Park no-take sectionsZooplanktivorous fishbiomassden9.12587807810708Rife2013</v>
      </c>
    </row>
    <row r="1163" spans="1:49" ht="14.25" customHeight="1" x14ac:dyDescent="0.35">
      <c r="A1163" s="12">
        <v>1162</v>
      </c>
      <c r="B1163" s="15" t="s">
        <v>254</v>
      </c>
      <c r="C1163" s="15" t="s">
        <v>1515</v>
      </c>
      <c r="D1163" s="15" t="s">
        <v>1516</v>
      </c>
      <c r="E1163" s="15" t="s">
        <v>68</v>
      </c>
      <c r="F1163" s="13" t="s">
        <v>50</v>
      </c>
      <c r="G1163" s="13" t="s">
        <v>51</v>
      </c>
      <c r="H1163" s="16" t="s">
        <v>78</v>
      </c>
      <c r="I1163" s="16" t="s">
        <v>53</v>
      </c>
      <c r="J1163" s="17">
        <f>486*0.014</f>
        <v>6.8040000000000003</v>
      </c>
      <c r="K1163" s="17"/>
      <c r="L1163" s="17"/>
      <c r="M1163" s="17" t="s">
        <v>54</v>
      </c>
      <c r="N1163" s="17" t="s">
        <v>1070</v>
      </c>
      <c r="O1163" s="17" t="s">
        <v>55</v>
      </c>
      <c r="P1163" s="17"/>
      <c r="Q1163" s="17">
        <v>27.806450000000002</v>
      </c>
      <c r="R1163" s="17">
        <v>26.774190000000001</v>
      </c>
      <c r="S1163" s="17">
        <v>28</v>
      </c>
      <c r="T1163" s="17">
        <v>25.225809999999999</v>
      </c>
      <c r="U1163" s="20">
        <f t="shared" si="80"/>
        <v>0.93565618935157335</v>
      </c>
      <c r="V1163" s="41">
        <f t="shared" si="83"/>
        <v>-6.4343810648426647</v>
      </c>
      <c r="W1163" s="17"/>
      <c r="X1163" s="17" t="s">
        <v>56</v>
      </c>
      <c r="Y1163" s="17"/>
      <c r="Z1163" s="17" t="s">
        <v>56</v>
      </c>
      <c r="AA1163" s="17"/>
      <c r="AB1163" s="17" t="s">
        <v>111</v>
      </c>
      <c r="AC1163" s="17">
        <v>2005</v>
      </c>
      <c r="AD1163" s="17">
        <v>12</v>
      </c>
      <c r="AE1163" s="17"/>
      <c r="AF1163" s="17"/>
      <c r="AG1163" s="17">
        <v>2014</v>
      </c>
      <c r="AH1163" s="14">
        <f t="shared" si="81"/>
        <v>-9</v>
      </c>
      <c r="AI1163" s="17">
        <f t="shared" si="82"/>
        <v>3</v>
      </c>
      <c r="AJ1163" s="17"/>
      <c r="AK1163" s="17" t="s">
        <v>58</v>
      </c>
      <c r="AL1163" s="16" t="s">
        <v>1517</v>
      </c>
      <c r="AM1163" s="17">
        <v>2020</v>
      </c>
      <c r="AN1163" s="12" t="s">
        <v>829</v>
      </c>
      <c r="AO1163" s="15" t="s">
        <v>56</v>
      </c>
      <c r="AP1163" s="15"/>
      <c r="AQ1163" s="15" t="s">
        <v>56</v>
      </c>
      <c r="AR1163" s="15" t="s">
        <v>58</v>
      </c>
      <c r="AS1163" s="15" t="s">
        <v>62</v>
      </c>
      <c r="AT1163" s="15"/>
      <c r="AU1163" s="45"/>
      <c r="AV1163" s="15"/>
      <c r="AW1163" s="12" t="str">
        <f>B1163&amp;C1163&amp;L1163&amp;M1163&amp;O1163&amp;U1163&amp;AL1163&amp;AM1163</f>
        <v>MexicoParque Nacional exclusivamente la zona marina del Archipiélago de Espíritu Santo no-take areasFishrichness0.935656189351573Ramírez-Ortiz2020</v>
      </c>
    </row>
    <row r="1164" spans="1:49" ht="14.25" customHeight="1" x14ac:dyDescent="0.35">
      <c r="A1164" s="12">
        <v>1163</v>
      </c>
      <c r="B1164" s="15" t="s">
        <v>254</v>
      </c>
      <c r="C1164" s="15" t="s">
        <v>1515</v>
      </c>
      <c r="D1164" s="15" t="s">
        <v>1516</v>
      </c>
      <c r="E1164" s="12" t="s">
        <v>68</v>
      </c>
      <c r="F1164" s="13" t="s">
        <v>50</v>
      </c>
      <c r="G1164" s="13" t="s">
        <v>51</v>
      </c>
      <c r="H1164" s="16" t="s">
        <v>78</v>
      </c>
      <c r="I1164" s="16" t="s">
        <v>53</v>
      </c>
      <c r="J1164" s="17">
        <f>486*0.014</f>
        <v>6.8040000000000003</v>
      </c>
      <c r="K1164" s="17"/>
      <c r="L1164" s="17"/>
      <c r="M1164" s="17" t="s">
        <v>54</v>
      </c>
      <c r="N1164" s="17" t="s">
        <v>1070</v>
      </c>
      <c r="O1164" s="17" t="s">
        <v>86</v>
      </c>
      <c r="P1164" s="17"/>
      <c r="Q1164" s="17">
        <v>8.5210080000000001</v>
      </c>
      <c r="R1164" s="17">
        <v>7.7142860000000004</v>
      </c>
      <c r="S1164" s="17">
        <v>8.4201680000000003</v>
      </c>
      <c r="T1164" s="17">
        <v>7.6134449999999996</v>
      </c>
      <c r="U1164" s="19">
        <f t="shared" si="80"/>
        <v>0.9987474769322735</v>
      </c>
      <c r="V1164" s="41">
        <f t="shared" si="83"/>
        <v>-0.12525230677264965</v>
      </c>
      <c r="W1164" s="14"/>
      <c r="X1164" s="17" t="s">
        <v>56</v>
      </c>
      <c r="Y1164" s="17"/>
      <c r="Z1164" s="17" t="s">
        <v>56</v>
      </c>
      <c r="AA1164" s="17"/>
      <c r="AB1164" s="17" t="s">
        <v>111</v>
      </c>
      <c r="AC1164" s="17">
        <v>2005</v>
      </c>
      <c r="AD1164" s="17">
        <v>12</v>
      </c>
      <c r="AE1164" s="17"/>
      <c r="AF1164" s="17"/>
      <c r="AG1164" s="17">
        <v>2014</v>
      </c>
      <c r="AH1164" s="14">
        <f t="shared" si="81"/>
        <v>-9</v>
      </c>
      <c r="AI1164" s="17">
        <f t="shared" si="82"/>
        <v>3</v>
      </c>
      <c r="AJ1164" s="17"/>
      <c r="AK1164" s="17" t="s">
        <v>58</v>
      </c>
      <c r="AL1164" s="16" t="s">
        <v>1517</v>
      </c>
      <c r="AM1164" s="17">
        <v>2020</v>
      </c>
      <c r="AN1164" s="12" t="s">
        <v>829</v>
      </c>
      <c r="AO1164" s="15" t="s">
        <v>56</v>
      </c>
      <c r="AP1164" s="15"/>
      <c r="AQ1164" s="15" t="s">
        <v>56</v>
      </c>
      <c r="AR1164" s="15" t="s">
        <v>58</v>
      </c>
      <c r="AS1164" s="15" t="s">
        <v>62</v>
      </c>
      <c r="AT1164" s="12"/>
      <c r="AU1164" s="45" t="s">
        <v>1518</v>
      </c>
      <c r="AV1164" s="15"/>
      <c r="AW1164" s="12" t="str">
        <f>B1164&amp;C1164&amp;L1164&amp;M1164&amp;O1164&amp;U1164&amp;AL1164&amp;AM1164</f>
        <v>MexicoParque Nacional exclusivamente la zona marina del Archipiélago de Espíritu Santo no-take areasFishdensity0.998747476932274Ramírez-Ortiz2020</v>
      </c>
    </row>
    <row r="1165" spans="1:49" ht="14.25" customHeight="1" x14ac:dyDescent="0.35">
      <c r="A1165" s="12">
        <v>1164</v>
      </c>
      <c r="B1165" s="15" t="s">
        <v>254</v>
      </c>
      <c r="C1165" s="15" t="s">
        <v>1515</v>
      </c>
      <c r="D1165" s="15" t="s">
        <v>1516</v>
      </c>
      <c r="E1165" s="12" t="s">
        <v>68</v>
      </c>
      <c r="F1165" s="13" t="s">
        <v>50</v>
      </c>
      <c r="G1165" s="13" t="s">
        <v>51</v>
      </c>
      <c r="H1165" s="16" t="s">
        <v>78</v>
      </c>
      <c r="I1165" s="16" t="s">
        <v>53</v>
      </c>
      <c r="J1165" s="17">
        <f>486*0.014</f>
        <v>6.8040000000000003</v>
      </c>
      <c r="K1165" s="17"/>
      <c r="L1165" s="17"/>
      <c r="M1165" s="17" t="s">
        <v>54</v>
      </c>
      <c r="N1165" s="17" t="s">
        <v>1070</v>
      </c>
      <c r="O1165" s="17" t="s">
        <v>70</v>
      </c>
      <c r="P1165" s="17"/>
      <c r="Q1165" s="17">
        <v>14.037229999999999</v>
      </c>
      <c r="R1165" s="17">
        <v>13.493840000000001</v>
      </c>
      <c r="S1165" s="17">
        <v>14.3995</v>
      </c>
      <c r="T1165" s="17">
        <v>13.56629</v>
      </c>
      <c r="U1165" s="19">
        <f t="shared" si="80"/>
        <v>0.98007552514014462</v>
      </c>
      <c r="V1165" s="41">
        <f t="shared" si="83"/>
        <v>-1.9924474859855379</v>
      </c>
      <c r="W1165" s="14"/>
      <c r="X1165" s="17" t="s">
        <v>56</v>
      </c>
      <c r="Y1165" s="17"/>
      <c r="Z1165" s="17" t="s">
        <v>56</v>
      </c>
      <c r="AA1165" s="17"/>
      <c r="AB1165" s="17" t="s">
        <v>111</v>
      </c>
      <c r="AC1165" s="17">
        <v>2005</v>
      </c>
      <c r="AD1165" s="17">
        <v>12</v>
      </c>
      <c r="AE1165" s="17"/>
      <c r="AF1165" s="17"/>
      <c r="AG1165" s="17">
        <v>2014</v>
      </c>
      <c r="AH1165" s="14">
        <f t="shared" si="81"/>
        <v>-9</v>
      </c>
      <c r="AI1165" s="17">
        <f t="shared" si="82"/>
        <v>3</v>
      </c>
      <c r="AJ1165" s="17"/>
      <c r="AK1165" s="17" t="s">
        <v>58</v>
      </c>
      <c r="AL1165" s="16" t="s">
        <v>1517</v>
      </c>
      <c r="AM1165" s="17">
        <v>2020</v>
      </c>
      <c r="AN1165" s="12" t="s">
        <v>829</v>
      </c>
      <c r="AO1165" s="15" t="s">
        <v>56</v>
      </c>
      <c r="AP1165" s="15"/>
      <c r="AQ1165" s="15" t="s">
        <v>56</v>
      </c>
      <c r="AR1165" s="15" t="s">
        <v>58</v>
      </c>
      <c r="AS1165" s="15" t="s">
        <v>62</v>
      </c>
      <c r="AT1165" s="12"/>
      <c r="AU1165" s="45" t="s">
        <v>1518</v>
      </c>
      <c r="AV1165" s="15"/>
      <c r="AW1165" s="12" t="str">
        <f>B1165&amp;C1165&amp;L1165&amp;M1165&amp;O1165&amp;U1165&amp;AL1165&amp;AM1165</f>
        <v>MexicoParque Nacional exclusivamente la zona marina del Archipiélago de Espíritu Santo no-take areasFishbiomassden0.980075525140145Ramírez-Ortiz2020</v>
      </c>
    </row>
    <row r="1166" spans="1:49" ht="14.25" customHeight="1" x14ac:dyDescent="0.35">
      <c r="A1166" s="12">
        <v>1165</v>
      </c>
      <c r="B1166" s="15" t="s">
        <v>46</v>
      </c>
      <c r="C1166" s="15" t="s">
        <v>47</v>
      </c>
      <c r="D1166" s="15" t="s">
        <v>48</v>
      </c>
      <c r="E1166" s="12" t="s">
        <v>49</v>
      </c>
      <c r="F1166" s="13" t="s">
        <v>50</v>
      </c>
      <c r="G1166" s="13" t="s">
        <v>51</v>
      </c>
      <c r="H1166" s="16" t="s">
        <v>52</v>
      </c>
      <c r="I1166" s="16" t="s">
        <v>53</v>
      </c>
      <c r="J1166" s="17">
        <v>50</v>
      </c>
      <c r="K1166" s="17"/>
      <c r="L1166" s="17"/>
      <c r="M1166" s="17" t="s">
        <v>54</v>
      </c>
      <c r="N1166" s="17" t="s">
        <v>1070</v>
      </c>
      <c r="O1166" s="17" t="s">
        <v>55</v>
      </c>
      <c r="P1166" s="17"/>
      <c r="Q1166" s="17"/>
      <c r="R1166" s="17"/>
      <c r="S1166" s="17">
        <v>20.6</v>
      </c>
      <c r="T1166" s="17">
        <v>24.2</v>
      </c>
      <c r="U1166" s="19">
        <f t="shared" si="80"/>
        <v>1.174757281553398</v>
      </c>
      <c r="V1166" s="41">
        <f t="shared" si="83"/>
        <v>17.475728155339798</v>
      </c>
      <c r="W1166" s="14"/>
      <c r="X1166" s="17" t="s">
        <v>56</v>
      </c>
      <c r="Y1166" s="17"/>
      <c r="Z1166" s="17" t="s">
        <v>56</v>
      </c>
      <c r="AA1166" s="17"/>
      <c r="AB1166" s="17" t="s">
        <v>57</v>
      </c>
      <c r="AC1166" s="17">
        <v>1995</v>
      </c>
      <c r="AD1166" s="17">
        <v>8</v>
      </c>
      <c r="AE1166" s="17"/>
      <c r="AF1166" s="17"/>
      <c r="AG1166" s="17">
        <v>1995</v>
      </c>
      <c r="AH1166" s="14">
        <f t="shared" si="81"/>
        <v>0</v>
      </c>
      <c r="AI1166" s="17">
        <f t="shared" si="82"/>
        <v>8</v>
      </c>
      <c r="AJ1166" s="17"/>
      <c r="AK1166" s="17" t="s">
        <v>58</v>
      </c>
      <c r="AL1166" s="16" t="s">
        <v>59</v>
      </c>
      <c r="AM1166" s="17">
        <v>2009</v>
      </c>
      <c r="AN1166" s="12" t="s">
        <v>60</v>
      </c>
      <c r="AO1166" s="15" t="s">
        <v>56</v>
      </c>
      <c r="AP1166" s="15" t="s">
        <v>61</v>
      </c>
      <c r="AQ1166" s="15" t="s">
        <v>56</v>
      </c>
      <c r="AR1166" s="15" t="s">
        <v>58</v>
      </c>
      <c r="AS1166" s="15" t="s">
        <v>62</v>
      </c>
      <c r="AT1166" s="12"/>
      <c r="AU1166" s="45" t="s">
        <v>63</v>
      </c>
      <c r="AV1166" s="15"/>
      <c r="AW1166" s="12" t="str">
        <f>B1166&amp;C1166&amp;L1166&amp;M1166&amp;O1166&amp;U1166&amp;AL1166&amp;AM1166</f>
        <v>New CaledoniaAbore reef reserveFishrichness1.1747572815534Preuss2009</v>
      </c>
    </row>
    <row r="1167" spans="1:49" ht="14.25" customHeight="1" x14ac:dyDescent="0.35">
      <c r="A1167" s="12">
        <v>1166</v>
      </c>
      <c r="B1167" s="15" t="s">
        <v>46</v>
      </c>
      <c r="C1167" s="15" t="s">
        <v>47</v>
      </c>
      <c r="D1167" s="15" t="s">
        <v>48</v>
      </c>
      <c r="E1167" s="15" t="s">
        <v>49</v>
      </c>
      <c r="F1167" s="13" t="s">
        <v>50</v>
      </c>
      <c r="G1167" s="13" t="s">
        <v>51</v>
      </c>
      <c r="H1167" s="16" t="s">
        <v>52</v>
      </c>
      <c r="I1167" s="16" t="s">
        <v>53</v>
      </c>
      <c r="J1167" s="17">
        <v>50</v>
      </c>
      <c r="K1167" s="17"/>
      <c r="L1167" s="17"/>
      <c r="M1167" s="17" t="s">
        <v>54</v>
      </c>
      <c r="N1167" s="14" t="s">
        <v>1070</v>
      </c>
      <c r="O1167" s="17" t="s">
        <v>70</v>
      </c>
      <c r="P1167" s="17"/>
      <c r="Q1167" s="17"/>
      <c r="R1167" s="17"/>
      <c r="S1167" s="17">
        <v>21.8</v>
      </c>
      <c r="T1167" s="17">
        <v>23.6</v>
      </c>
      <c r="U1167" s="20">
        <f t="shared" si="80"/>
        <v>1.0825688073394495</v>
      </c>
      <c r="V1167" s="41">
        <f t="shared" si="83"/>
        <v>8.2568807339449499</v>
      </c>
      <c r="W1167" s="17"/>
      <c r="X1167" s="17" t="s">
        <v>56</v>
      </c>
      <c r="Y1167" s="17"/>
      <c r="Z1167" s="17" t="s">
        <v>56</v>
      </c>
      <c r="AA1167" s="17"/>
      <c r="AB1167" s="17" t="s">
        <v>57</v>
      </c>
      <c r="AC1167" s="17">
        <v>1995</v>
      </c>
      <c r="AD1167" s="17">
        <v>8</v>
      </c>
      <c r="AE1167" s="17"/>
      <c r="AF1167" s="17"/>
      <c r="AG1167" s="17">
        <v>1995</v>
      </c>
      <c r="AH1167" s="14">
        <f t="shared" si="81"/>
        <v>0</v>
      </c>
      <c r="AI1167" s="17">
        <f t="shared" si="82"/>
        <v>8</v>
      </c>
      <c r="AJ1167" s="17"/>
      <c r="AK1167" s="17" t="s">
        <v>58</v>
      </c>
      <c r="AL1167" s="16" t="s">
        <v>59</v>
      </c>
      <c r="AM1167" s="17">
        <v>2009</v>
      </c>
      <c r="AN1167" s="15" t="s">
        <v>60</v>
      </c>
      <c r="AO1167" s="15" t="s">
        <v>56</v>
      </c>
      <c r="AP1167" s="15" t="s">
        <v>64</v>
      </c>
      <c r="AQ1167" s="15" t="s">
        <v>56</v>
      </c>
      <c r="AR1167" s="15" t="s">
        <v>58</v>
      </c>
      <c r="AS1167" s="15" t="s">
        <v>62</v>
      </c>
      <c r="AT1167" s="15"/>
      <c r="AU1167" s="45" t="s">
        <v>65</v>
      </c>
      <c r="AV1167" s="15"/>
      <c r="AW1167" s="12" t="str">
        <f>B1167&amp;C1167&amp;L1167&amp;M1167&amp;O1167&amp;U1167&amp;AL1167&amp;AM1167</f>
        <v>New CaledoniaAbore reef reserveFishbiomassden1.08256880733945Preuss2009</v>
      </c>
    </row>
    <row r="1168" spans="1:49" ht="14.25" customHeight="1" x14ac:dyDescent="0.35">
      <c r="A1168" s="12">
        <v>1167</v>
      </c>
      <c r="B1168" s="15" t="s">
        <v>66</v>
      </c>
      <c r="C1168" s="15" t="s">
        <v>2763</v>
      </c>
      <c r="D1168" s="15" t="s">
        <v>2763</v>
      </c>
      <c r="E1168" s="15" t="s">
        <v>68</v>
      </c>
      <c r="F1168" s="16" t="s">
        <v>50</v>
      </c>
      <c r="G1168" s="16" t="s">
        <v>51</v>
      </c>
      <c r="H1168" s="16" t="s">
        <v>52</v>
      </c>
      <c r="I1168" s="16" t="s">
        <v>53</v>
      </c>
      <c r="J1168" s="17"/>
      <c r="K1168" s="17">
        <v>1</v>
      </c>
      <c r="L1168" s="17" t="s">
        <v>879</v>
      </c>
      <c r="M1168" s="17" t="s">
        <v>2025</v>
      </c>
      <c r="N1168" s="17" t="s">
        <v>85</v>
      </c>
      <c r="O1168" s="17" t="s">
        <v>104</v>
      </c>
      <c r="P1168" s="17" t="s">
        <v>568</v>
      </c>
      <c r="Q1168" s="17"/>
      <c r="R1168" s="17"/>
      <c r="S1168" s="17">
        <v>20.836600000000001</v>
      </c>
      <c r="T1168" s="17">
        <v>24.35294</v>
      </c>
      <c r="U1168" s="20">
        <f t="shared" si="80"/>
        <v>1.1687578587677452</v>
      </c>
      <c r="V1168" s="41">
        <f t="shared" si="83"/>
        <v>16.875785876774518</v>
      </c>
      <c r="W1168" s="17"/>
      <c r="X1168" s="17" t="s">
        <v>58</v>
      </c>
      <c r="Y1168" s="14">
        <v>85.192999999999998</v>
      </c>
      <c r="Z1168" s="17" t="s">
        <v>58</v>
      </c>
      <c r="AA1168" s="17"/>
      <c r="AB1168" s="17" t="s">
        <v>57</v>
      </c>
      <c r="AC1168" s="17">
        <v>1983</v>
      </c>
      <c r="AD1168" s="17">
        <v>24</v>
      </c>
      <c r="AE1168" s="17"/>
      <c r="AF1168" s="17"/>
      <c r="AG1168" s="17">
        <v>1971</v>
      </c>
      <c r="AH1168" s="14">
        <f t="shared" si="81"/>
        <v>12</v>
      </c>
      <c r="AI1168" s="17">
        <f t="shared" si="82"/>
        <v>36</v>
      </c>
      <c r="AJ1168" s="17"/>
      <c r="AK1168" s="17" t="s">
        <v>58</v>
      </c>
      <c r="AL1168" s="16" t="s">
        <v>2026</v>
      </c>
      <c r="AM1168" s="17">
        <v>2009</v>
      </c>
      <c r="AN1168" s="15" t="s">
        <v>2027</v>
      </c>
      <c r="AO1168" s="15" t="s">
        <v>56</v>
      </c>
      <c r="AP1168" s="15"/>
      <c r="AQ1168" s="15" t="s">
        <v>56</v>
      </c>
      <c r="AR1168" s="15" t="s">
        <v>58</v>
      </c>
      <c r="AS1168" s="15" t="s">
        <v>62</v>
      </c>
      <c r="AT1168" s="15"/>
      <c r="AU1168" s="45" t="s">
        <v>2028</v>
      </c>
      <c r="AV1168" s="15"/>
      <c r="AW1168" s="12" t="str">
        <f>B1168&amp;C1168&amp;L1168&amp;M1168&amp;O1168&amp;U1168&amp;AL1168&amp;AM1168</f>
        <v>AustraliaWest Island ReserveNotolabrus tetricusbluethroated wrassesize1.16875785876775Shepherd2009</v>
      </c>
    </row>
    <row r="1169" spans="1:49" ht="14.25" customHeight="1" x14ac:dyDescent="0.35">
      <c r="A1169" s="12">
        <v>1168</v>
      </c>
      <c r="B1169" s="15" t="s">
        <v>1388</v>
      </c>
      <c r="C1169" s="43" t="s">
        <v>1389</v>
      </c>
      <c r="D1169" s="12" t="s">
        <v>1390</v>
      </c>
      <c r="E1169" s="15" t="s">
        <v>68</v>
      </c>
      <c r="F1169" s="13" t="s">
        <v>50</v>
      </c>
      <c r="G1169" s="16" t="s">
        <v>51</v>
      </c>
      <c r="H1169" s="16" t="s">
        <v>52</v>
      </c>
      <c r="I1169" s="16" t="s">
        <v>53</v>
      </c>
      <c r="J1169" s="17">
        <v>1.4</v>
      </c>
      <c r="K1169" s="17"/>
      <c r="L1169" s="17"/>
      <c r="M1169" s="17" t="s">
        <v>786</v>
      </c>
      <c r="N1169" s="17" t="s">
        <v>1070</v>
      </c>
      <c r="O1169" s="17" t="s">
        <v>101</v>
      </c>
      <c r="P1169" s="17"/>
      <c r="Q1169" s="17"/>
      <c r="R1169" s="17"/>
      <c r="S1169" s="17">
        <v>18.806529999999999</v>
      </c>
      <c r="T1169" s="17">
        <v>22.70909</v>
      </c>
      <c r="U1169" s="20">
        <f t="shared" si="80"/>
        <v>1.2075109017984711</v>
      </c>
      <c r="V1169" s="41">
        <f t="shared" si="83"/>
        <v>20.751090179847111</v>
      </c>
      <c r="W1169" s="17"/>
      <c r="X1169" s="14" t="s">
        <v>56</v>
      </c>
      <c r="Z1169" s="17" t="s">
        <v>56</v>
      </c>
      <c r="AA1169" s="17"/>
      <c r="AB1169" s="17" t="s">
        <v>57</v>
      </c>
      <c r="AC1169" s="17">
        <v>2002</v>
      </c>
      <c r="AD1169" s="17">
        <v>0</v>
      </c>
      <c r="AE1169" s="17"/>
      <c r="AF1169" s="17"/>
      <c r="AG1169" s="17">
        <v>1998</v>
      </c>
      <c r="AH1169" s="14">
        <f t="shared" si="81"/>
        <v>4</v>
      </c>
      <c r="AI1169" s="17">
        <f t="shared" si="82"/>
        <v>4</v>
      </c>
      <c r="AJ1169" s="17"/>
      <c r="AK1169" s="17" t="s">
        <v>56</v>
      </c>
      <c r="AL1169" s="16" t="s">
        <v>1391</v>
      </c>
      <c r="AM1169" s="17">
        <v>2008</v>
      </c>
      <c r="AN1169" s="15" t="s">
        <v>1392</v>
      </c>
      <c r="AO1169" s="15" t="s">
        <v>56</v>
      </c>
      <c r="AP1169" s="15"/>
      <c r="AQ1169" s="15" t="s">
        <v>56</v>
      </c>
      <c r="AR1169" s="15" t="s">
        <v>58</v>
      </c>
      <c r="AS1169" s="15" t="s">
        <v>62</v>
      </c>
      <c r="AT1169" s="15"/>
      <c r="AU1169" s="45"/>
      <c r="AV1169" s="15"/>
      <c r="AW1169" s="12" t="str">
        <f>B1169&amp;C1169&amp;L1169&amp;M1169&amp;O1169&amp;U1169&amp;AL1169&amp;AM1169</f>
        <v>TanzaniaMisali Island Marine Conservation Area non-extraction zonecoralcover1.20751090179847Poonian2008</v>
      </c>
    </row>
    <row r="1170" spans="1:49" ht="14.25" customHeight="1" x14ac:dyDescent="0.35">
      <c r="A1170" s="12">
        <v>1169</v>
      </c>
      <c r="B1170" s="15" t="s">
        <v>1388</v>
      </c>
      <c r="C1170" s="43" t="s">
        <v>1389</v>
      </c>
      <c r="D1170" s="12" t="s">
        <v>1390</v>
      </c>
      <c r="E1170" s="15" t="s">
        <v>68</v>
      </c>
      <c r="F1170" s="16" t="s">
        <v>50</v>
      </c>
      <c r="G1170" s="16" t="s">
        <v>51</v>
      </c>
      <c r="H1170" s="16" t="s">
        <v>52</v>
      </c>
      <c r="I1170" s="16" t="s">
        <v>53</v>
      </c>
      <c r="J1170" s="17">
        <v>1.4</v>
      </c>
      <c r="K1170" s="17"/>
      <c r="L1170" s="17"/>
      <c r="M1170" s="17" t="s">
        <v>561</v>
      </c>
      <c r="N1170" s="17" t="s">
        <v>1070</v>
      </c>
      <c r="O1170" s="17" t="s">
        <v>101</v>
      </c>
      <c r="P1170" s="17"/>
      <c r="Q1170" s="17"/>
      <c r="R1170" s="17"/>
      <c r="S1170" s="17">
        <v>6.3983049999999997</v>
      </c>
      <c r="T1170" s="17">
        <v>3.2768361580000001</v>
      </c>
      <c r="U1170" s="20">
        <f t="shared" si="80"/>
        <v>0.51214128710650719</v>
      </c>
      <c r="V1170" s="41">
        <f t="shared" si="83"/>
        <v>-48.785871289349281</v>
      </c>
      <c r="W1170" s="17"/>
      <c r="X1170" s="17" t="s">
        <v>56</v>
      </c>
      <c r="Z1170" s="17" t="s">
        <v>56</v>
      </c>
      <c r="AA1170" s="17"/>
      <c r="AB1170" s="17" t="s">
        <v>57</v>
      </c>
      <c r="AC1170" s="17">
        <v>2002</v>
      </c>
      <c r="AD1170" s="17">
        <v>0</v>
      </c>
      <c r="AE1170" s="17"/>
      <c r="AF1170" s="17"/>
      <c r="AG1170" s="17">
        <v>1998</v>
      </c>
      <c r="AH1170" s="14">
        <f t="shared" si="81"/>
        <v>4</v>
      </c>
      <c r="AI1170" s="17">
        <f t="shared" si="82"/>
        <v>4</v>
      </c>
      <c r="AJ1170" s="17"/>
      <c r="AK1170" s="17" t="s">
        <v>56</v>
      </c>
      <c r="AL1170" s="16" t="s">
        <v>1391</v>
      </c>
      <c r="AM1170" s="17">
        <v>2008</v>
      </c>
      <c r="AN1170" s="15" t="s">
        <v>1392</v>
      </c>
      <c r="AO1170" s="15" t="s">
        <v>56</v>
      </c>
      <c r="AP1170" s="15"/>
      <c r="AQ1170" s="15" t="s">
        <v>56</v>
      </c>
      <c r="AR1170" s="15" t="s">
        <v>58</v>
      </c>
      <c r="AS1170" s="15" t="s">
        <v>62</v>
      </c>
      <c r="AT1170" s="15"/>
      <c r="AU1170" s="45"/>
      <c r="AV1170" s="15"/>
      <c r="AW1170" s="12" t="str">
        <f>B1170&amp;C1170&amp;L1170&amp;M1170&amp;O1170&amp;U1170&amp;AL1170&amp;AM1170</f>
        <v>TanzaniaMisali Island Marine Conservation Area non-extraction zoneTurf algaecover0.512141287106507Poonian2008</v>
      </c>
    </row>
    <row r="1171" spans="1:49" ht="14.25" customHeight="1" x14ac:dyDescent="0.35">
      <c r="A1171" s="12">
        <v>1170</v>
      </c>
      <c r="B1171" s="15" t="s">
        <v>1388</v>
      </c>
      <c r="C1171" s="43" t="s">
        <v>1389</v>
      </c>
      <c r="D1171" s="12" t="s">
        <v>1390</v>
      </c>
      <c r="E1171" s="12" t="s">
        <v>68</v>
      </c>
      <c r="F1171" s="13" t="s">
        <v>50</v>
      </c>
      <c r="G1171" s="13" t="s">
        <v>51</v>
      </c>
      <c r="H1171" s="16" t="s">
        <v>52</v>
      </c>
      <c r="I1171" s="16" t="s">
        <v>53</v>
      </c>
      <c r="J1171" s="17">
        <v>1.4</v>
      </c>
      <c r="K1171" s="17"/>
      <c r="L1171" s="17"/>
      <c r="M1171" s="17" t="s">
        <v>616</v>
      </c>
      <c r="N1171" s="17" t="s">
        <v>1867</v>
      </c>
      <c r="O1171" s="17" t="s">
        <v>101</v>
      </c>
      <c r="P1171" s="17"/>
      <c r="Q1171" s="17"/>
      <c r="R1171" s="17"/>
      <c r="S1171" s="17">
        <v>4.618644068</v>
      </c>
      <c r="T1171" s="17">
        <v>2.3289391089999998</v>
      </c>
      <c r="U1171" s="19">
        <f t="shared" si="80"/>
        <v>0.50424736669706061</v>
      </c>
      <c r="V1171" s="41">
        <f t="shared" si="83"/>
        <v>-49.575263330293936</v>
      </c>
      <c r="W1171" s="14"/>
      <c r="X1171" s="17" t="s">
        <v>56</v>
      </c>
      <c r="Z1171" s="17" t="s">
        <v>56</v>
      </c>
      <c r="AA1171" s="17"/>
      <c r="AB1171" s="17" t="s">
        <v>57</v>
      </c>
      <c r="AC1171" s="17">
        <v>2002</v>
      </c>
      <c r="AD1171" s="17">
        <v>0</v>
      </c>
      <c r="AE1171" s="17"/>
      <c r="AF1171" s="17"/>
      <c r="AG1171" s="17">
        <v>1998</v>
      </c>
      <c r="AH1171" s="14">
        <f t="shared" si="81"/>
        <v>4</v>
      </c>
      <c r="AI1171" s="17">
        <f t="shared" si="82"/>
        <v>4</v>
      </c>
      <c r="AJ1171" s="17"/>
      <c r="AK1171" s="17" t="s">
        <v>56</v>
      </c>
      <c r="AL1171" s="16" t="s">
        <v>1391</v>
      </c>
      <c r="AM1171" s="17">
        <v>2008</v>
      </c>
      <c r="AN1171" s="15" t="s">
        <v>1392</v>
      </c>
      <c r="AO1171" s="15" t="s">
        <v>56</v>
      </c>
      <c r="AP1171" s="15"/>
      <c r="AQ1171" s="15" t="s">
        <v>56</v>
      </c>
      <c r="AR1171" s="15" t="s">
        <v>58</v>
      </c>
      <c r="AS1171" s="15" t="s">
        <v>62</v>
      </c>
      <c r="AT1171" s="12"/>
      <c r="AU1171" s="45"/>
      <c r="AV1171" s="15"/>
      <c r="AW1171" s="12" t="str">
        <f>B1171&amp;C1171&amp;L1171&amp;M1171&amp;O1171&amp;U1171&amp;AL1171&amp;AM1171</f>
        <v>TanzaniaMisali Island Marine Conservation Area non-extraction zoneFleshy algaecover0.504247366697061Poonian2008</v>
      </c>
    </row>
    <row r="1172" spans="1:49" ht="14.25" customHeight="1" x14ac:dyDescent="0.35">
      <c r="A1172" s="12">
        <v>1171</v>
      </c>
      <c r="B1172" s="15" t="s">
        <v>1388</v>
      </c>
      <c r="C1172" s="43" t="s">
        <v>1389</v>
      </c>
      <c r="D1172" s="15" t="s">
        <v>1390</v>
      </c>
      <c r="E1172" s="15" t="s">
        <v>68</v>
      </c>
      <c r="F1172" s="16" t="s">
        <v>50</v>
      </c>
      <c r="G1172" s="16" t="s">
        <v>51</v>
      </c>
      <c r="H1172" s="16" t="s">
        <v>52</v>
      </c>
      <c r="I1172" s="13" t="s">
        <v>53</v>
      </c>
      <c r="J1172" s="17">
        <v>1.4</v>
      </c>
      <c r="K1172" s="17"/>
      <c r="L1172" s="17"/>
      <c r="M1172" s="17" t="s">
        <v>1393</v>
      </c>
      <c r="N1172" s="17" t="s">
        <v>1070</v>
      </c>
      <c r="O1172" s="17" t="s">
        <v>101</v>
      </c>
      <c r="P1172" s="17"/>
      <c r="Q1172" s="17"/>
      <c r="R1172" s="17"/>
      <c r="S1172" s="17">
        <v>4.0677966100000003</v>
      </c>
      <c r="T1172" s="17">
        <v>3.6158192090000001</v>
      </c>
      <c r="U1172" s="20">
        <f t="shared" si="80"/>
        <v>0.88888888891620366</v>
      </c>
      <c r="V1172" s="41">
        <f t="shared" si="83"/>
        <v>-11.111111108379635</v>
      </c>
      <c r="W1172" s="17"/>
      <c r="X1172" s="17" t="s">
        <v>56</v>
      </c>
      <c r="Z1172" s="17" t="s">
        <v>56</v>
      </c>
      <c r="AA1172" s="17"/>
      <c r="AB1172" s="17" t="s">
        <v>57</v>
      </c>
      <c r="AC1172" s="17">
        <v>2002</v>
      </c>
      <c r="AD1172" s="17">
        <v>0</v>
      </c>
      <c r="AE1172" s="17"/>
      <c r="AF1172" s="17"/>
      <c r="AG1172" s="17">
        <v>1998</v>
      </c>
      <c r="AH1172" s="14">
        <f t="shared" si="81"/>
        <v>4</v>
      </c>
      <c r="AI1172" s="17">
        <f t="shared" si="82"/>
        <v>4</v>
      </c>
      <c r="AJ1172" s="17"/>
      <c r="AK1172" s="17" t="s">
        <v>56</v>
      </c>
      <c r="AL1172" s="16" t="s">
        <v>1391</v>
      </c>
      <c r="AM1172" s="17">
        <v>2008</v>
      </c>
      <c r="AN1172" s="15" t="s">
        <v>1392</v>
      </c>
      <c r="AO1172" s="15" t="s">
        <v>56</v>
      </c>
      <c r="AP1172" s="15"/>
      <c r="AQ1172" s="15" t="s">
        <v>56</v>
      </c>
      <c r="AR1172" s="15" t="s">
        <v>58</v>
      </c>
      <c r="AS1172" s="15" t="s">
        <v>62</v>
      </c>
      <c r="AT1172" s="15"/>
      <c r="AU1172" s="45"/>
      <c r="AV1172" s="15"/>
      <c r="AW1172" s="12" t="str">
        <f>B1172&amp;C1172&amp;L1172&amp;M1172&amp;O1172&amp;U1172&amp;AL1172&amp;AM1172</f>
        <v>TanzaniaMisali Island Marine Conservation Area non-extraction zoneCoraline algaecover0.888888888916204Poonian2008</v>
      </c>
    </row>
    <row r="1173" spans="1:49" ht="14.25" customHeight="1" x14ac:dyDescent="0.35">
      <c r="A1173" s="12">
        <v>1172</v>
      </c>
      <c r="B1173" s="15" t="s">
        <v>66</v>
      </c>
      <c r="C1173" s="15" t="s">
        <v>2759</v>
      </c>
      <c r="D1173" s="43" t="s">
        <v>1425</v>
      </c>
      <c r="E1173" s="15" t="s">
        <v>2002</v>
      </c>
      <c r="F1173" s="16" t="s">
        <v>274</v>
      </c>
      <c r="G1173" s="16" t="s">
        <v>51</v>
      </c>
      <c r="H1173" s="16" t="s">
        <v>52</v>
      </c>
      <c r="I1173" s="13" t="s">
        <v>156</v>
      </c>
      <c r="J1173" s="17">
        <v>14</v>
      </c>
      <c r="K1173" s="17"/>
      <c r="L1173" s="17"/>
      <c r="M1173" s="17" t="s">
        <v>2003</v>
      </c>
      <c r="N1173" s="17" t="s">
        <v>1070</v>
      </c>
      <c r="O1173" s="17" t="s">
        <v>55</v>
      </c>
      <c r="P1173" s="17"/>
      <c r="Q1173" s="17"/>
      <c r="R1173" s="17"/>
      <c r="S1173" s="17">
        <v>4.0902019999999997</v>
      </c>
      <c r="T1173" s="17">
        <v>4.1659920000000001</v>
      </c>
      <c r="U1173" s="20">
        <f t="shared" si="80"/>
        <v>1.018529647191019</v>
      </c>
      <c r="V1173" s="41">
        <f t="shared" si="83"/>
        <v>1.8529647191019016</v>
      </c>
      <c r="W1173" s="17"/>
      <c r="X1173" s="17" t="s">
        <v>58</v>
      </c>
      <c r="Y1173" s="14">
        <v>110</v>
      </c>
      <c r="Z1173" s="17" t="s">
        <v>56</v>
      </c>
      <c r="AA1173" s="17"/>
      <c r="AB1173" s="17" t="s">
        <v>57</v>
      </c>
      <c r="AC1173" s="17">
        <v>2002</v>
      </c>
      <c r="AD1173" s="17">
        <v>1</v>
      </c>
      <c r="AE1173" s="17"/>
      <c r="AF1173" s="17"/>
      <c r="AG1173" s="17">
        <v>1997</v>
      </c>
      <c r="AH1173" s="14">
        <f t="shared" si="81"/>
        <v>5</v>
      </c>
      <c r="AI1173" s="17">
        <f t="shared" si="82"/>
        <v>6</v>
      </c>
      <c r="AJ1173" s="17"/>
      <c r="AK1173" s="17" t="s">
        <v>56</v>
      </c>
      <c r="AL1173" s="16" t="s">
        <v>2004</v>
      </c>
      <c r="AM1173" s="17">
        <v>2007</v>
      </c>
      <c r="AN1173" s="15" t="s">
        <v>263</v>
      </c>
      <c r="AO1173" s="15" t="s">
        <v>56</v>
      </c>
      <c r="AP1173" s="15"/>
      <c r="AQ1173" s="15" t="s">
        <v>56</v>
      </c>
      <c r="AR1173" s="15" t="s">
        <v>58</v>
      </c>
      <c r="AS1173" s="15" t="s">
        <v>62</v>
      </c>
      <c r="AT1173" s="15"/>
      <c r="AU1173" s="45" t="s">
        <v>2760</v>
      </c>
      <c r="AV1173" s="15"/>
      <c r="AW1173" s="12" t="str">
        <f>B1173&amp;C1173&amp;L1173&amp;M1173&amp;O1173&amp;U1173&amp;AL1173&amp;AM1173</f>
        <v>AustraliaTripcony Bight and Wiles Island reservesnektonrichness1.01852964719102Pillans2007</v>
      </c>
    </row>
    <row r="1174" spans="1:49" ht="14.25" customHeight="1" x14ac:dyDescent="0.35">
      <c r="A1174" s="12">
        <v>1173</v>
      </c>
      <c r="B1174" s="15" t="s">
        <v>66</v>
      </c>
      <c r="C1174" s="15" t="s">
        <v>2759</v>
      </c>
      <c r="D1174" s="43" t="s">
        <v>1425</v>
      </c>
      <c r="E1174" s="15" t="s">
        <v>2002</v>
      </c>
      <c r="F1174" s="16" t="s">
        <v>274</v>
      </c>
      <c r="G1174" s="16" t="s">
        <v>51</v>
      </c>
      <c r="H1174" s="16" t="s">
        <v>52</v>
      </c>
      <c r="I1174" s="13" t="s">
        <v>156</v>
      </c>
      <c r="J1174" s="17">
        <v>14</v>
      </c>
      <c r="K1174" s="17"/>
      <c r="L1174" s="17"/>
      <c r="M1174" s="17" t="s">
        <v>2003</v>
      </c>
      <c r="N1174" s="17" t="s">
        <v>1070</v>
      </c>
      <c r="O1174" s="17" t="s">
        <v>86</v>
      </c>
      <c r="P1174" s="17"/>
      <c r="Q1174" s="17"/>
      <c r="R1174" s="17"/>
      <c r="S1174" s="17">
        <v>31.284549999999999</v>
      </c>
      <c r="T1174" s="17">
        <v>30.439019999999999</v>
      </c>
      <c r="U1174" s="20">
        <f t="shared" si="80"/>
        <v>0.9729729211383894</v>
      </c>
      <c r="V1174" s="41">
        <f t="shared" si="83"/>
        <v>-2.7027078861610598</v>
      </c>
      <c r="W1174" s="17"/>
      <c r="X1174" s="17" t="s">
        <v>58</v>
      </c>
      <c r="Y1174" s="14">
        <v>110</v>
      </c>
      <c r="Z1174" s="17" t="s">
        <v>56</v>
      </c>
      <c r="AA1174" s="17"/>
      <c r="AB1174" s="17" t="s">
        <v>57</v>
      </c>
      <c r="AC1174" s="17">
        <v>2002</v>
      </c>
      <c r="AD1174" s="17">
        <v>1</v>
      </c>
      <c r="AE1174" s="17"/>
      <c r="AF1174" s="17"/>
      <c r="AG1174" s="17">
        <v>1997</v>
      </c>
      <c r="AH1174" s="14">
        <f t="shared" si="81"/>
        <v>5</v>
      </c>
      <c r="AI1174" s="17">
        <f t="shared" si="82"/>
        <v>6</v>
      </c>
      <c r="AJ1174" s="17"/>
      <c r="AK1174" s="17" t="s">
        <v>56</v>
      </c>
      <c r="AL1174" s="16" t="s">
        <v>2004</v>
      </c>
      <c r="AM1174" s="17">
        <v>2007</v>
      </c>
      <c r="AN1174" s="15" t="s">
        <v>263</v>
      </c>
      <c r="AO1174" s="15" t="s">
        <v>56</v>
      </c>
      <c r="AP1174" s="15"/>
      <c r="AQ1174" s="15" t="s">
        <v>56</v>
      </c>
      <c r="AR1174" s="15" t="s">
        <v>58</v>
      </c>
      <c r="AS1174" s="15" t="s">
        <v>62</v>
      </c>
      <c r="AT1174" s="15"/>
      <c r="AU1174" s="45" t="s">
        <v>2760</v>
      </c>
      <c r="AV1174" s="15"/>
      <c r="AW1174" s="12" t="str">
        <f>B1174&amp;C1174&amp;L1174&amp;M1174&amp;O1174&amp;U1174&amp;AL1174&amp;AM1174</f>
        <v>AustraliaTripcony Bight and Wiles Island reservesnektondensity0.972972921138389Pillans2007</v>
      </c>
    </row>
    <row r="1175" spans="1:49" ht="14.25" customHeight="1" x14ac:dyDescent="0.35">
      <c r="A1175" s="12">
        <v>1174</v>
      </c>
      <c r="B1175" s="15" t="s">
        <v>66</v>
      </c>
      <c r="C1175" s="15" t="s">
        <v>2759</v>
      </c>
      <c r="D1175" s="43" t="s">
        <v>1425</v>
      </c>
      <c r="E1175" s="12" t="s">
        <v>2002</v>
      </c>
      <c r="F1175" s="13" t="s">
        <v>274</v>
      </c>
      <c r="G1175" s="13" t="s">
        <v>51</v>
      </c>
      <c r="H1175" s="16" t="s">
        <v>52</v>
      </c>
      <c r="I1175" s="13" t="s">
        <v>156</v>
      </c>
      <c r="J1175" s="17">
        <v>14</v>
      </c>
      <c r="K1175" s="17"/>
      <c r="L1175" s="17"/>
      <c r="M1175" s="17" t="s">
        <v>2003</v>
      </c>
      <c r="N1175" s="17" t="s">
        <v>1070</v>
      </c>
      <c r="O1175" s="17" t="s">
        <v>104</v>
      </c>
      <c r="P1175" s="17" t="s">
        <v>457</v>
      </c>
      <c r="Q1175" s="17"/>
      <c r="R1175" s="17"/>
      <c r="S1175" s="17">
        <v>5.1656250000000004</v>
      </c>
      <c r="T1175" s="17">
        <v>5.3609369999999998</v>
      </c>
      <c r="U1175" s="19">
        <f t="shared" si="80"/>
        <v>1.037809945553539</v>
      </c>
      <c r="V1175" s="41">
        <f t="shared" si="83"/>
        <v>3.7809945553539004</v>
      </c>
      <c r="W1175" s="14"/>
      <c r="X1175" s="17" t="s">
        <v>58</v>
      </c>
      <c r="Y1175" s="14">
        <v>110</v>
      </c>
      <c r="Z1175" s="17" t="s">
        <v>56</v>
      </c>
      <c r="AA1175" s="17"/>
      <c r="AB1175" s="17" t="s">
        <v>57</v>
      </c>
      <c r="AC1175" s="17">
        <v>2002</v>
      </c>
      <c r="AD1175" s="17">
        <v>1</v>
      </c>
      <c r="AE1175" s="17"/>
      <c r="AF1175" s="17"/>
      <c r="AG1175" s="17">
        <v>1997</v>
      </c>
      <c r="AH1175" s="14">
        <f t="shared" si="81"/>
        <v>5</v>
      </c>
      <c r="AI1175" s="17">
        <f t="shared" si="82"/>
        <v>6</v>
      </c>
      <c r="AJ1175" s="17"/>
      <c r="AK1175" s="17" t="s">
        <v>56</v>
      </c>
      <c r="AL1175" s="16" t="s">
        <v>2004</v>
      </c>
      <c r="AM1175" s="17">
        <v>2007</v>
      </c>
      <c r="AN1175" s="15" t="s">
        <v>263</v>
      </c>
      <c r="AO1175" s="15" t="s">
        <v>56</v>
      </c>
      <c r="AP1175" s="15"/>
      <c r="AQ1175" s="15" t="s">
        <v>56</v>
      </c>
      <c r="AR1175" s="15" t="s">
        <v>58</v>
      </c>
      <c r="AS1175" s="15" t="s">
        <v>62</v>
      </c>
      <c r="AT1175" s="12"/>
      <c r="AU1175" s="45" t="s">
        <v>2760</v>
      </c>
      <c r="AV1175" s="15"/>
      <c r="AW1175" s="12" t="str">
        <f>B1175&amp;C1175&amp;L1175&amp;M1175&amp;O1175&amp;U1175&amp;AL1175&amp;AM1175</f>
        <v>AustraliaTripcony Bight and Wiles Island reservesnektonsize1.03780994555354Pillans2007</v>
      </c>
    </row>
    <row r="1176" spans="1:49" ht="14.25" customHeight="1" x14ac:dyDescent="0.35">
      <c r="A1176" s="12">
        <v>1175</v>
      </c>
      <c r="B1176" s="15" t="s">
        <v>66</v>
      </c>
      <c r="C1176" s="15" t="s">
        <v>2759</v>
      </c>
      <c r="D1176" s="43" t="s">
        <v>1425</v>
      </c>
      <c r="E1176" s="15" t="s">
        <v>2002</v>
      </c>
      <c r="F1176" s="16" t="s">
        <v>274</v>
      </c>
      <c r="G1176" s="16" t="s">
        <v>51</v>
      </c>
      <c r="H1176" s="16" t="s">
        <v>52</v>
      </c>
      <c r="I1176" s="16" t="s">
        <v>156</v>
      </c>
      <c r="J1176" s="17">
        <v>14</v>
      </c>
      <c r="K1176" s="17"/>
      <c r="L1176" s="17"/>
      <c r="M1176" s="17" t="s">
        <v>69</v>
      </c>
      <c r="N1176" s="14" t="s">
        <v>1070</v>
      </c>
      <c r="O1176" s="17" t="s">
        <v>55</v>
      </c>
      <c r="P1176" s="17"/>
      <c r="Q1176" s="17"/>
      <c r="R1176" s="17"/>
      <c r="S1176" s="17">
        <v>73</v>
      </c>
      <c r="T1176" s="17">
        <v>71.5</v>
      </c>
      <c r="U1176" s="20">
        <f t="shared" si="80"/>
        <v>0.97945205479452058</v>
      </c>
      <c r="V1176" s="41">
        <f t="shared" si="83"/>
        <v>-2.0547945205479423</v>
      </c>
      <c r="W1176" s="17"/>
      <c r="X1176" s="17" t="s">
        <v>58</v>
      </c>
      <c r="Y1176" s="14">
        <v>110</v>
      </c>
      <c r="Z1176" s="17" t="s">
        <v>56</v>
      </c>
      <c r="AA1176" s="17"/>
      <c r="AB1176" s="17" t="s">
        <v>57</v>
      </c>
      <c r="AC1176" s="17">
        <v>2002</v>
      </c>
      <c r="AD1176" s="17">
        <v>1</v>
      </c>
      <c r="AE1176" s="17"/>
      <c r="AF1176" s="17"/>
      <c r="AG1176" s="17">
        <v>1997</v>
      </c>
      <c r="AH1176" s="14">
        <f t="shared" si="81"/>
        <v>5</v>
      </c>
      <c r="AI1176" s="17">
        <f t="shared" si="82"/>
        <v>6</v>
      </c>
      <c r="AJ1176" s="17"/>
      <c r="AK1176" s="17" t="s">
        <v>56</v>
      </c>
      <c r="AL1176" s="16" t="s">
        <v>2004</v>
      </c>
      <c r="AM1176" s="17">
        <v>2007</v>
      </c>
      <c r="AN1176" s="15" t="s">
        <v>263</v>
      </c>
      <c r="AO1176" s="15" t="s">
        <v>56</v>
      </c>
      <c r="AP1176" s="15"/>
      <c r="AQ1176" s="15" t="s">
        <v>56</v>
      </c>
      <c r="AR1176" s="15" t="s">
        <v>58</v>
      </c>
      <c r="AS1176" s="15" t="s">
        <v>62</v>
      </c>
      <c r="AT1176" s="15"/>
      <c r="AU1176" s="45" t="s">
        <v>2760</v>
      </c>
      <c r="AV1176" s="15"/>
      <c r="AW1176" s="12" t="str">
        <f>B1176&amp;C1176&amp;L1176&amp;M1176&amp;O1176&amp;U1176&amp;AL1176&amp;AM1176</f>
        <v>AustraliaTripcony Bight and Wiles Island reservesfishrichness0.979452054794521Pillans2007</v>
      </c>
    </row>
    <row r="1177" spans="1:49" ht="14.25" customHeight="1" x14ac:dyDescent="0.35">
      <c r="A1177" s="12">
        <v>1176</v>
      </c>
      <c r="B1177" s="15" t="s">
        <v>210</v>
      </c>
      <c r="C1177" s="15" t="s">
        <v>1530</v>
      </c>
      <c r="D1177" s="16" t="s">
        <v>575</v>
      </c>
      <c r="E1177" s="12" t="s">
        <v>68</v>
      </c>
      <c r="F1177" s="16" t="s">
        <v>480</v>
      </c>
      <c r="G1177" s="16" t="s">
        <v>51</v>
      </c>
      <c r="H1177" s="16" t="s">
        <v>108</v>
      </c>
      <c r="I1177" s="16" t="s">
        <v>53</v>
      </c>
      <c r="J1177" s="17">
        <v>6</v>
      </c>
      <c r="K1177" s="17"/>
      <c r="L1177" s="17" t="s">
        <v>1531</v>
      </c>
      <c r="M1177" s="17" t="s">
        <v>1532</v>
      </c>
      <c r="N1177" s="14" t="s">
        <v>85</v>
      </c>
      <c r="O1177" s="17" t="s">
        <v>104</v>
      </c>
      <c r="P1177" s="17" t="s">
        <v>568</v>
      </c>
      <c r="Q1177" s="17"/>
      <c r="R1177" s="17"/>
      <c r="S1177" s="17">
        <v>9.7609139999999996</v>
      </c>
      <c r="T1177" s="17">
        <v>9.4646860000000004</v>
      </c>
      <c r="U1177" s="19">
        <f t="shared" si="80"/>
        <v>0.9696516125436615</v>
      </c>
      <c r="V1177" s="41">
        <f t="shared" si="83"/>
        <v>-3.0348387456338499</v>
      </c>
      <c r="W1177" s="14"/>
      <c r="X1177" s="17" t="s">
        <v>56</v>
      </c>
      <c r="Z1177" s="17" t="s">
        <v>58</v>
      </c>
      <c r="AA1177" s="17" t="s">
        <v>58</v>
      </c>
      <c r="AB1177" s="17" t="s">
        <v>57</v>
      </c>
      <c r="AC1177" s="17">
        <v>2011</v>
      </c>
      <c r="AD1177" s="17">
        <v>2</v>
      </c>
      <c r="AE1177" s="17"/>
      <c r="AF1177" s="17"/>
      <c r="AG1177" s="17">
        <v>2011</v>
      </c>
      <c r="AH1177" s="14">
        <f t="shared" si="81"/>
        <v>0</v>
      </c>
      <c r="AI1177" s="17">
        <f t="shared" si="82"/>
        <v>2</v>
      </c>
      <c r="AJ1177" s="17"/>
      <c r="AK1177" s="17" t="s">
        <v>56</v>
      </c>
      <c r="AL1177" s="16" t="s">
        <v>576</v>
      </c>
      <c r="AM1177" s="17">
        <v>2017</v>
      </c>
      <c r="AN1177" s="12" t="s">
        <v>343</v>
      </c>
      <c r="AO1177" s="15" t="s">
        <v>56</v>
      </c>
      <c r="AP1177" s="15"/>
      <c r="AQ1177" s="15" t="s">
        <v>56</v>
      </c>
      <c r="AR1177" s="15" t="s">
        <v>58</v>
      </c>
      <c r="AS1177" s="15" t="s">
        <v>62</v>
      </c>
      <c r="AT1177" s="12"/>
      <c r="AU1177" s="45" t="s">
        <v>1533</v>
      </c>
      <c r="AV1177" s="15"/>
      <c r="AW1177" s="12" t="str">
        <f>B1177&amp;C1177&amp;L1177&amp;M1177&amp;O1177&amp;U1177&amp;AL1177&amp;AM1177</f>
        <v>PortugalPessegueiro Island reserveArnoglossus laternaEuropean scaldfishsize0.969651612543662Pereira2017</v>
      </c>
    </row>
    <row r="1178" spans="1:49" ht="14.25" customHeight="1" x14ac:dyDescent="0.35">
      <c r="A1178" s="12">
        <v>1177</v>
      </c>
      <c r="B1178" s="15" t="s">
        <v>210</v>
      </c>
      <c r="C1178" s="15" t="s">
        <v>1530</v>
      </c>
      <c r="D1178" s="16" t="s">
        <v>575</v>
      </c>
      <c r="E1178" s="15" t="s">
        <v>68</v>
      </c>
      <c r="F1178" s="16" t="s">
        <v>480</v>
      </c>
      <c r="G1178" s="16" t="s">
        <v>51</v>
      </c>
      <c r="H1178" s="16" t="s">
        <v>108</v>
      </c>
      <c r="I1178" s="16" t="s">
        <v>53</v>
      </c>
      <c r="J1178" s="17">
        <v>6</v>
      </c>
      <c r="K1178" s="17"/>
      <c r="L1178" s="17" t="s">
        <v>1534</v>
      </c>
      <c r="M1178" s="17" t="s">
        <v>1535</v>
      </c>
      <c r="N1178" s="14" t="s">
        <v>85</v>
      </c>
      <c r="O1178" s="17" t="s">
        <v>104</v>
      </c>
      <c r="P1178" s="17" t="s">
        <v>568</v>
      </c>
      <c r="Q1178" s="17"/>
      <c r="R1178" s="17"/>
      <c r="S1178" s="17">
        <v>20.714289999999998</v>
      </c>
      <c r="T1178" s="17">
        <v>21.90476</v>
      </c>
      <c r="U1178" s="20">
        <f t="shared" si="80"/>
        <v>1.0574709536266993</v>
      </c>
      <c r="V1178" s="41">
        <f t="shared" si="83"/>
        <v>5.7470953626699295</v>
      </c>
      <c r="W1178" s="17"/>
      <c r="X1178" s="17" t="s">
        <v>56</v>
      </c>
      <c r="Z1178" s="17" t="s">
        <v>58</v>
      </c>
      <c r="AA1178" s="17" t="s">
        <v>58</v>
      </c>
      <c r="AB1178" s="17" t="s">
        <v>57</v>
      </c>
      <c r="AC1178" s="17">
        <v>2011</v>
      </c>
      <c r="AD1178" s="17">
        <v>2</v>
      </c>
      <c r="AE1178" s="17"/>
      <c r="AF1178" s="17"/>
      <c r="AG1178" s="17">
        <v>2011</v>
      </c>
      <c r="AH1178" s="14">
        <f t="shared" si="81"/>
        <v>0</v>
      </c>
      <c r="AI1178" s="17">
        <f t="shared" si="82"/>
        <v>2</v>
      </c>
      <c r="AJ1178" s="17"/>
      <c r="AK1178" s="17" t="s">
        <v>56</v>
      </c>
      <c r="AL1178" s="16" t="s">
        <v>576</v>
      </c>
      <c r="AM1178" s="17">
        <v>2017</v>
      </c>
      <c r="AN1178" s="15" t="s">
        <v>343</v>
      </c>
      <c r="AO1178" s="15" t="s">
        <v>56</v>
      </c>
      <c r="AP1178" s="15"/>
      <c r="AQ1178" s="15" t="s">
        <v>56</v>
      </c>
      <c r="AR1178" s="15" t="s">
        <v>58</v>
      </c>
      <c r="AS1178" s="15" t="s">
        <v>62</v>
      </c>
      <c r="AT1178" s="15"/>
      <c r="AU1178" s="45" t="s">
        <v>1533</v>
      </c>
      <c r="AV1178" s="15"/>
      <c r="AW1178" s="12" t="str">
        <f>B1178&amp;C1178&amp;L1178&amp;M1178&amp;O1178&amp;U1178&amp;AL1178&amp;AM1178</f>
        <v>PortugalPessegueiro Island reservePegusa lascarissand solesize1.0574709536267Pereira2017</v>
      </c>
    </row>
    <row r="1179" spans="1:49" ht="14.25" customHeight="1" x14ac:dyDescent="0.35">
      <c r="A1179" s="12">
        <v>1178</v>
      </c>
      <c r="B1179" s="15" t="s">
        <v>210</v>
      </c>
      <c r="C1179" s="15" t="s">
        <v>1530</v>
      </c>
      <c r="D1179" s="16" t="s">
        <v>575</v>
      </c>
      <c r="E1179" s="15" t="s">
        <v>68</v>
      </c>
      <c r="F1179" s="16" t="s">
        <v>480</v>
      </c>
      <c r="G1179" s="16" t="s">
        <v>51</v>
      </c>
      <c r="H1179" s="16" t="s">
        <v>108</v>
      </c>
      <c r="I1179" s="16" t="s">
        <v>53</v>
      </c>
      <c r="J1179" s="17">
        <v>6</v>
      </c>
      <c r="K1179" s="17"/>
      <c r="L1179" s="17" t="s">
        <v>1536</v>
      </c>
      <c r="M1179" s="17" t="s">
        <v>1537</v>
      </c>
      <c r="N1179" s="14" t="s">
        <v>85</v>
      </c>
      <c r="O1179" s="17" t="s">
        <v>104</v>
      </c>
      <c r="P1179" s="17" t="s">
        <v>568</v>
      </c>
      <c r="Q1179" s="17"/>
      <c r="R1179" s="17"/>
      <c r="S1179" s="17">
        <v>17.870370000000001</v>
      </c>
      <c r="T1179" s="17">
        <v>20.370370000000001</v>
      </c>
      <c r="U1179" s="20">
        <f t="shared" si="80"/>
        <v>1.1398963759564016</v>
      </c>
      <c r="V1179" s="41">
        <f t="shared" si="83"/>
        <v>13.989637595640158</v>
      </c>
      <c r="W1179" s="17"/>
      <c r="X1179" s="17" t="s">
        <v>56</v>
      </c>
      <c r="Z1179" s="17" t="s">
        <v>58</v>
      </c>
      <c r="AA1179" s="17" t="s">
        <v>58</v>
      </c>
      <c r="AB1179" s="17" t="s">
        <v>57</v>
      </c>
      <c r="AC1179" s="17">
        <v>2011</v>
      </c>
      <c r="AD1179" s="17">
        <v>2</v>
      </c>
      <c r="AE1179" s="17"/>
      <c r="AF1179" s="17"/>
      <c r="AG1179" s="17">
        <v>2011</v>
      </c>
      <c r="AH1179" s="14">
        <f t="shared" si="81"/>
        <v>0</v>
      </c>
      <c r="AI1179" s="17">
        <f t="shared" si="82"/>
        <v>2</v>
      </c>
      <c r="AJ1179" s="17"/>
      <c r="AK1179" s="17" t="s">
        <v>56</v>
      </c>
      <c r="AL1179" s="16" t="s">
        <v>576</v>
      </c>
      <c r="AM1179" s="17">
        <v>2017</v>
      </c>
      <c r="AN1179" s="15" t="s">
        <v>343</v>
      </c>
      <c r="AO1179" s="15" t="s">
        <v>56</v>
      </c>
      <c r="AP1179" s="15"/>
      <c r="AQ1179" s="15" t="s">
        <v>56</v>
      </c>
      <c r="AR1179" s="15" t="s">
        <v>58</v>
      </c>
      <c r="AS1179" s="15" t="s">
        <v>62</v>
      </c>
      <c r="AT1179" s="15"/>
      <c r="AU1179" s="45" t="s">
        <v>1533</v>
      </c>
      <c r="AV1179" s="15"/>
      <c r="AW1179" s="12" t="str">
        <f>B1179&amp;C1179&amp;L1179&amp;M1179&amp;O1179&amp;U1179&amp;AL1179&amp;AM1179</f>
        <v>PortugalPessegueiro Island reserveChelidonichthys obscuruslong-finned gurnardsize1.1398963759564Pereira2017</v>
      </c>
    </row>
    <row r="1180" spans="1:49" ht="14.25" customHeight="1" x14ac:dyDescent="0.35">
      <c r="A1180" s="12">
        <v>1179</v>
      </c>
      <c r="B1180" s="15" t="s">
        <v>210</v>
      </c>
      <c r="C1180" s="15" t="s">
        <v>1530</v>
      </c>
      <c r="D1180" s="16" t="s">
        <v>575</v>
      </c>
      <c r="E1180" s="15" t="s">
        <v>68</v>
      </c>
      <c r="F1180" s="16" t="s">
        <v>480</v>
      </c>
      <c r="G1180" s="16" t="s">
        <v>51</v>
      </c>
      <c r="H1180" s="16" t="s">
        <v>108</v>
      </c>
      <c r="I1180" s="16" t="s">
        <v>53</v>
      </c>
      <c r="J1180" s="17">
        <v>6</v>
      </c>
      <c r="K1180" s="17"/>
      <c r="L1180" s="17" t="s">
        <v>1538</v>
      </c>
      <c r="M1180" s="17" t="s">
        <v>1539</v>
      </c>
      <c r="N1180" s="17" t="s">
        <v>85</v>
      </c>
      <c r="O1180" s="17" t="s">
        <v>104</v>
      </c>
      <c r="P1180" s="17" t="s">
        <v>568</v>
      </c>
      <c r="Q1180" s="17"/>
      <c r="R1180" s="17"/>
      <c r="S1180" s="17">
        <v>59.047620000000002</v>
      </c>
      <c r="T1180" s="17">
        <v>79.523809999999997</v>
      </c>
      <c r="U1180" s="20">
        <f t="shared" si="80"/>
        <v>1.3467741798907389</v>
      </c>
      <c r="V1180" s="41">
        <f t="shared" si="83"/>
        <v>34.677417989073888</v>
      </c>
      <c r="W1180" s="17"/>
      <c r="X1180" s="17" t="s">
        <v>56</v>
      </c>
      <c r="Z1180" s="17" t="s">
        <v>58</v>
      </c>
      <c r="AA1180" s="17" t="s">
        <v>58</v>
      </c>
      <c r="AB1180" s="17" t="s">
        <v>57</v>
      </c>
      <c r="AC1180" s="17">
        <v>2011</v>
      </c>
      <c r="AD1180" s="17">
        <v>2</v>
      </c>
      <c r="AE1180" s="17"/>
      <c r="AF1180" s="17"/>
      <c r="AG1180" s="17">
        <v>2011</v>
      </c>
      <c r="AH1180" s="14">
        <f t="shared" si="81"/>
        <v>0</v>
      </c>
      <c r="AI1180" s="17">
        <f t="shared" si="82"/>
        <v>2</v>
      </c>
      <c r="AJ1180" s="17"/>
      <c r="AK1180" s="17" t="s">
        <v>56</v>
      </c>
      <c r="AL1180" s="16" t="s">
        <v>576</v>
      </c>
      <c r="AM1180" s="17">
        <v>2017</v>
      </c>
      <c r="AN1180" s="15" t="s">
        <v>343</v>
      </c>
      <c r="AO1180" s="15" t="s">
        <v>56</v>
      </c>
      <c r="AP1180" s="15"/>
      <c r="AQ1180" s="15" t="s">
        <v>56</v>
      </c>
      <c r="AR1180" s="15" t="s">
        <v>58</v>
      </c>
      <c r="AS1180" s="15" t="s">
        <v>62</v>
      </c>
      <c r="AT1180" s="15"/>
      <c r="AU1180" s="45" t="s">
        <v>1533</v>
      </c>
      <c r="AV1180" s="15"/>
      <c r="AW1180" s="12" t="str">
        <f>B1180&amp;C1180&amp;L1180&amp;M1180&amp;O1180&amp;U1180&amp;AL1180&amp;AM1180</f>
        <v>PortugalPessegueiro Island reserveRaja clavatathronback raysize1.34677417989074Pereira2017</v>
      </c>
    </row>
    <row r="1181" spans="1:49" ht="14.25" customHeight="1" x14ac:dyDescent="0.35">
      <c r="A1181" s="12">
        <v>1180</v>
      </c>
      <c r="B1181" s="15" t="s">
        <v>210</v>
      </c>
      <c r="C1181" s="15" t="s">
        <v>1530</v>
      </c>
      <c r="D1181" s="16" t="s">
        <v>575</v>
      </c>
      <c r="E1181" s="15" t="s">
        <v>68</v>
      </c>
      <c r="F1181" s="16" t="s">
        <v>480</v>
      </c>
      <c r="G1181" s="16" t="s">
        <v>51</v>
      </c>
      <c r="H1181" s="16" t="s">
        <v>108</v>
      </c>
      <c r="I1181" s="16" t="s">
        <v>53</v>
      </c>
      <c r="J1181" s="17">
        <v>6</v>
      </c>
      <c r="K1181" s="17"/>
      <c r="L1181" s="17"/>
      <c r="M1181" s="17" t="s">
        <v>69</v>
      </c>
      <c r="N1181" s="17" t="s">
        <v>1070</v>
      </c>
      <c r="O1181" s="17" t="s">
        <v>55</v>
      </c>
      <c r="P1181" s="17"/>
      <c r="Q1181" s="17"/>
      <c r="R1181" s="17"/>
      <c r="S1181" s="17">
        <v>7.84</v>
      </c>
      <c r="T1181" s="17">
        <v>7.2</v>
      </c>
      <c r="U1181" s="20">
        <f t="shared" si="80"/>
        <v>0.91836734693877553</v>
      </c>
      <c r="V1181" s="41">
        <f t="shared" si="83"/>
        <v>-8.1632653061224474</v>
      </c>
      <c r="W1181" s="17"/>
      <c r="X1181" s="17" t="s">
        <v>56</v>
      </c>
      <c r="Z1181" s="17" t="s">
        <v>58</v>
      </c>
      <c r="AA1181" s="17"/>
      <c r="AB1181" s="17" t="s">
        <v>57</v>
      </c>
      <c r="AC1181" s="17">
        <v>2011</v>
      </c>
      <c r="AD1181" s="17">
        <v>2</v>
      </c>
      <c r="AE1181" s="17"/>
      <c r="AF1181" s="17"/>
      <c r="AG1181" s="17">
        <v>2011</v>
      </c>
      <c r="AH1181" s="14">
        <f t="shared" si="81"/>
        <v>0</v>
      </c>
      <c r="AI1181" s="17">
        <f t="shared" si="82"/>
        <v>2</v>
      </c>
      <c r="AJ1181" s="17"/>
      <c r="AK1181" s="17" t="s">
        <v>56</v>
      </c>
      <c r="AL1181" s="16" t="s">
        <v>576</v>
      </c>
      <c r="AM1181" s="17">
        <v>2017</v>
      </c>
      <c r="AN1181" s="15" t="s">
        <v>343</v>
      </c>
      <c r="AO1181" s="15" t="s">
        <v>56</v>
      </c>
      <c r="AP1181" s="15"/>
      <c r="AQ1181" s="15" t="s">
        <v>56</v>
      </c>
      <c r="AR1181" s="15" t="s">
        <v>58</v>
      </c>
      <c r="AS1181" s="15" t="s">
        <v>62</v>
      </c>
      <c r="AT1181" s="15"/>
      <c r="AU1181" s="45" t="s">
        <v>1533</v>
      </c>
      <c r="AV1181" s="15"/>
      <c r="AW1181" s="12" t="str">
        <f>B1181&amp;C1181&amp;L1181&amp;M1181&amp;O1181&amp;U1181&amp;AL1181&amp;AM1181</f>
        <v>PortugalPessegueiro Island reservefishrichness0.918367346938776Pereira2017</v>
      </c>
    </row>
    <row r="1182" spans="1:49" ht="14.25" customHeight="1" x14ac:dyDescent="0.35">
      <c r="A1182" s="12">
        <v>1181</v>
      </c>
      <c r="B1182" s="15" t="s">
        <v>210</v>
      </c>
      <c r="C1182" s="15" t="s">
        <v>574</v>
      </c>
      <c r="D1182" s="16" t="s">
        <v>575</v>
      </c>
      <c r="E1182" s="15" t="s">
        <v>68</v>
      </c>
      <c r="F1182" s="16" t="s">
        <v>480</v>
      </c>
      <c r="G1182" s="16" t="s">
        <v>51</v>
      </c>
      <c r="H1182" s="16" t="s">
        <v>108</v>
      </c>
      <c r="I1182" s="16" t="s">
        <v>53</v>
      </c>
      <c r="J1182" s="17">
        <v>7</v>
      </c>
      <c r="K1182" s="17"/>
      <c r="L1182" s="17"/>
      <c r="M1182" s="17" t="s">
        <v>69</v>
      </c>
      <c r="N1182" s="14" t="s">
        <v>1070</v>
      </c>
      <c r="O1182" s="17" t="s">
        <v>55</v>
      </c>
      <c r="P1182" s="17"/>
      <c r="Q1182" s="17"/>
      <c r="R1182" s="17"/>
      <c r="S1182" s="17">
        <v>5.2903229999999999</v>
      </c>
      <c r="T1182" s="17">
        <v>6.9677420000000003</v>
      </c>
      <c r="U1182" s="20">
        <f t="shared" si="80"/>
        <v>1.3170730785246951</v>
      </c>
      <c r="V1182" s="41">
        <f t="shared" si="83"/>
        <v>31.707307852469512</v>
      </c>
      <c r="W1182" s="17"/>
      <c r="X1182" s="17" t="s">
        <v>56</v>
      </c>
      <c r="Z1182" s="17" t="s">
        <v>58</v>
      </c>
      <c r="AA1182" s="17"/>
      <c r="AB1182" s="17" t="s">
        <v>57</v>
      </c>
      <c r="AC1182" s="17">
        <v>2011</v>
      </c>
      <c r="AD1182" s="17">
        <v>2</v>
      </c>
      <c r="AE1182" s="17"/>
      <c r="AF1182" s="17"/>
      <c r="AG1182" s="17">
        <v>2011</v>
      </c>
      <c r="AH1182" s="14">
        <f t="shared" si="81"/>
        <v>0</v>
      </c>
      <c r="AI1182" s="17">
        <f t="shared" si="82"/>
        <v>2</v>
      </c>
      <c r="AJ1182" s="17"/>
      <c r="AK1182" s="17" t="s">
        <v>56</v>
      </c>
      <c r="AL1182" s="16" t="s">
        <v>576</v>
      </c>
      <c r="AM1182" s="17">
        <v>2017</v>
      </c>
      <c r="AN1182" s="15" t="s">
        <v>343</v>
      </c>
      <c r="AO1182" s="15" t="s">
        <v>56</v>
      </c>
      <c r="AP1182" s="15"/>
      <c r="AQ1182" s="15" t="s">
        <v>56</v>
      </c>
      <c r="AR1182" s="15" t="s">
        <v>58</v>
      </c>
      <c r="AS1182" s="15" t="s">
        <v>62</v>
      </c>
      <c r="AT1182" s="15"/>
      <c r="AU1182" s="45" t="s">
        <v>577</v>
      </c>
      <c r="AV1182" s="15"/>
      <c r="AW1182" s="12" t="str">
        <f>B1182&amp;C1182&amp;L1182&amp;M1182&amp;O1182&amp;U1182&amp;AL1182&amp;AM1182</f>
        <v>PortugalCape Sardao reservefishrichness1.3170730785247Pereira2017</v>
      </c>
    </row>
    <row r="1183" spans="1:49" ht="14.25" customHeight="1" x14ac:dyDescent="0.35">
      <c r="A1183" s="12">
        <v>1182</v>
      </c>
      <c r="B1183" s="15" t="s">
        <v>551</v>
      </c>
      <c r="C1183" s="15" t="s">
        <v>1248</v>
      </c>
      <c r="D1183" s="15" t="s">
        <v>1248</v>
      </c>
      <c r="E1183" s="15"/>
      <c r="F1183" s="16" t="s">
        <v>50</v>
      </c>
      <c r="G1183" s="16" t="s">
        <v>51</v>
      </c>
      <c r="H1183" s="16" t="s">
        <v>52</v>
      </c>
      <c r="I1183" s="16" t="s">
        <v>53</v>
      </c>
      <c r="J1183" s="17">
        <v>6.19</v>
      </c>
      <c r="K1183" s="17"/>
      <c r="L1183" s="17" t="s">
        <v>1051</v>
      </c>
      <c r="M1183" s="17" t="s">
        <v>1052</v>
      </c>
      <c r="N1183" s="14" t="s">
        <v>85</v>
      </c>
      <c r="O1183" s="17" t="s">
        <v>104</v>
      </c>
      <c r="P1183" s="17" t="s">
        <v>568</v>
      </c>
      <c r="Q1183" s="17"/>
      <c r="R1183" s="17"/>
      <c r="S1183" s="17">
        <v>22.5</v>
      </c>
      <c r="T1183" s="17">
        <v>98</v>
      </c>
      <c r="U1183" s="20">
        <f t="shared" si="80"/>
        <v>4.3555555555555552</v>
      </c>
      <c r="V1183" s="41">
        <f t="shared" si="83"/>
        <v>335.55555555555554</v>
      </c>
      <c r="W1183" s="17"/>
      <c r="X1183" s="17" t="s">
        <v>56</v>
      </c>
      <c r="Y1183" s="12"/>
      <c r="Z1183" s="17" t="s">
        <v>56</v>
      </c>
      <c r="AA1183" s="17"/>
      <c r="AB1183" s="17" t="s">
        <v>57</v>
      </c>
      <c r="AC1183" s="17">
        <v>2001</v>
      </c>
      <c r="AD1183" s="17">
        <v>1</v>
      </c>
      <c r="AE1183" s="17"/>
      <c r="AF1183" s="17"/>
      <c r="AG1183" s="17">
        <v>1993</v>
      </c>
      <c r="AH1183" s="14">
        <f t="shared" si="81"/>
        <v>8</v>
      </c>
      <c r="AI1183" s="17">
        <f t="shared" si="82"/>
        <v>9</v>
      </c>
      <c r="AJ1183" s="17"/>
      <c r="AK1183" s="17" t="s">
        <v>56</v>
      </c>
      <c r="AL1183" s="16" t="s">
        <v>569</v>
      </c>
      <c r="AM1183" s="17">
        <v>2008</v>
      </c>
      <c r="AN1183" s="12" t="s">
        <v>183</v>
      </c>
      <c r="AO1183" s="15" t="s">
        <v>56</v>
      </c>
      <c r="AP1183" s="15"/>
      <c r="AQ1183" s="15" t="s">
        <v>56</v>
      </c>
      <c r="AR1183" s="15" t="s">
        <v>58</v>
      </c>
      <c r="AS1183" s="15" t="s">
        <v>62</v>
      </c>
      <c r="AT1183" s="15"/>
      <c r="AU1183" s="45" t="s">
        <v>570</v>
      </c>
      <c r="AV1183" s="15"/>
      <c r="AW1183" s="12" t="str">
        <f>B1183&amp;C1183&amp;L1183&amp;M1183&amp;O1183&amp;U1183&amp;AL1183&amp;AM1183</f>
        <v>New ZealandLong Island–Kokomohua Marine ReserveParapercis coliasblue codsize4.35555555555556Pande2008</v>
      </c>
    </row>
    <row r="1184" spans="1:49" ht="14.25" customHeight="1" x14ac:dyDescent="0.35">
      <c r="A1184" s="12">
        <v>1183</v>
      </c>
      <c r="B1184" s="15" t="s">
        <v>551</v>
      </c>
      <c r="C1184" s="15" t="s">
        <v>1998</v>
      </c>
      <c r="D1184" s="15" t="s">
        <v>1998</v>
      </c>
      <c r="E1184" s="15"/>
      <c r="F1184" s="16" t="s">
        <v>50</v>
      </c>
      <c r="G1184" s="16" t="s">
        <v>51</v>
      </c>
      <c r="H1184" s="16" t="s">
        <v>52</v>
      </c>
      <c r="I1184" s="16" t="s">
        <v>53</v>
      </c>
      <c r="J1184" s="17">
        <v>18.350000000000001</v>
      </c>
      <c r="K1184" s="17"/>
      <c r="L1184" s="17" t="s">
        <v>1051</v>
      </c>
      <c r="M1184" s="17" t="s">
        <v>1052</v>
      </c>
      <c r="N1184" s="14" t="s">
        <v>85</v>
      </c>
      <c r="O1184" s="17" t="s">
        <v>104</v>
      </c>
      <c r="P1184" s="17" t="s">
        <v>568</v>
      </c>
      <c r="Q1184" s="17"/>
      <c r="R1184" s="17"/>
      <c r="S1184" s="17">
        <v>20.6</v>
      </c>
      <c r="T1184" s="17">
        <v>27.2</v>
      </c>
      <c r="U1184" s="20">
        <f t="shared" si="80"/>
        <v>1.320388349514563</v>
      </c>
      <c r="V1184" s="41">
        <f t="shared" si="83"/>
        <v>32.038834951456295</v>
      </c>
      <c r="W1184" s="17"/>
      <c r="X1184" s="17" t="s">
        <v>56</v>
      </c>
      <c r="Z1184" s="17" t="s">
        <v>56</v>
      </c>
      <c r="AA1184" s="17"/>
      <c r="AB1184" s="17" t="s">
        <v>57</v>
      </c>
      <c r="AC1184" s="17">
        <v>2001</v>
      </c>
      <c r="AD1184" s="17">
        <v>0</v>
      </c>
      <c r="AE1184" s="17"/>
      <c r="AF1184" s="17"/>
      <c r="AG1184" s="17">
        <v>1993</v>
      </c>
      <c r="AH1184" s="14">
        <f t="shared" si="81"/>
        <v>8</v>
      </c>
      <c r="AI1184" s="17">
        <f t="shared" si="82"/>
        <v>8</v>
      </c>
      <c r="AJ1184" s="17"/>
      <c r="AK1184" s="17" t="s">
        <v>56</v>
      </c>
      <c r="AL1184" s="16" t="s">
        <v>569</v>
      </c>
      <c r="AM1184" s="17">
        <v>2008</v>
      </c>
      <c r="AN1184" s="12" t="s">
        <v>183</v>
      </c>
      <c r="AO1184" s="15" t="s">
        <v>56</v>
      </c>
      <c r="AP1184" s="15"/>
      <c r="AQ1184" s="15" t="s">
        <v>56</v>
      </c>
      <c r="AR1184" s="15" t="s">
        <v>58</v>
      </c>
      <c r="AS1184" s="15" t="s">
        <v>62</v>
      </c>
      <c r="AT1184" s="15"/>
      <c r="AU1184" s="45" t="s">
        <v>570</v>
      </c>
      <c r="AV1184" s="15"/>
      <c r="AW1184" s="12" t="str">
        <f>B1184&amp;C1184&amp;L1184&amp;M1184&amp;O1184&amp;U1184&amp;AL1184&amp;AM1184</f>
        <v>New ZealandTonga Island Marine ReserveParapercis coliasblue codsize1.32038834951456Pande2008</v>
      </c>
    </row>
    <row r="1185" spans="1:49" ht="14.25" customHeight="1" x14ac:dyDescent="0.35">
      <c r="A1185" s="12">
        <v>1184</v>
      </c>
      <c r="B1185" s="15" t="s">
        <v>551</v>
      </c>
      <c r="C1185" s="43" t="s">
        <v>1959</v>
      </c>
      <c r="D1185" s="43" t="s">
        <v>1959</v>
      </c>
      <c r="E1185" s="15"/>
      <c r="F1185" s="16" t="s">
        <v>50</v>
      </c>
      <c r="G1185" s="16" t="s">
        <v>51</v>
      </c>
      <c r="H1185" s="16" t="s">
        <v>52</v>
      </c>
      <c r="I1185" s="16" t="s">
        <v>53</v>
      </c>
      <c r="J1185" s="17">
        <v>4.46</v>
      </c>
      <c r="K1185" s="17"/>
      <c r="L1185" s="17" t="s">
        <v>1051</v>
      </c>
      <c r="M1185" s="17" t="s">
        <v>1052</v>
      </c>
      <c r="N1185" s="14" t="s">
        <v>85</v>
      </c>
      <c r="O1185" s="17" t="s">
        <v>104</v>
      </c>
      <c r="P1185" s="17" t="s">
        <v>568</v>
      </c>
      <c r="Q1185" s="17"/>
      <c r="R1185" s="17"/>
      <c r="S1185" s="17">
        <v>23.5</v>
      </c>
      <c r="T1185" s="17">
        <v>22.7</v>
      </c>
      <c r="U1185" s="20">
        <f t="shared" si="80"/>
        <v>0.96595744680851059</v>
      </c>
      <c r="V1185" s="41">
        <f t="shared" si="83"/>
        <v>-3.4042553191489411</v>
      </c>
      <c r="W1185" s="17"/>
      <c r="X1185" s="17" t="s">
        <v>56</v>
      </c>
      <c r="Z1185" s="17" t="s">
        <v>58</v>
      </c>
      <c r="AA1185" s="17" t="s">
        <v>58</v>
      </c>
      <c r="AB1185" s="17" t="s">
        <v>57</v>
      </c>
      <c r="AC1185" s="17">
        <v>1995</v>
      </c>
      <c r="AD1185" s="17">
        <v>8</v>
      </c>
      <c r="AE1185" s="17"/>
      <c r="AF1185" s="17"/>
      <c r="AG1185" s="17">
        <v>1997</v>
      </c>
      <c r="AH1185" s="14">
        <f t="shared" si="81"/>
        <v>-2</v>
      </c>
      <c r="AI1185" s="17">
        <f t="shared" si="82"/>
        <v>6</v>
      </c>
      <c r="AJ1185" s="17"/>
      <c r="AK1185" s="17" t="s">
        <v>56</v>
      </c>
      <c r="AL1185" s="16" t="s">
        <v>569</v>
      </c>
      <c r="AM1185" s="17">
        <v>2008</v>
      </c>
      <c r="AN1185" s="15" t="s">
        <v>183</v>
      </c>
      <c r="AO1185" s="15" t="s">
        <v>56</v>
      </c>
      <c r="AP1185" s="15"/>
      <c r="AQ1185" s="15" t="s">
        <v>56</v>
      </c>
      <c r="AR1185" s="15" t="s">
        <v>58</v>
      </c>
      <c r="AS1185" s="15" t="s">
        <v>62</v>
      </c>
      <c r="AT1185" s="15"/>
      <c r="AU1185" s="45" t="s">
        <v>570</v>
      </c>
      <c r="AV1185" s="15"/>
      <c r="AW1185" s="12" t="str">
        <f>B1185&amp;C1185&amp;L1185&amp;M1185&amp;O1185&amp;U1185&amp;AL1185&amp;AM1185</f>
        <v>New ZealandTe Angiangi Marine ReserveParapercis coliasblue codsize0.965957446808511Pande2008</v>
      </c>
    </row>
    <row r="1186" spans="1:49" ht="14.25" customHeight="1" x14ac:dyDescent="0.35">
      <c r="A1186" s="12">
        <v>1185</v>
      </c>
      <c r="B1186" s="15" t="s">
        <v>551</v>
      </c>
      <c r="C1186" s="15" t="s">
        <v>1053</v>
      </c>
      <c r="D1186" s="15" t="s">
        <v>1047</v>
      </c>
      <c r="E1186" s="15" t="s">
        <v>136</v>
      </c>
      <c r="F1186" s="13" t="s">
        <v>50</v>
      </c>
      <c r="G1186" s="13" t="s">
        <v>51</v>
      </c>
      <c r="H1186" s="16" t="s">
        <v>52</v>
      </c>
      <c r="I1186" s="16" t="s">
        <v>53</v>
      </c>
      <c r="J1186" s="17">
        <v>3.42</v>
      </c>
      <c r="K1186" s="17"/>
      <c r="L1186" s="17" t="s">
        <v>1051</v>
      </c>
      <c r="M1186" s="17" t="s">
        <v>1052</v>
      </c>
      <c r="N1186" s="14" t="s">
        <v>85</v>
      </c>
      <c r="O1186" s="17" t="s">
        <v>104</v>
      </c>
      <c r="P1186" s="17" t="s">
        <v>568</v>
      </c>
      <c r="Q1186" s="17"/>
      <c r="R1186" s="17"/>
      <c r="S1186" s="17">
        <v>22.2</v>
      </c>
      <c r="T1186" s="17">
        <v>28.1</v>
      </c>
      <c r="U1186" s="20">
        <f t="shared" si="80"/>
        <v>1.2657657657657659</v>
      </c>
      <c r="V1186" s="41">
        <f t="shared" si="83"/>
        <v>26.576576576576592</v>
      </c>
      <c r="W1186" s="17"/>
      <c r="X1186" s="17" t="s">
        <v>56</v>
      </c>
      <c r="Z1186" s="17" t="s">
        <v>56</v>
      </c>
      <c r="AA1186" s="17"/>
      <c r="AB1186" s="17" t="s">
        <v>57</v>
      </c>
      <c r="AC1186" s="17">
        <v>1999</v>
      </c>
      <c r="AD1186" s="17">
        <v>1</v>
      </c>
      <c r="AE1186" s="17"/>
      <c r="AF1186" s="17"/>
      <c r="AG1186" s="17">
        <v>1992</v>
      </c>
      <c r="AH1186" s="14">
        <f t="shared" si="81"/>
        <v>7</v>
      </c>
      <c r="AI1186" s="17">
        <f t="shared" si="82"/>
        <v>8</v>
      </c>
      <c r="AJ1186" s="17"/>
      <c r="AK1186" s="17" t="s">
        <v>56</v>
      </c>
      <c r="AL1186" s="16" t="s">
        <v>569</v>
      </c>
      <c r="AM1186" s="17">
        <v>2008</v>
      </c>
      <c r="AN1186" s="15" t="s">
        <v>183</v>
      </c>
      <c r="AO1186" s="15" t="s">
        <v>56</v>
      </c>
      <c r="AP1186" s="15"/>
      <c r="AQ1186" s="15" t="s">
        <v>56</v>
      </c>
      <c r="AR1186" s="15" t="s">
        <v>58</v>
      </c>
      <c r="AS1186" s="15" t="s">
        <v>62</v>
      </c>
      <c r="AT1186" s="15"/>
      <c r="AU1186" s="45" t="s">
        <v>570</v>
      </c>
      <c r="AV1186" s="15"/>
      <c r="AW1186" s="12" t="str">
        <f>B1186&amp;C1186&amp;L1186&amp;M1186&amp;O1186&amp;U1186&amp;AL1186&amp;AM1186</f>
        <v>New ZealandKapiti Marine Reserve WestParapercis coliasblue codsize1.26576576576577Pande2008</v>
      </c>
    </row>
    <row r="1187" spans="1:49" ht="14.25" customHeight="1" x14ac:dyDescent="0.35">
      <c r="A1187" s="12">
        <v>1186</v>
      </c>
      <c r="B1187" s="15" t="s">
        <v>551</v>
      </c>
      <c r="C1187" s="15" t="s">
        <v>1598</v>
      </c>
      <c r="D1187" s="15" t="s">
        <v>1598</v>
      </c>
      <c r="E1187" s="15"/>
      <c r="F1187" s="13" t="s">
        <v>50</v>
      </c>
      <c r="G1187" s="13" t="s">
        <v>51</v>
      </c>
      <c r="H1187" s="16" t="s">
        <v>52</v>
      </c>
      <c r="I1187" s="16" t="s">
        <v>53</v>
      </c>
      <c r="J1187" s="17">
        <v>2.15</v>
      </c>
      <c r="K1187" s="17"/>
      <c r="L1187" s="17" t="s">
        <v>1051</v>
      </c>
      <c r="M1187" s="17" t="s">
        <v>1052</v>
      </c>
      <c r="N1187" s="14" t="s">
        <v>85</v>
      </c>
      <c r="O1187" s="17" t="s">
        <v>104</v>
      </c>
      <c r="P1187" s="17" t="s">
        <v>568</v>
      </c>
      <c r="Q1187" s="17"/>
      <c r="R1187" s="17"/>
      <c r="S1187" s="17">
        <v>20</v>
      </c>
      <c r="T1187" s="17">
        <v>25.5</v>
      </c>
      <c r="U1187" s="20">
        <f t="shared" si="80"/>
        <v>1.2749999999999999</v>
      </c>
      <c r="V1187" s="41">
        <f t="shared" si="83"/>
        <v>27.499999999999993</v>
      </c>
      <c r="W1187" s="17"/>
      <c r="X1187" s="17" t="s">
        <v>56</v>
      </c>
      <c r="Z1187" s="17" t="s">
        <v>58</v>
      </c>
      <c r="AA1187" s="17" t="s">
        <v>58</v>
      </c>
      <c r="AB1187" s="17" t="s">
        <v>57</v>
      </c>
      <c r="AC1187" s="17">
        <v>2001</v>
      </c>
      <c r="AD1187" s="17">
        <v>1</v>
      </c>
      <c r="AE1187" s="17"/>
      <c r="AF1187" s="17"/>
      <c r="AG1187" s="17">
        <v>1999</v>
      </c>
      <c r="AH1187" s="14">
        <f t="shared" si="81"/>
        <v>2</v>
      </c>
      <c r="AI1187" s="17">
        <f t="shared" si="82"/>
        <v>3</v>
      </c>
      <c r="AJ1187" s="17"/>
      <c r="AK1187" s="17" t="s">
        <v>56</v>
      </c>
      <c r="AL1187" s="16" t="s">
        <v>569</v>
      </c>
      <c r="AM1187" s="17">
        <v>2008</v>
      </c>
      <c r="AN1187" s="15" t="s">
        <v>183</v>
      </c>
      <c r="AO1187" s="15" t="s">
        <v>56</v>
      </c>
      <c r="AP1187" s="15"/>
      <c r="AQ1187" s="15" t="s">
        <v>56</v>
      </c>
      <c r="AR1187" s="15" t="s">
        <v>58</v>
      </c>
      <c r="AS1187" s="15" t="s">
        <v>62</v>
      </c>
      <c r="AT1187" s="15"/>
      <c r="AU1187" s="45" t="s">
        <v>570</v>
      </c>
      <c r="AV1187" s="15"/>
      <c r="AW1187" s="12" t="str">
        <f>B1187&amp;C1187&amp;L1187&amp;M1187&amp;O1187&amp;U1187&amp;AL1187&amp;AM1187</f>
        <v>New ZealandPohatu (Flea Bay) Marine ReserveParapercis coliasblue codsize1.275Pande2008</v>
      </c>
    </row>
    <row r="1188" spans="1:49" ht="14.25" customHeight="1" x14ac:dyDescent="0.35">
      <c r="A1188" s="12">
        <v>1187</v>
      </c>
      <c r="B1188" s="15" t="s">
        <v>551</v>
      </c>
      <c r="C1188" s="15" t="s">
        <v>1053</v>
      </c>
      <c r="D1188" s="15" t="s">
        <v>1047</v>
      </c>
      <c r="E1188" s="15" t="s">
        <v>136</v>
      </c>
      <c r="F1188" s="13" t="s">
        <v>50</v>
      </c>
      <c r="G1188" s="13" t="s">
        <v>51</v>
      </c>
      <c r="H1188" s="16" t="s">
        <v>52</v>
      </c>
      <c r="I1188" s="16" t="s">
        <v>53</v>
      </c>
      <c r="J1188" s="17">
        <v>3.42</v>
      </c>
      <c r="K1188" s="17"/>
      <c r="L1188" s="17" t="s">
        <v>566</v>
      </c>
      <c r="M1188" s="17" t="s">
        <v>567</v>
      </c>
      <c r="N1188" s="14" t="s">
        <v>85</v>
      </c>
      <c r="O1188" s="17" t="s">
        <v>104</v>
      </c>
      <c r="P1188" s="17" t="s">
        <v>568</v>
      </c>
      <c r="Q1188" s="17"/>
      <c r="R1188" s="17"/>
      <c r="S1188" s="17">
        <v>3.68</v>
      </c>
      <c r="T1188" s="17">
        <v>5.64</v>
      </c>
      <c r="U1188" s="20">
        <f t="shared" si="80"/>
        <v>1.5326086956521738</v>
      </c>
      <c r="V1188" s="41">
        <f t="shared" si="83"/>
        <v>53.260869565217384</v>
      </c>
      <c r="W1188" s="17"/>
      <c r="X1188" s="17" t="s">
        <v>56</v>
      </c>
      <c r="Z1188" s="17" t="s">
        <v>58</v>
      </c>
      <c r="AA1188" s="17" t="s">
        <v>58</v>
      </c>
      <c r="AB1188" s="17" t="s">
        <v>57</v>
      </c>
      <c r="AC1188" s="17">
        <v>1998</v>
      </c>
      <c r="AD1188" s="17">
        <v>2</v>
      </c>
      <c r="AE1188" s="17"/>
      <c r="AF1188" s="17"/>
      <c r="AG1188" s="17">
        <v>1992</v>
      </c>
      <c r="AH1188" s="14">
        <f t="shared" si="81"/>
        <v>6</v>
      </c>
      <c r="AI1188" s="17">
        <f t="shared" si="82"/>
        <v>8</v>
      </c>
      <c r="AJ1188" s="17"/>
      <c r="AK1188" s="17" t="s">
        <v>56</v>
      </c>
      <c r="AL1188" s="16" t="s">
        <v>569</v>
      </c>
      <c r="AM1188" s="17">
        <v>2008</v>
      </c>
      <c r="AN1188" s="15" t="s">
        <v>183</v>
      </c>
      <c r="AO1188" s="15" t="s">
        <v>56</v>
      </c>
      <c r="AP1188" s="15"/>
      <c r="AQ1188" s="15" t="s">
        <v>56</v>
      </c>
      <c r="AR1188" s="15" t="s">
        <v>58</v>
      </c>
      <c r="AS1188" s="15" t="s">
        <v>62</v>
      </c>
      <c r="AT1188" s="15"/>
      <c r="AU1188" s="45" t="s">
        <v>570</v>
      </c>
      <c r="AV1188" s="15"/>
      <c r="AW1188" s="12" t="str">
        <f>B1188&amp;C1188&amp;L1188&amp;M1188&amp;O1188&amp;U1188&amp;AL1188&amp;AM1188</f>
        <v>New ZealandKapiti Marine Reserve WestJasus edwardsiirock lobstersize1.53260869565217Pande2008</v>
      </c>
    </row>
    <row r="1189" spans="1:49" ht="14.25" customHeight="1" x14ac:dyDescent="0.35">
      <c r="A1189" s="12">
        <v>1188</v>
      </c>
      <c r="B1189" s="15" t="s">
        <v>551</v>
      </c>
      <c r="C1189" s="15" t="s">
        <v>552</v>
      </c>
      <c r="D1189" s="15" t="s">
        <v>552</v>
      </c>
      <c r="E1189" s="15"/>
      <c r="F1189" s="13" t="s">
        <v>50</v>
      </c>
      <c r="G1189" s="16" t="s">
        <v>51</v>
      </c>
      <c r="H1189" s="16" t="s">
        <v>52</v>
      </c>
      <c r="I1189" s="16" t="s">
        <v>53</v>
      </c>
      <c r="J1189" s="17">
        <v>5.18</v>
      </c>
      <c r="K1189" s="17"/>
      <c r="L1189" s="17" t="s">
        <v>566</v>
      </c>
      <c r="M1189" s="17" t="s">
        <v>567</v>
      </c>
      <c r="N1189" s="14" t="s">
        <v>85</v>
      </c>
      <c r="O1189" s="17" t="s">
        <v>104</v>
      </c>
      <c r="P1189" s="17" t="s">
        <v>568</v>
      </c>
      <c r="Q1189" s="17"/>
      <c r="R1189" s="17"/>
      <c r="S1189" s="17">
        <v>9.51</v>
      </c>
      <c r="T1189" s="17">
        <v>11.44</v>
      </c>
      <c r="U1189" s="20">
        <f t="shared" si="80"/>
        <v>1.202944269190326</v>
      </c>
      <c r="V1189" s="41">
        <f t="shared" si="83"/>
        <v>20.294426919032603</v>
      </c>
      <c r="W1189" s="17"/>
      <c r="X1189" s="17" t="s">
        <v>56</v>
      </c>
      <c r="Z1189" s="17" t="s">
        <v>58</v>
      </c>
      <c r="AA1189" s="17" t="s">
        <v>58</v>
      </c>
      <c r="AB1189" s="17" t="s">
        <v>57</v>
      </c>
      <c r="AC1189" s="17">
        <v>1998</v>
      </c>
      <c r="AD1189" s="17">
        <v>2</v>
      </c>
      <c r="AE1189" s="17"/>
      <c r="AF1189" s="17"/>
      <c r="AG1189" s="17">
        <v>1975</v>
      </c>
      <c r="AH1189" s="14">
        <f t="shared" si="81"/>
        <v>23</v>
      </c>
      <c r="AI1189" s="17">
        <f t="shared" si="82"/>
        <v>25</v>
      </c>
      <c r="AJ1189" s="17"/>
      <c r="AK1189" s="17" t="s">
        <v>56</v>
      </c>
      <c r="AL1189" s="16" t="s">
        <v>569</v>
      </c>
      <c r="AM1189" s="17">
        <v>2008</v>
      </c>
      <c r="AN1189" s="12" t="s">
        <v>183</v>
      </c>
      <c r="AO1189" s="15" t="s">
        <v>56</v>
      </c>
      <c r="AP1189" s="15"/>
      <c r="AQ1189" s="15" t="s">
        <v>56</v>
      </c>
      <c r="AR1189" s="15" t="s">
        <v>58</v>
      </c>
      <c r="AS1189" s="15" t="s">
        <v>62</v>
      </c>
      <c r="AT1189" s="15"/>
      <c r="AU1189" s="45" t="s">
        <v>570</v>
      </c>
      <c r="AV1189" s="15"/>
      <c r="AW1189" s="12" t="str">
        <f>B1189&amp;C1189&amp;L1189&amp;M1189&amp;O1189&amp;U1189&amp;AL1189&amp;AM1189</f>
        <v>New ZealandCape Rodney–Okakari Point Marine ReserveJasus edwardsiirock lobstersize1.20294426919033Pande2008</v>
      </c>
    </row>
    <row r="1190" spans="1:49" ht="14.25" customHeight="1" x14ac:dyDescent="0.35">
      <c r="A1190" s="12">
        <v>1189</v>
      </c>
      <c r="B1190" s="15" t="s">
        <v>551</v>
      </c>
      <c r="C1190" s="59" t="s">
        <v>2703</v>
      </c>
      <c r="D1190" s="59" t="s">
        <v>2703</v>
      </c>
      <c r="E1190" s="15"/>
      <c r="F1190" s="16" t="s">
        <v>50</v>
      </c>
      <c r="G1190" s="16" t="s">
        <v>51</v>
      </c>
      <c r="H1190" s="16" t="s">
        <v>52</v>
      </c>
      <c r="I1190" s="16" t="s">
        <v>53</v>
      </c>
      <c r="J1190" s="17"/>
      <c r="K1190" s="47">
        <v>18</v>
      </c>
      <c r="L1190" s="17" t="s">
        <v>566</v>
      </c>
      <c r="M1190" s="17" t="s">
        <v>567</v>
      </c>
      <c r="N1190" s="14" t="s">
        <v>85</v>
      </c>
      <c r="O1190" s="17" t="s">
        <v>104</v>
      </c>
      <c r="P1190" s="17" t="s">
        <v>568</v>
      </c>
      <c r="Q1190" s="17"/>
      <c r="R1190" s="17"/>
      <c r="S1190" s="17">
        <v>8.5399999999999991</v>
      </c>
      <c r="T1190" s="17">
        <v>14.9</v>
      </c>
      <c r="U1190" s="20">
        <f t="shared" si="80"/>
        <v>1.7447306791569088</v>
      </c>
      <c r="V1190" s="41">
        <f t="shared" si="83"/>
        <v>74.473067915690876</v>
      </c>
      <c r="W1190" s="17"/>
      <c r="X1190" s="17" t="s">
        <v>56</v>
      </c>
      <c r="Z1190" s="17" t="s">
        <v>56</v>
      </c>
      <c r="AA1190" s="17"/>
      <c r="AB1190" s="17" t="s">
        <v>57</v>
      </c>
      <c r="AC1190" s="17">
        <v>1985</v>
      </c>
      <c r="AD1190" s="17">
        <v>0</v>
      </c>
      <c r="AE1190" s="17"/>
      <c r="AF1190" s="17"/>
      <c r="AG1190" s="17">
        <v>1981</v>
      </c>
      <c r="AH1190" s="14">
        <f t="shared" si="81"/>
        <v>4</v>
      </c>
      <c r="AI1190" s="17">
        <f t="shared" si="82"/>
        <v>4</v>
      </c>
      <c r="AJ1190" s="17"/>
      <c r="AK1190" s="17" t="s">
        <v>56</v>
      </c>
      <c r="AL1190" s="16" t="s">
        <v>569</v>
      </c>
      <c r="AM1190" s="17">
        <v>2008</v>
      </c>
      <c r="AN1190" s="12" t="s">
        <v>183</v>
      </c>
      <c r="AO1190" s="15" t="s">
        <v>56</v>
      </c>
      <c r="AP1190" s="15"/>
      <c r="AQ1190" s="15" t="s">
        <v>56</v>
      </c>
      <c r="AR1190" s="15" t="s">
        <v>58</v>
      </c>
      <c r="AS1190" s="15" t="s">
        <v>62</v>
      </c>
      <c r="AT1190" s="15"/>
      <c r="AU1190" s="45" t="s">
        <v>2864</v>
      </c>
      <c r="AV1190" s="15"/>
      <c r="AW1190" s="12" t="str">
        <f>B1190&amp;C1190&amp;L1190&amp;M1190&amp;O1190&amp;U1190&amp;AL1190&amp;AM1190</f>
        <v>New ZealandPoor Knights Islands Marine ReserveJasus edwardsiirock lobstersize1.74473067915691Pande2008</v>
      </c>
    </row>
    <row r="1191" spans="1:49" ht="14.25" customHeight="1" x14ac:dyDescent="0.35">
      <c r="A1191" s="12">
        <v>1190</v>
      </c>
      <c r="B1191" s="15" t="s">
        <v>551</v>
      </c>
      <c r="C1191" s="59" t="s">
        <v>2706</v>
      </c>
      <c r="D1191" s="15" t="s">
        <v>2035</v>
      </c>
      <c r="E1191" s="15"/>
      <c r="F1191" s="16" t="s">
        <v>50</v>
      </c>
      <c r="G1191" s="16" t="s">
        <v>51</v>
      </c>
      <c r="H1191" s="16" t="s">
        <v>52</v>
      </c>
      <c r="I1191" s="16" t="s">
        <v>53</v>
      </c>
      <c r="J1191" s="17">
        <v>8.4</v>
      </c>
      <c r="K1191" s="17"/>
      <c r="L1191" s="17" t="s">
        <v>566</v>
      </c>
      <c r="M1191" s="17" t="s">
        <v>567</v>
      </c>
      <c r="N1191" s="14" t="s">
        <v>85</v>
      </c>
      <c r="O1191" s="17" t="s">
        <v>104</v>
      </c>
      <c r="P1191" s="17" t="s">
        <v>568</v>
      </c>
      <c r="Q1191" s="17"/>
      <c r="R1191" s="17"/>
      <c r="S1191" s="17">
        <v>8.4</v>
      </c>
      <c r="T1191" s="17">
        <v>10.58</v>
      </c>
      <c r="U1191" s="20">
        <f t="shared" si="80"/>
        <v>1.2595238095238095</v>
      </c>
      <c r="V1191" s="41">
        <f t="shared" si="83"/>
        <v>25.952380952380949</v>
      </c>
      <c r="W1191" s="17"/>
      <c r="X1191" s="17" t="s">
        <v>56</v>
      </c>
      <c r="Z1191" s="17" t="s">
        <v>56</v>
      </c>
      <c r="AA1191" s="17"/>
      <c r="AB1191" s="17" t="s">
        <v>57</v>
      </c>
      <c r="AC1191" s="17">
        <v>1996</v>
      </c>
      <c r="AD1191" s="17">
        <v>0</v>
      </c>
      <c r="AE1191" s="17"/>
      <c r="AF1191" s="17"/>
      <c r="AG1191" s="47">
        <v>1992</v>
      </c>
      <c r="AH1191" s="14">
        <f t="shared" si="81"/>
        <v>4</v>
      </c>
      <c r="AI1191" s="17">
        <f t="shared" si="82"/>
        <v>4</v>
      </c>
      <c r="AJ1191" s="17"/>
      <c r="AK1191" s="17" t="s">
        <v>56</v>
      </c>
      <c r="AL1191" s="16" t="s">
        <v>569</v>
      </c>
      <c r="AM1191" s="17">
        <v>2008</v>
      </c>
      <c r="AN1191" s="12" t="s">
        <v>183</v>
      </c>
      <c r="AO1191" s="15" t="s">
        <v>56</v>
      </c>
      <c r="AP1191" s="15"/>
      <c r="AQ1191" s="15" t="s">
        <v>56</v>
      </c>
      <c r="AR1191" s="15" t="s">
        <v>58</v>
      </c>
      <c r="AS1191" s="15" t="s">
        <v>62</v>
      </c>
      <c r="AT1191" s="15"/>
      <c r="AU1191" s="45" t="s">
        <v>570</v>
      </c>
      <c r="AV1191" s="15"/>
      <c r="AW1191" s="12" t="str">
        <f>B1191&amp;C1191&amp;L1191&amp;M1191&amp;O1191&amp;U1191&amp;AL1191&amp;AM1191</f>
        <v>New ZealandWhanganui A Hei Marine ReserveJasus edwardsiirock lobstersize1.25952380952381Pande2008</v>
      </c>
    </row>
    <row r="1192" spans="1:49" ht="14.25" customHeight="1" x14ac:dyDescent="0.35">
      <c r="A1192" s="12">
        <v>1191</v>
      </c>
      <c r="B1192" s="12" t="s">
        <v>551</v>
      </c>
      <c r="C1192" s="15" t="s">
        <v>1362</v>
      </c>
      <c r="D1192" s="15" t="s">
        <v>1362</v>
      </c>
      <c r="E1192" s="12"/>
      <c r="F1192" s="13" t="s">
        <v>50</v>
      </c>
      <c r="G1192" s="13" t="s">
        <v>51</v>
      </c>
      <c r="H1192" s="13" t="s">
        <v>52</v>
      </c>
      <c r="I1192" s="13" t="s">
        <v>53</v>
      </c>
      <c r="J1192" s="17">
        <v>10.6</v>
      </c>
      <c r="K1192" s="17"/>
      <c r="L1192" s="14" t="s">
        <v>566</v>
      </c>
      <c r="M1192" s="14" t="s">
        <v>567</v>
      </c>
      <c r="N1192" s="14" t="s">
        <v>85</v>
      </c>
      <c r="O1192" s="17" t="s">
        <v>104</v>
      </c>
      <c r="P1192" s="14" t="s">
        <v>568</v>
      </c>
      <c r="Q1192" s="14"/>
      <c r="R1192" s="14"/>
      <c r="S1192" s="14">
        <v>8.18</v>
      </c>
      <c r="T1192" s="14">
        <v>8.91</v>
      </c>
      <c r="U1192" s="19">
        <f t="shared" si="80"/>
        <v>1.0892420537897312</v>
      </c>
      <c r="V1192" s="41">
        <f t="shared" si="83"/>
        <v>8.9242053789731166</v>
      </c>
      <c r="W1192" s="14"/>
      <c r="X1192" s="14" t="s">
        <v>56</v>
      </c>
      <c r="Z1192" s="14" t="s">
        <v>56</v>
      </c>
      <c r="AA1192" s="14"/>
      <c r="AB1192" s="14" t="s">
        <v>57</v>
      </c>
      <c r="AC1192" s="14">
        <v>1996</v>
      </c>
      <c r="AD1192" s="14">
        <v>0</v>
      </c>
      <c r="AE1192" s="14"/>
      <c r="AF1192" s="14"/>
      <c r="AG1192" s="17">
        <v>1992</v>
      </c>
      <c r="AH1192" s="14">
        <f t="shared" si="81"/>
        <v>4</v>
      </c>
      <c r="AI1192" s="17">
        <f t="shared" si="82"/>
        <v>4</v>
      </c>
      <c r="AJ1192" s="14"/>
      <c r="AK1192" s="17" t="s">
        <v>56</v>
      </c>
      <c r="AL1192" s="13" t="s">
        <v>569</v>
      </c>
      <c r="AM1192" s="14">
        <v>2008</v>
      </c>
      <c r="AN1192" s="12" t="s">
        <v>183</v>
      </c>
      <c r="AO1192" s="12" t="s">
        <v>56</v>
      </c>
      <c r="AP1192" s="12"/>
      <c r="AQ1192" s="12" t="s">
        <v>56</v>
      </c>
      <c r="AR1192" s="12" t="s">
        <v>58</v>
      </c>
      <c r="AS1192" s="12" t="s">
        <v>62</v>
      </c>
      <c r="AT1192" s="12"/>
      <c r="AU1192" s="45" t="s">
        <v>570</v>
      </c>
      <c r="AV1192" s="15"/>
      <c r="AW1192" s="12" t="str">
        <f>B1192&amp;C1192&amp;L1192&amp;M1192&amp;O1192&amp;U1192&amp;AL1192&amp;AM1192</f>
        <v>New ZealandMayor Island (Tuhua) Marine ReserveJasus edwardsiirock lobstersize1.08924205378973Pande2008</v>
      </c>
    </row>
    <row r="1193" spans="1:49" ht="14.25" customHeight="1" x14ac:dyDescent="0.35">
      <c r="A1193" s="12">
        <v>1192</v>
      </c>
      <c r="B1193" s="12" t="s">
        <v>551</v>
      </c>
      <c r="C1193" s="43" t="s">
        <v>1959</v>
      </c>
      <c r="D1193" s="43" t="s">
        <v>1959</v>
      </c>
      <c r="E1193" s="12"/>
      <c r="F1193" s="13" t="s">
        <v>50</v>
      </c>
      <c r="G1193" s="13" t="s">
        <v>51</v>
      </c>
      <c r="H1193" s="13" t="s">
        <v>52</v>
      </c>
      <c r="I1193" s="13" t="s">
        <v>53</v>
      </c>
      <c r="J1193" s="17">
        <v>4.46</v>
      </c>
      <c r="K1193" s="17"/>
      <c r="L1193" s="14" t="s">
        <v>566</v>
      </c>
      <c r="M1193" s="14" t="s">
        <v>567</v>
      </c>
      <c r="N1193" s="14" t="s">
        <v>85</v>
      </c>
      <c r="O1193" s="17" t="s">
        <v>104</v>
      </c>
      <c r="P1193" s="14" t="s">
        <v>568</v>
      </c>
      <c r="Q1193" s="14"/>
      <c r="R1193" s="14"/>
      <c r="S1193" s="14">
        <v>7.93</v>
      </c>
      <c r="T1193" s="14">
        <v>8.91</v>
      </c>
      <c r="U1193" s="19">
        <f t="shared" si="80"/>
        <v>1.1235813366960909</v>
      </c>
      <c r="V1193" s="41">
        <f t="shared" si="83"/>
        <v>12.358133669609096</v>
      </c>
      <c r="W1193" s="14"/>
      <c r="X1193" s="14" t="s">
        <v>56</v>
      </c>
      <c r="Z1193" s="14" t="s">
        <v>58</v>
      </c>
      <c r="AA1193" s="14" t="s">
        <v>58</v>
      </c>
      <c r="AB1193" s="14" t="s">
        <v>57</v>
      </c>
      <c r="AC1193" s="14">
        <v>1998</v>
      </c>
      <c r="AD1193" s="14">
        <v>4</v>
      </c>
      <c r="AE1193" s="14"/>
      <c r="AF1193" s="14"/>
      <c r="AG1193" s="14">
        <v>1997</v>
      </c>
      <c r="AH1193" s="14">
        <f t="shared" si="81"/>
        <v>1</v>
      </c>
      <c r="AI1193" s="17">
        <f t="shared" si="82"/>
        <v>5</v>
      </c>
      <c r="AJ1193" s="14"/>
      <c r="AK1193" s="17" t="s">
        <v>56</v>
      </c>
      <c r="AL1193" s="13" t="s">
        <v>569</v>
      </c>
      <c r="AM1193" s="14">
        <v>2008</v>
      </c>
      <c r="AN1193" s="12" t="s">
        <v>183</v>
      </c>
      <c r="AO1193" s="12" t="s">
        <v>56</v>
      </c>
      <c r="AP1193" s="12"/>
      <c r="AQ1193" s="12" t="s">
        <v>56</v>
      </c>
      <c r="AR1193" s="12" t="s">
        <v>58</v>
      </c>
      <c r="AS1193" s="12" t="s">
        <v>62</v>
      </c>
      <c r="AT1193" s="12"/>
      <c r="AU1193" s="45" t="s">
        <v>570</v>
      </c>
      <c r="AV1193" s="15"/>
      <c r="AW1193" s="12" t="str">
        <f>B1193&amp;C1193&amp;L1193&amp;M1193&amp;O1193&amp;U1193&amp;AL1193&amp;AM1193</f>
        <v>New ZealandTe Angiangi Marine ReserveJasus edwardsiirock lobstersize1.12358133669609Pande2008</v>
      </c>
    </row>
    <row r="1194" spans="1:49" ht="14.25" customHeight="1" x14ac:dyDescent="0.35">
      <c r="A1194" s="12">
        <v>1193</v>
      </c>
      <c r="B1194" s="15" t="s">
        <v>551</v>
      </c>
      <c r="C1194" s="15" t="s">
        <v>1248</v>
      </c>
      <c r="D1194" s="15" t="s">
        <v>1248</v>
      </c>
      <c r="E1194" s="15"/>
      <c r="F1194" s="16" t="s">
        <v>50</v>
      </c>
      <c r="G1194" s="16" t="s">
        <v>51</v>
      </c>
      <c r="H1194" s="16" t="s">
        <v>52</v>
      </c>
      <c r="I1194" s="16" t="s">
        <v>53</v>
      </c>
      <c r="J1194" s="17">
        <v>6.19</v>
      </c>
      <c r="K1194" s="17"/>
      <c r="L1194" s="17" t="s">
        <v>566</v>
      </c>
      <c r="M1194" s="17" t="s">
        <v>567</v>
      </c>
      <c r="N1194" s="14" t="s">
        <v>85</v>
      </c>
      <c r="O1194" s="17" t="s">
        <v>104</v>
      </c>
      <c r="P1194" s="17" t="s">
        <v>568</v>
      </c>
      <c r="Q1194" s="17"/>
      <c r="R1194" s="17"/>
      <c r="S1194" s="17">
        <v>8.39</v>
      </c>
      <c r="T1194" s="17">
        <v>10.82</v>
      </c>
      <c r="U1194" s="20">
        <f t="shared" si="80"/>
        <v>1.2896305125148986</v>
      </c>
      <c r="V1194" s="41">
        <f t="shared" si="83"/>
        <v>28.963051251489858</v>
      </c>
      <c r="W1194" s="17"/>
      <c r="X1194" s="17" t="s">
        <v>56</v>
      </c>
      <c r="Z1194" s="17" t="s">
        <v>58</v>
      </c>
      <c r="AA1194" s="17" t="s">
        <v>58</v>
      </c>
      <c r="AB1194" s="17" t="s">
        <v>57</v>
      </c>
      <c r="AC1194" s="17">
        <v>2001</v>
      </c>
      <c r="AD1194" s="17">
        <v>3</v>
      </c>
      <c r="AE1194" s="17"/>
      <c r="AF1194" s="17"/>
      <c r="AG1194" s="17">
        <v>1993</v>
      </c>
      <c r="AH1194" s="14">
        <f t="shared" si="81"/>
        <v>8</v>
      </c>
      <c r="AI1194" s="17">
        <f t="shared" si="82"/>
        <v>11</v>
      </c>
      <c r="AJ1194" s="17"/>
      <c r="AK1194" s="17" t="s">
        <v>56</v>
      </c>
      <c r="AL1194" s="16" t="s">
        <v>569</v>
      </c>
      <c r="AM1194" s="17">
        <v>2008</v>
      </c>
      <c r="AN1194" s="12" t="s">
        <v>183</v>
      </c>
      <c r="AO1194" s="15" t="s">
        <v>56</v>
      </c>
      <c r="AP1194" s="15"/>
      <c r="AQ1194" s="15" t="s">
        <v>56</v>
      </c>
      <c r="AR1194" s="15" t="s">
        <v>58</v>
      </c>
      <c r="AS1194" s="15" t="s">
        <v>62</v>
      </c>
      <c r="AT1194" s="15"/>
      <c r="AU1194" s="45" t="s">
        <v>570</v>
      </c>
      <c r="AV1194" s="15"/>
      <c r="AW1194" s="12" t="str">
        <f>B1194&amp;C1194&amp;L1194&amp;M1194&amp;O1194&amp;U1194&amp;AL1194&amp;AM1194</f>
        <v>New ZealandLong Island–Kokomohua Marine ReserveJasus edwardsiirock lobstersize1.2896305125149Pande2008</v>
      </c>
    </row>
    <row r="1195" spans="1:49" ht="14.25" customHeight="1" x14ac:dyDescent="0.35">
      <c r="A1195" s="12">
        <v>1194</v>
      </c>
      <c r="B1195" s="12" t="s">
        <v>551</v>
      </c>
      <c r="C1195" s="15" t="s">
        <v>1598</v>
      </c>
      <c r="D1195" s="15" t="s">
        <v>1598</v>
      </c>
      <c r="E1195" s="12"/>
      <c r="F1195" s="13" t="s">
        <v>50</v>
      </c>
      <c r="G1195" s="13" t="s">
        <v>51</v>
      </c>
      <c r="H1195" s="13" t="s">
        <v>52</v>
      </c>
      <c r="I1195" s="13" t="s">
        <v>53</v>
      </c>
      <c r="J1195" s="17">
        <v>2.15</v>
      </c>
      <c r="K1195" s="14"/>
      <c r="L1195" s="14" t="s">
        <v>566</v>
      </c>
      <c r="M1195" s="14" t="s">
        <v>567</v>
      </c>
      <c r="N1195" s="14" t="s">
        <v>85</v>
      </c>
      <c r="O1195" s="17" t="s">
        <v>104</v>
      </c>
      <c r="P1195" s="14" t="s">
        <v>568</v>
      </c>
      <c r="Q1195" s="14"/>
      <c r="R1195" s="14"/>
      <c r="S1195" s="14">
        <v>8.15</v>
      </c>
      <c r="T1195" s="14">
        <v>7.93</v>
      </c>
      <c r="U1195" s="19">
        <f t="shared" si="80"/>
        <v>0.97300613496932509</v>
      </c>
      <c r="V1195" s="41">
        <f t="shared" si="83"/>
        <v>-2.6993865030674913</v>
      </c>
      <c r="W1195" s="14"/>
      <c r="X1195" s="14" t="s">
        <v>56</v>
      </c>
      <c r="Z1195" s="14" t="s">
        <v>58</v>
      </c>
      <c r="AA1195" s="14" t="s">
        <v>58</v>
      </c>
      <c r="AB1195" s="14" t="s">
        <v>57</v>
      </c>
      <c r="AC1195" s="14">
        <v>2001</v>
      </c>
      <c r="AD1195" s="14">
        <v>1</v>
      </c>
      <c r="AE1195" s="14"/>
      <c r="AF1195" s="14"/>
      <c r="AG1195" s="14">
        <v>1999</v>
      </c>
      <c r="AH1195" s="14">
        <f t="shared" si="81"/>
        <v>2</v>
      </c>
      <c r="AI1195" s="17">
        <f t="shared" si="82"/>
        <v>3</v>
      </c>
      <c r="AJ1195" s="14"/>
      <c r="AK1195" s="17" t="s">
        <v>56</v>
      </c>
      <c r="AL1195" s="13" t="s">
        <v>569</v>
      </c>
      <c r="AM1195" s="14">
        <v>2008</v>
      </c>
      <c r="AN1195" s="12" t="s">
        <v>183</v>
      </c>
      <c r="AO1195" s="12" t="s">
        <v>56</v>
      </c>
      <c r="AP1195" s="12"/>
      <c r="AQ1195" s="12" t="s">
        <v>56</v>
      </c>
      <c r="AR1195" s="12" t="s">
        <v>58</v>
      </c>
      <c r="AS1195" s="12" t="s">
        <v>62</v>
      </c>
      <c r="AT1195" s="12"/>
      <c r="AU1195" s="45" t="s">
        <v>570</v>
      </c>
      <c r="AV1195" s="15"/>
      <c r="AW1195" s="12" t="str">
        <f>B1195&amp;C1195&amp;L1195&amp;M1195&amp;O1195&amp;U1195&amp;AL1195&amp;AM1195</f>
        <v>New ZealandPohatu (Flea Bay) Marine ReserveJasus edwardsiirock lobstersize0.973006134969325Pande2008</v>
      </c>
    </row>
    <row r="1196" spans="1:49" ht="14.25" customHeight="1" x14ac:dyDescent="0.35">
      <c r="A1196" s="12">
        <v>1195</v>
      </c>
      <c r="B1196" s="12" t="s">
        <v>551</v>
      </c>
      <c r="C1196" s="43" t="s">
        <v>1960</v>
      </c>
      <c r="D1196" s="15" t="s">
        <v>2559</v>
      </c>
      <c r="E1196" s="12"/>
      <c r="F1196" s="13" t="s">
        <v>50</v>
      </c>
      <c r="G1196" s="13" t="s">
        <v>51</v>
      </c>
      <c r="H1196" s="13" t="s">
        <v>52</v>
      </c>
      <c r="I1196" s="13" t="s">
        <v>53</v>
      </c>
      <c r="J1196" s="17">
        <v>0.93</v>
      </c>
      <c r="K1196" s="17"/>
      <c r="L1196" s="14" t="s">
        <v>566</v>
      </c>
      <c r="M1196" s="14" t="s">
        <v>567</v>
      </c>
      <c r="N1196" s="14" t="s">
        <v>85</v>
      </c>
      <c r="O1196" s="17" t="s">
        <v>104</v>
      </c>
      <c r="P1196" s="14" t="s">
        <v>568</v>
      </c>
      <c r="Q1196" s="14"/>
      <c r="R1196" s="14"/>
      <c r="S1196" s="14">
        <v>9.8000000000000007</v>
      </c>
      <c r="T1196" s="14">
        <v>10.36</v>
      </c>
      <c r="U1196" s="19">
        <f t="shared" si="80"/>
        <v>1.0571428571428569</v>
      </c>
      <c r="V1196" s="41">
        <f t="shared" si="83"/>
        <v>5.714285714285694</v>
      </c>
      <c r="W1196" s="14"/>
      <c r="X1196" s="14" t="s">
        <v>56</v>
      </c>
      <c r="Z1196" s="14" t="s">
        <v>56</v>
      </c>
      <c r="AA1196" s="14"/>
      <c r="AB1196" s="14" t="s">
        <v>57</v>
      </c>
      <c r="AC1196" s="14">
        <v>1999</v>
      </c>
      <c r="AD1196" s="14">
        <v>0</v>
      </c>
      <c r="AE1196" s="14"/>
      <c r="AF1196" s="14"/>
      <c r="AG1196" s="14">
        <v>1993</v>
      </c>
      <c r="AH1196" s="14">
        <f t="shared" si="81"/>
        <v>6</v>
      </c>
      <c r="AI1196" s="17">
        <f t="shared" si="82"/>
        <v>6</v>
      </c>
      <c r="AJ1196" s="14"/>
      <c r="AK1196" s="17" t="s">
        <v>56</v>
      </c>
      <c r="AL1196" s="13" t="s">
        <v>569</v>
      </c>
      <c r="AM1196" s="14">
        <v>2008</v>
      </c>
      <c r="AN1196" s="12" t="s">
        <v>183</v>
      </c>
      <c r="AO1196" s="12" t="s">
        <v>56</v>
      </c>
      <c r="AP1196" s="12"/>
      <c r="AQ1196" s="12" t="s">
        <v>56</v>
      </c>
      <c r="AR1196" s="12" t="s">
        <v>58</v>
      </c>
      <c r="AS1196" s="12" t="s">
        <v>62</v>
      </c>
      <c r="AT1196" s="12"/>
      <c r="AU1196" s="45" t="s">
        <v>570</v>
      </c>
      <c r="AV1196" s="15"/>
      <c r="AW1196" s="12" t="str">
        <f>B1196&amp;C1196&amp;L1196&amp;M1196&amp;O1196&amp;U1196&amp;AL1196&amp;AM1196</f>
        <v>New ZealandTe Awaatu Channel Marine ReserveJasus edwardsiirock lobstersize1.05714285714286Pande2008</v>
      </c>
    </row>
    <row r="1197" spans="1:49" ht="14.25" customHeight="1" x14ac:dyDescent="0.35">
      <c r="A1197" s="12">
        <v>1196</v>
      </c>
      <c r="B1197" s="15" t="s">
        <v>551</v>
      </c>
      <c r="C1197" s="15" t="s">
        <v>1248</v>
      </c>
      <c r="D1197" s="15" t="s">
        <v>1248</v>
      </c>
      <c r="E1197" s="15"/>
      <c r="F1197" s="16" t="s">
        <v>50</v>
      </c>
      <c r="G1197" s="16" t="s">
        <v>51</v>
      </c>
      <c r="H1197" s="16" t="s">
        <v>52</v>
      </c>
      <c r="I1197" s="16" t="s">
        <v>53</v>
      </c>
      <c r="J1197" s="17">
        <v>6.19</v>
      </c>
      <c r="K1197" s="17"/>
      <c r="L1197" s="17" t="s">
        <v>1051</v>
      </c>
      <c r="M1197" s="17" t="s">
        <v>1052</v>
      </c>
      <c r="N1197" s="14" t="s">
        <v>85</v>
      </c>
      <c r="O1197" s="17" t="s">
        <v>86</v>
      </c>
      <c r="P1197" s="17"/>
      <c r="Q1197" s="17"/>
      <c r="R1197" s="17"/>
      <c r="S1197" s="17">
        <v>51</v>
      </c>
      <c r="T1197" s="17">
        <v>51</v>
      </c>
      <c r="U1197" s="20">
        <f t="shared" si="80"/>
        <v>1</v>
      </c>
      <c r="V1197" s="41">
        <f t="shared" si="83"/>
        <v>0</v>
      </c>
      <c r="W1197" s="17"/>
      <c r="X1197" s="17" t="s">
        <v>56</v>
      </c>
      <c r="Z1197" s="17" t="s">
        <v>56</v>
      </c>
      <c r="AA1197" s="17"/>
      <c r="AB1197" s="17" t="s">
        <v>57</v>
      </c>
      <c r="AC1197" s="17">
        <v>2001</v>
      </c>
      <c r="AD1197" s="17">
        <v>1</v>
      </c>
      <c r="AE1197" s="17"/>
      <c r="AF1197" s="17"/>
      <c r="AG1197" s="17">
        <v>1993</v>
      </c>
      <c r="AH1197" s="14">
        <f t="shared" si="81"/>
        <v>8</v>
      </c>
      <c r="AI1197" s="17">
        <f t="shared" si="82"/>
        <v>9</v>
      </c>
      <c r="AJ1197" s="17"/>
      <c r="AK1197" s="17" t="s">
        <v>56</v>
      </c>
      <c r="AL1197" s="16" t="s">
        <v>569</v>
      </c>
      <c r="AM1197" s="17">
        <v>2008</v>
      </c>
      <c r="AN1197" s="12" t="s">
        <v>183</v>
      </c>
      <c r="AO1197" s="15" t="s">
        <v>56</v>
      </c>
      <c r="AP1197" s="15"/>
      <c r="AQ1197" s="15" t="s">
        <v>56</v>
      </c>
      <c r="AR1197" s="15" t="s">
        <v>58</v>
      </c>
      <c r="AS1197" s="15" t="s">
        <v>62</v>
      </c>
      <c r="AT1197" s="15"/>
      <c r="AU1197" s="45" t="s">
        <v>570</v>
      </c>
      <c r="AV1197" s="15"/>
      <c r="AW1197" s="12" t="str">
        <f>B1197&amp;C1197&amp;L1197&amp;M1197&amp;O1197&amp;U1197&amp;AL1197&amp;AM1197</f>
        <v>New ZealandLong Island–Kokomohua Marine ReserveParapercis coliasblue coddensity1Pande2008</v>
      </c>
    </row>
    <row r="1198" spans="1:49" ht="14.25" customHeight="1" x14ac:dyDescent="0.35">
      <c r="A1198" s="12">
        <v>1197</v>
      </c>
      <c r="B1198" s="12" t="s">
        <v>551</v>
      </c>
      <c r="C1198" s="15" t="s">
        <v>1998</v>
      </c>
      <c r="D1198" s="15" t="s">
        <v>1998</v>
      </c>
      <c r="E1198" s="12"/>
      <c r="F1198" s="13" t="s">
        <v>50</v>
      </c>
      <c r="G1198" s="13" t="s">
        <v>51</v>
      </c>
      <c r="H1198" s="13" t="s">
        <v>52</v>
      </c>
      <c r="I1198" s="13" t="s">
        <v>53</v>
      </c>
      <c r="J1198" s="17">
        <v>18.350000000000001</v>
      </c>
      <c r="K1198" s="17"/>
      <c r="L1198" s="14" t="s">
        <v>1051</v>
      </c>
      <c r="M1198" s="14" t="s">
        <v>1052</v>
      </c>
      <c r="N1198" s="14" t="s">
        <v>85</v>
      </c>
      <c r="O1198" s="17" t="s">
        <v>86</v>
      </c>
      <c r="P1198" s="14"/>
      <c r="Q1198" s="14"/>
      <c r="R1198" s="14"/>
      <c r="S1198" s="14">
        <v>3</v>
      </c>
      <c r="T1198" s="14">
        <v>2</v>
      </c>
      <c r="U1198" s="19">
        <f t="shared" si="80"/>
        <v>0.66666666666666663</v>
      </c>
      <c r="V1198" s="41">
        <f t="shared" si="83"/>
        <v>-33.333333333333336</v>
      </c>
      <c r="W1198" s="14"/>
      <c r="X1198" s="14" t="s">
        <v>56</v>
      </c>
      <c r="Z1198" s="14" t="s">
        <v>56</v>
      </c>
      <c r="AA1198" s="14"/>
      <c r="AB1198" s="14" t="s">
        <v>57</v>
      </c>
      <c r="AC1198" s="14">
        <v>2001</v>
      </c>
      <c r="AD1198" s="14">
        <v>0</v>
      </c>
      <c r="AE1198" s="14"/>
      <c r="AF1198" s="14"/>
      <c r="AG1198" s="17">
        <v>1993</v>
      </c>
      <c r="AH1198" s="14">
        <f t="shared" si="81"/>
        <v>8</v>
      </c>
      <c r="AI1198" s="17">
        <f t="shared" si="82"/>
        <v>8</v>
      </c>
      <c r="AJ1198" s="14"/>
      <c r="AK1198" s="17" t="s">
        <v>56</v>
      </c>
      <c r="AL1198" s="13" t="s">
        <v>569</v>
      </c>
      <c r="AM1198" s="14">
        <v>2008</v>
      </c>
      <c r="AN1198" s="12" t="s">
        <v>183</v>
      </c>
      <c r="AO1198" s="12" t="s">
        <v>56</v>
      </c>
      <c r="AP1198" s="12"/>
      <c r="AQ1198" s="12" t="s">
        <v>56</v>
      </c>
      <c r="AR1198" s="12" t="s">
        <v>58</v>
      </c>
      <c r="AS1198" s="12" t="s">
        <v>62</v>
      </c>
      <c r="AT1198" s="12"/>
      <c r="AU1198" s="45" t="s">
        <v>570</v>
      </c>
      <c r="AV1198" s="15"/>
      <c r="AW1198" s="12" t="str">
        <f>B1198&amp;C1198&amp;L1198&amp;M1198&amp;O1198&amp;U1198&amp;AL1198&amp;AM1198</f>
        <v>New ZealandTonga Island Marine ReserveParapercis coliasblue coddensity0.666666666666667Pande2008</v>
      </c>
    </row>
    <row r="1199" spans="1:49" ht="14.25" customHeight="1" x14ac:dyDescent="0.35">
      <c r="A1199" s="12">
        <v>1198</v>
      </c>
      <c r="B1199" s="15" t="s">
        <v>551</v>
      </c>
      <c r="C1199" s="43" t="s">
        <v>1959</v>
      </c>
      <c r="D1199" s="43" t="s">
        <v>1959</v>
      </c>
      <c r="E1199" s="15"/>
      <c r="F1199" s="16" t="s">
        <v>50</v>
      </c>
      <c r="G1199" s="16" t="s">
        <v>51</v>
      </c>
      <c r="H1199" s="16" t="s">
        <v>52</v>
      </c>
      <c r="I1199" s="16" t="s">
        <v>53</v>
      </c>
      <c r="J1199" s="17">
        <v>4.46</v>
      </c>
      <c r="K1199" s="17"/>
      <c r="L1199" s="17" t="s">
        <v>1051</v>
      </c>
      <c r="M1199" s="17" t="s">
        <v>1052</v>
      </c>
      <c r="N1199" s="14" t="s">
        <v>85</v>
      </c>
      <c r="O1199" s="17" t="s">
        <v>86</v>
      </c>
      <c r="P1199" s="17"/>
      <c r="Q1199" s="17"/>
      <c r="R1199" s="17"/>
      <c r="S1199" s="17">
        <v>3</v>
      </c>
      <c r="T1199" s="17">
        <v>3</v>
      </c>
      <c r="U1199" s="20">
        <f t="shared" si="80"/>
        <v>1</v>
      </c>
      <c r="V1199" s="41">
        <f t="shared" si="83"/>
        <v>0</v>
      </c>
      <c r="W1199" s="17"/>
      <c r="X1199" s="14" t="s">
        <v>56</v>
      </c>
      <c r="Z1199" s="17" t="s">
        <v>58</v>
      </c>
      <c r="AA1199" s="17" t="s">
        <v>58</v>
      </c>
      <c r="AB1199" s="17" t="s">
        <v>57</v>
      </c>
      <c r="AC1199" s="17">
        <v>1995</v>
      </c>
      <c r="AD1199" s="17">
        <v>8</v>
      </c>
      <c r="AE1199" s="17"/>
      <c r="AF1199" s="17"/>
      <c r="AG1199" s="17">
        <v>1997</v>
      </c>
      <c r="AH1199" s="14">
        <f t="shared" si="81"/>
        <v>-2</v>
      </c>
      <c r="AI1199" s="17">
        <f t="shared" si="82"/>
        <v>6</v>
      </c>
      <c r="AJ1199" s="17"/>
      <c r="AK1199" s="17" t="s">
        <v>56</v>
      </c>
      <c r="AL1199" s="16" t="s">
        <v>569</v>
      </c>
      <c r="AM1199" s="17">
        <v>2008</v>
      </c>
      <c r="AN1199" s="12" t="s">
        <v>183</v>
      </c>
      <c r="AO1199" s="15" t="s">
        <v>56</v>
      </c>
      <c r="AP1199" s="15"/>
      <c r="AQ1199" s="15" t="s">
        <v>56</v>
      </c>
      <c r="AR1199" s="15" t="s">
        <v>58</v>
      </c>
      <c r="AS1199" s="15" t="s">
        <v>62</v>
      </c>
      <c r="AT1199" s="15"/>
      <c r="AU1199" s="45" t="s">
        <v>570</v>
      </c>
      <c r="AV1199" s="15"/>
      <c r="AW1199" s="12" t="str">
        <f>B1199&amp;C1199&amp;L1199&amp;M1199&amp;O1199&amp;U1199&amp;AL1199&amp;AM1199</f>
        <v>New ZealandTe Angiangi Marine ReserveParapercis coliasblue coddensity1Pande2008</v>
      </c>
    </row>
    <row r="1200" spans="1:49" ht="14.25" customHeight="1" x14ac:dyDescent="0.35">
      <c r="A1200" s="12">
        <v>1199</v>
      </c>
      <c r="B1200" s="15" t="s">
        <v>551</v>
      </c>
      <c r="C1200" s="15" t="s">
        <v>1053</v>
      </c>
      <c r="D1200" s="15" t="s">
        <v>1047</v>
      </c>
      <c r="E1200" s="15" t="s">
        <v>136</v>
      </c>
      <c r="F1200" s="16" t="s">
        <v>50</v>
      </c>
      <c r="G1200" s="16" t="s">
        <v>51</v>
      </c>
      <c r="H1200" s="16" t="s">
        <v>52</v>
      </c>
      <c r="I1200" s="16" t="s">
        <v>53</v>
      </c>
      <c r="J1200" s="17">
        <v>3.42</v>
      </c>
      <c r="K1200" s="17"/>
      <c r="L1200" s="17" t="s">
        <v>1051</v>
      </c>
      <c r="M1200" s="17" t="s">
        <v>1052</v>
      </c>
      <c r="N1200" s="14" t="s">
        <v>85</v>
      </c>
      <c r="O1200" s="17" t="s">
        <v>86</v>
      </c>
      <c r="P1200" s="17"/>
      <c r="Q1200" s="17"/>
      <c r="R1200" s="17"/>
      <c r="S1200" s="17">
        <v>9</v>
      </c>
      <c r="T1200" s="17">
        <v>15</v>
      </c>
      <c r="U1200" s="20">
        <f t="shared" si="80"/>
        <v>1.6666666666666667</v>
      </c>
      <c r="V1200" s="41">
        <f t="shared" si="83"/>
        <v>66.666666666666671</v>
      </c>
      <c r="W1200" s="17"/>
      <c r="X1200" s="14" t="s">
        <v>56</v>
      </c>
      <c r="Z1200" s="17" t="s">
        <v>56</v>
      </c>
      <c r="AA1200" s="17"/>
      <c r="AB1200" s="17" t="s">
        <v>57</v>
      </c>
      <c r="AC1200" s="17">
        <v>1999</v>
      </c>
      <c r="AD1200" s="17">
        <v>1</v>
      </c>
      <c r="AE1200" s="17"/>
      <c r="AF1200" s="17"/>
      <c r="AG1200" s="17">
        <v>1992</v>
      </c>
      <c r="AH1200" s="14">
        <f t="shared" si="81"/>
        <v>7</v>
      </c>
      <c r="AI1200" s="17">
        <f t="shared" si="82"/>
        <v>8</v>
      </c>
      <c r="AJ1200" s="17"/>
      <c r="AK1200" s="17" t="s">
        <v>56</v>
      </c>
      <c r="AL1200" s="16" t="s">
        <v>569</v>
      </c>
      <c r="AM1200" s="17">
        <v>2008</v>
      </c>
      <c r="AN1200" s="12" t="s">
        <v>183</v>
      </c>
      <c r="AO1200" s="15" t="s">
        <v>56</v>
      </c>
      <c r="AP1200" s="15"/>
      <c r="AQ1200" s="15" t="s">
        <v>56</v>
      </c>
      <c r="AR1200" s="15" t="s">
        <v>58</v>
      </c>
      <c r="AS1200" s="15" t="s">
        <v>62</v>
      </c>
      <c r="AT1200" s="15"/>
      <c r="AU1200" s="45" t="s">
        <v>570</v>
      </c>
      <c r="AV1200" s="15"/>
      <c r="AW1200" s="12" t="str">
        <f>B1200&amp;C1200&amp;L1200&amp;M1200&amp;O1200&amp;U1200&amp;AL1200&amp;AM1200</f>
        <v>New ZealandKapiti Marine Reserve WestParapercis coliasblue coddensity1.66666666666667Pande2008</v>
      </c>
    </row>
    <row r="1201" spans="1:49" ht="14.25" customHeight="1" x14ac:dyDescent="0.35">
      <c r="A1201" s="12">
        <v>1200</v>
      </c>
      <c r="B1201" s="15" t="s">
        <v>551</v>
      </c>
      <c r="C1201" s="15" t="s">
        <v>1598</v>
      </c>
      <c r="D1201" s="15" t="s">
        <v>1598</v>
      </c>
      <c r="E1201" s="15"/>
      <c r="F1201" s="13" t="s">
        <v>50</v>
      </c>
      <c r="G1201" s="16" t="s">
        <v>51</v>
      </c>
      <c r="H1201" s="16" t="s">
        <v>52</v>
      </c>
      <c r="I1201" s="16" t="s">
        <v>53</v>
      </c>
      <c r="J1201" s="17">
        <v>2.15</v>
      </c>
      <c r="K1201" s="17"/>
      <c r="L1201" s="17" t="s">
        <v>1051</v>
      </c>
      <c r="M1201" s="17" t="s">
        <v>1052</v>
      </c>
      <c r="N1201" s="14" t="s">
        <v>85</v>
      </c>
      <c r="O1201" s="17" t="s">
        <v>86</v>
      </c>
      <c r="P1201" s="17"/>
      <c r="Q1201" s="17"/>
      <c r="R1201" s="17"/>
      <c r="S1201" s="17">
        <v>6</v>
      </c>
      <c r="T1201" s="17">
        <v>3</v>
      </c>
      <c r="U1201" s="20">
        <f t="shared" si="80"/>
        <v>0.5</v>
      </c>
      <c r="V1201" s="41">
        <f t="shared" si="83"/>
        <v>-50</v>
      </c>
      <c r="W1201" s="17"/>
      <c r="X1201" s="14" t="s">
        <v>56</v>
      </c>
      <c r="Z1201" s="17" t="s">
        <v>58</v>
      </c>
      <c r="AA1201" s="17" t="s">
        <v>58</v>
      </c>
      <c r="AB1201" s="17" t="s">
        <v>57</v>
      </c>
      <c r="AC1201" s="17">
        <v>2001</v>
      </c>
      <c r="AD1201" s="17">
        <v>1</v>
      </c>
      <c r="AE1201" s="17"/>
      <c r="AF1201" s="17"/>
      <c r="AG1201" s="17">
        <v>1999</v>
      </c>
      <c r="AH1201" s="14">
        <f t="shared" si="81"/>
        <v>2</v>
      </c>
      <c r="AI1201" s="17">
        <f t="shared" si="82"/>
        <v>3</v>
      </c>
      <c r="AJ1201" s="17"/>
      <c r="AK1201" s="17" t="s">
        <v>56</v>
      </c>
      <c r="AL1201" s="16" t="s">
        <v>569</v>
      </c>
      <c r="AM1201" s="17">
        <v>2008</v>
      </c>
      <c r="AN1201" s="12" t="s">
        <v>183</v>
      </c>
      <c r="AO1201" s="15" t="s">
        <v>56</v>
      </c>
      <c r="AP1201" s="15"/>
      <c r="AQ1201" s="15" t="s">
        <v>56</v>
      </c>
      <c r="AR1201" s="15" t="s">
        <v>58</v>
      </c>
      <c r="AS1201" s="15" t="s">
        <v>62</v>
      </c>
      <c r="AT1201" s="15"/>
      <c r="AU1201" s="45" t="s">
        <v>570</v>
      </c>
      <c r="AV1201" s="15"/>
      <c r="AW1201" s="12" t="str">
        <f>B1201&amp;C1201&amp;L1201&amp;M1201&amp;O1201&amp;U1201&amp;AL1201&amp;AM1201</f>
        <v>New ZealandPohatu (Flea Bay) Marine ReserveParapercis coliasblue coddensity0.5Pande2008</v>
      </c>
    </row>
    <row r="1202" spans="1:49" ht="14.25" customHeight="1" x14ac:dyDescent="0.35">
      <c r="A1202" s="12">
        <v>1201</v>
      </c>
      <c r="B1202" s="15" t="s">
        <v>551</v>
      </c>
      <c r="C1202" s="15" t="s">
        <v>1998</v>
      </c>
      <c r="D1202" s="15" t="s">
        <v>1998</v>
      </c>
      <c r="E1202" s="15"/>
      <c r="F1202" s="16" t="s">
        <v>50</v>
      </c>
      <c r="G1202" s="16" t="s">
        <v>51</v>
      </c>
      <c r="H1202" s="16" t="s">
        <v>52</v>
      </c>
      <c r="I1202" s="16" t="s">
        <v>53</v>
      </c>
      <c r="J1202" s="17">
        <v>18.350000000000001</v>
      </c>
      <c r="K1202" s="17"/>
      <c r="L1202" s="17" t="s">
        <v>566</v>
      </c>
      <c r="M1202" s="17" t="s">
        <v>567</v>
      </c>
      <c r="N1202" s="14" t="s">
        <v>85</v>
      </c>
      <c r="O1202" s="17" t="s">
        <v>86</v>
      </c>
      <c r="P1202" s="17"/>
      <c r="Q1202" s="17"/>
      <c r="R1202" s="17"/>
      <c r="S1202" s="17">
        <v>7</v>
      </c>
      <c r="T1202" s="17">
        <v>25</v>
      </c>
      <c r="U1202" s="20">
        <f t="shared" si="80"/>
        <v>3.5714285714285716</v>
      </c>
      <c r="V1202" s="41">
        <f t="shared" si="83"/>
        <v>257.14285714285717</v>
      </c>
      <c r="W1202" s="17"/>
      <c r="X1202" s="14" t="s">
        <v>56</v>
      </c>
      <c r="Z1202" s="17" t="s">
        <v>58</v>
      </c>
      <c r="AA1202" s="17" t="s">
        <v>58</v>
      </c>
      <c r="AB1202" s="17" t="s">
        <v>57</v>
      </c>
      <c r="AC1202" s="17">
        <v>1998</v>
      </c>
      <c r="AD1202" s="17">
        <v>2</v>
      </c>
      <c r="AE1202" s="17"/>
      <c r="AF1202" s="17"/>
      <c r="AG1202" s="17">
        <v>1993</v>
      </c>
      <c r="AH1202" s="14">
        <f t="shared" si="81"/>
        <v>5</v>
      </c>
      <c r="AI1202" s="17">
        <f t="shared" si="82"/>
        <v>7</v>
      </c>
      <c r="AJ1202" s="17"/>
      <c r="AK1202" s="17" t="s">
        <v>56</v>
      </c>
      <c r="AL1202" s="16" t="s">
        <v>569</v>
      </c>
      <c r="AM1202" s="17">
        <v>2008</v>
      </c>
      <c r="AN1202" s="12" t="s">
        <v>183</v>
      </c>
      <c r="AO1202" s="15" t="s">
        <v>56</v>
      </c>
      <c r="AP1202" s="15"/>
      <c r="AQ1202" s="15" t="s">
        <v>56</v>
      </c>
      <c r="AR1202" s="15" t="s">
        <v>58</v>
      </c>
      <c r="AS1202" s="15" t="s">
        <v>62</v>
      </c>
      <c r="AT1202" s="15"/>
      <c r="AU1202" s="45" t="s">
        <v>570</v>
      </c>
      <c r="AV1202" s="15"/>
      <c r="AW1202" s="12" t="str">
        <f>B1202&amp;C1202&amp;L1202&amp;M1202&amp;O1202&amp;U1202&amp;AL1202&amp;AM1202</f>
        <v>New ZealandTonga Island Marine ReserveJasus edwardsiirock lobsterdensity3.57142857142857Pande2008</v>
      </c>
    </row>
    <row r="1203" spans="1:49" ht="14.25" customHeight="1" x14ac:dyDescent="0.35">
      <c r="A1203" s="12">
        <v>1202</v>
      </c>
      <c r="B1203" s="12" t="s">
        <v>551</v>
      </c>
      <c r="C1203" s="12" t="s">
        <v>1053</v>
      </c>
      <c r="D1203" s="15" t="s">
        <v>1047</v>
      </c>
      <c r="E1203" s="12" t="s">
        <v>136</v>
      </c>
      <c r="F1203" s="13" t="s">
        <v>50</v>
      </c>
      <c r="G1203" s="13" t="s">
        <v>51</v>
      </c>
      <c r="H1203" s="13" t="s">
        <v>52</v>
      </c>
      <c r="I1203" s="13" t="s">
        <v>53</v>
      </c>
      <c r="J1203" s="17">
        <v>3.42</v>
      </c>
      <c r="K1203" s="17"/>
      <c r="L1203" s="14" t="s">
        <v>566</v>
      </c>
      <c r="M1203" s="14" t="s">
        <v>567</v>
      </c>
      <c r="N1203" s="14" t="s">
        <v>85</v>
      </c>
      <c r="O1203" s="17" t="s">
        <v>86</v>
      </c>
      <c r="P1203" s="14"/>
      <c r="Q1203" s="14"/>
      <c r="R1203" s="14"/>
      <c r="S1203" s="14">
        <v>7</v>
      </c>
      <c r="T1203" s="14">
        <v>5</v>
      </c>
      <c r="U1203" s="19">
        <f t="shared" si="80"/>
        <v>0.7142857142857143</v>
      </c>
      <c r="V1203" s="41">
        <f t="shared" si="83"/>
        <v>-28.571428571428569</v>
      </c>
      <c r="W1203" s="14"/>
      <c r="X1203" s="14" t="s">
        <v>56</v>
      </c>
      <c r="Z1203" s="14" t="s">
        <v>58</v>
      </c>
      <c r="AA1203" s="14" t="s">
        <v>58</v>
      </c>
      <c r="AB1203" s="14" t="s">
        <v>57</v>
      </c>
      <c r="AC1203" s="14">
        <v>1998</v>
      </c>
      <c r="AD1203" s="14">
        <v>2</v>
      </c>
      <c r="AE1203" s="14"/>
      <c r="AF1203" s="14"/>
      <c r="AG1203" s="14">
        <v>1992</v>
      </c>
      <c r="AH1203" s="14">
        <f t="shared" si="81"/>
        <v>6</v>
      </c>
      <c r="AI1203" s="17">
        <f t="shared" si="82"/>
        <v>8</v>
      </c>
      <c r="AJ1203" s="14"/>
      <c r="AK1203" s="17" t="s">
        <v>56</v>
      </c>
      <c r="AL1203" s="13" t="s">
        <v>569</v>
      </c>
      <c r="AM1203" s="14">
        <v>2008</v>
      </c>
      <c r="AN1203" s="12" t="s">
        <v>183</v>
      </c>
      <c r="AO1203" s="12" t="s">
        <v>56</v>
      </c>
      <c r="AP1203" s="12"/>
      <c r="AQ1203" s="12" t="s">
        <v>56</v>
      </c>
      <c r="AR1203" s="12" t="s">
        <v>58</v>
      </c>
      <c r="AS1203" s="12" t="s">
        <v>62</v>
      </c>
      <c r="AT1203" s="12"/>
      <c r="AU1203" s="45" t="s">
        <v>570</v>
      </c>
      <c r="AV1203" s="15"/>
      <c r="AW1203" s="12" t="str">
        <f>B1203&amp;C1203&amp;L1203&amp;M1203&amp;O1203&amp;U1203&amp;AL1203&amp;AM1203</f>
        <v>New ZealandKapiti Marine Reserve WestJasus edwardsiirock lobsterdensity0.714285714285714Pande2008</v>
      </c>
    </row>
    <row r="1204" spans="1:49" ht="14.25" customHeight="1" x14ac:dyDescent="0.35">
      <c r="A1204" s="12">
        <v>1203</v>
      </c>
      <c r="B1204" s="12" t="s">
        <v>551</v>
      </c>
      <c r="C1204" s="12" t="s">
        <v>552</v>
      </c>
      <c r="D1204" s="15" t="s">
        <v>552</v>
      </c>
      <c r="E1204" s="12"/>
      <c r="F1204" s="13" t="s">
        <v>50</v>
      </c>
      <c r="G1204" s="13" t="s">
        <v>51</v>
      </c>
      <c r="H1204" s="13" t="s">
        <v>52</v>
      </c>
      <c r="I1204" s="13" t="s">
        <v>53</v>
      </c>
      <c r="J1204" s="17">
        <v>5.18</v>
      </c>
      <c r="K1204" s="17"/>
      <c r="L1204" s="14" t="s">
        <v>566</v>
      </c>
      <c r="M1204" s="14" t="s">
        <v>567</v>
      </c>
      <c r="N1204" s="14" t="s">
        <v>85</v>
      </c>
      <c r="O1204" s="17" t="s">
        <v>86</v>
      </c>
      <c r="P1204" s="14"/>
      <c r="Q1204" s="14"/>
      <c r="R1204" s="14"/>
      <c r="S1204" s="14">
        <v>7</v>
      </c>
      <c r="T1204" s="14">
        <v>32</v>
      </c>
      <c r="U1204" s="19">
        <f t="shared" si="80"/>
        <v>4.5714285714285712</v>
      </c>
      <c r="V1204" s="41">
        <f t="shared" si="83"/>
        <v>357.14285714285711</v>
      </c>
      <c r="W1204" s="14"/>
      <c r="X1204" s="14" t="s">
        <v>56</v>
      </c>
      <c r="Z1204" s="14" t="s">
        <v>58</v>
      </c>
      <c r="AA1204" s="14" t="s">
        <v>58</v>
      </c>
      <c r="AB1204" s="14" t="s">
        <v>57</v>
      </c>
      <c r="AC1204" s="14">
        <v>1998</v>
      </c>
      <c r="AD1204" s="14">
        <v>2</v>
      </c>
      <c r="AE1204" s="14"/>
      <c r="AF1204" s="14"/>
      <c r="AG1204" s="14">
        <v>1975</v>
      </c>
      <c r="AH1204" s="14">
        <f t="shared" si="81"/>
        <v>23</v>
      </c>
      <c r="AI1204" s="17">
        <f t="shared" si="82"/>
        <v>25</v>
      </c>
      <c r="AJ1204" s="14"/>
      <c r="AK1204" s="17" t="s">
        <v>56</v>
      </c>
      <c r="AL1204" s="13" t="s">
        <v>569</v>
      </c>
      <c r="AM1204" s="14">
        <v>2008</v>
      </c>
      <c r="AN1204" s="12" t="s">
        <v>183</v>
      </c>
      <c r="AO1204" s="12" t="s">
        <v>56</v>
      </c>
      <c r="AP1204" s="12"/>
      <c r="AQ1204" s="12" t="s">
        <v>56</v>
      </c>
      <c r="AR1204" s="12" t="s">
        <v>58</v>
      </c>
      <c r="AS1204" s="12" t="s">
        <v>62</v>
      </c>
      <c r="AT1204" s="12"/>
      <c r="AU1204" s="45" t="s">
        <v>570</v>
      </c>
      <c r="AV1204" s="15"/>
      <c r="AW1204" s="12" t="str">
        <f>B1204&amp;C1204&amp;L1204&amp;M1204&amp;O1204&amp;U1204&amp;AL1204&amp;AM1204</f>
        <v>New ZealandCape Rodney–Okakari Point Marine ReserveJasus edwardsiirock lobsterdensity4.57142857142857Pande2008</v>
      </c>
    </row>
    <row r="1205" spans="1:49" ht="14.25" customHeight="1" x14ac:dyDescent="0.35">
      <c r="A1205" s="12">
        <v>1204</v>
      </c>
      <c r="B1205" s="15" t="s">
        <v>551</v>
      </c>
      <c r="C1205" s="59" t="s">
        <v>2703</v>
      </c>
      <c r="D1205" s="59" t="s">
        <v>2703</v>
      </c>
      <c r="E1205" s="15"/>
      <c r="F1205" s="13" t="s">
        <v>50</v>
      </c>
      <c r="G1205" s="13" t="s">
        <v>51</v>
      </c>
      <c r="H1205" s="16" t="s">
        <v>52</v>
      </c>
      <c r="I1205" s="16" t="s">
        <v>53</v>
      </c>
      <c r="J1205" s="17"/>
      <c r="K1205" s="47">
        <v>18</v>
      </c>
      <c r="L1205" s="17" t="s">
        <v>566</v>
      </c>
      <c r="M1205" s="17" t="s">
        <v>567</v>
      </c>
      <c r="N1205" s="14" t="s">
        <v>85</v>
      </c>
      <c r="O1205" s="17" t="s">
        <v>86</v>
      </c>
      <c r="P1205" s="17"/>
      <c r="Q1205" s="17"/>
      <c r="R1205" s="17"/>
      <c r="S1205" s="17">
        <v>22</v>
      </c>
      <c r="T1205" s="17">
        <v>2</v>
      </c>
      <c r="U1205" s="20">
        <f t="shared" si="80"/>
        <v>9.0909090909090912E-2</v>
      </c>
      <c r="V1205" s="41">
        <f t="shared" si="83"/>
        <v>-90.909090909090907</v>
      </c>
      <c r="W1205" s="17"/>
      <c r="X1205" s="17" t="s">
        <v>56</v>
      </c>
      <c r="Z1205" s="17" t="s">
        <v>56</v>
      </c>
      <c r="AA1205" s="17"/>
      <c r="AB1205" s="17" t="s">
        <v>57</v>
      </c>
      <c r="AC1205" s="17">
        <v>1985</v>
      </c>
      <c r="AD1205" s="17">
        <v>0</v>
      </c>
      <c r="AE1205" s="17"/>
      <c r="AF1205" s="17"/>
      <c r="AG1205" s="17">
        <v>1981</v>
      </c>
      <c r="AH1205" s="14">
        <f t="shared" si="81"/>
        <v>4</v>
      </c>
      <c r="AI1205" s="17">
        <f t="shared" si="82"/>
        <v>4</v>
      </c>
      <c r="AJ1205" s="17"/>
      <c r="AK1205" s="17" t="s">
        <v>56</v>
      </c>
      <c r="AL1205" s="16" t="s">
        <v>569</v>
      </c>
      <c r="AM1205" s="17">
        <v>2008</v>
      </c>
      <c r="AN1205" s="15" t="s">
        <v>183</v>
      </c>
      <c r="AO1205" s="15" t="s">
        <v>56</v>
      </c>
      <c r="AP1205" s="15"/>
      <c r="AQ1205" s="15" t="s">
        <v>56</v>
      </c>
      <c r="AR1205" s="15" t="s">
        <v>58</v>
      </c>
      <c r="AS1205" s="15" t="s">
        <v>62</v>
      </c>
      <c r="AT1205" s="15"/>
      <c r="AU1205" s="45" t="s">
        <v>2865</v>
      </c>
      <c r="AV1205" s="15"/>
      <c r="AW1205" s="12" t="str">
        <f>B1205&amp;C1205&amp;L1205&amp;M1205&amp;O1205&amp;U1205&amp;AL1205&amp;AM1205</f>
        <v>New ZealandPoor Knights Islands Marine ReserveJasus edwardsiirock lobsterdensity0.0909090909090909Pande2008</v>
      </c>
    </row>
    <row r="1206" spans="1:49" ht="14.25" customHeight="1" x14ac:dyDescent="0.35">
      <c r="A1206" s="12">
        <v>1205</v>
      </c>
      <c r="B1206" s="15" t="s">
        <v>551</v>
      </c>
      <c r="C1206" s="59" t="s">
        <v>2706</v>
      </c>
      <c r="D1206" s="15" t="s">
        <v>2035</v>
      </c>
      <c r="E1206" s="15"/>
      <c r="F1206" s="13" t="s">
        <v>50</v>
      </c>
      <c r="G1206" s="13" t="s">
        <v>51</v>
      </c>
      <c r="H1206" s="16" t="s">
        <v>52</v>
      </c>
      <c r="I1206" s="16" t="s">
        <v>53</v>
      </c>
      <c r="J1206" s="17">
        <v>8.4</v>
      </c>
      <c r="K1206" s="17"/>
      <c r="L1206" s="17" t="s">
        <v>566</v>
      </c>
      <c r="M1206" s="17" t="s">
        <v>567</v>
      </c>
      <c r="N1206" s="14" t="s">
        <v>85</v>
      </c>
      <c r="O1206" s="17" t="s">
        <v>86</v>
      </c>
      <c r="P1206" s="17"/>
      <c r="Q1206" s="17"/>
      <c r="R1206" s="17"/>
      <c r="S1206" s="17">
        <v>9</v>
      </c>
      <c r="T1206" s="17">
        <v>29</v>
      </c>
      <c r="U1206" s="20">
        <f t="shared" si="80"/>
        <v>3.2222222222222223</v>
      </c>
      <c r="V1206" s="41">
        <f t="shared" si="83"/>
        <v>222.22222222222223</v>
      </c>
      <c r="W1206" s="17"/>
      <c r="X1206" s="17" t="s">
        <v>56</v>
      </c>
      <c r="Z1206" s="17" t="s">
        <v>56</v>
      </c>
      <c r="AA1206" s="17"/>
      <c r="AB1206" s="17" t="s">
        <v>57</v>
      </c>
      <c r="AC1206" s="17">
        <v>1996</v>
      </c>
      <c r="AD1206" s="17">
        <v>0</v>
      </c>
      <c r="AE1206" s="17"/>
      <c r="AF1206" s="17"/>
      <c r="AG1206" s="47">
        <v>1992</v>
      </c>
      <c r="AH1206" s="14">
        <f t="shared" si="81"/>
        <v>4</v>
      </c>
      <c r="AI1206" s="17">
        <f t="shared" si="82"/>
        <v>4</v>
      </c>
      <c r="AJ1206" s="17"/>
      <c r="AK1206" s="17" t="s">
        <v>56</v>
      </c>
      <c r="AL1206" s="16" t="s">
        <v>569</v>
      </c>
      <c r="AM1206" s="17">
        <v>2008</v>
      </c>
      <c r="AN1206" s="15" t="s">
        <v>183</v>
      </c>
      <c r="AO1206" s="15" t="s">
        <v>56</v>
      </c>
      <c r="AP1206" s="15"/>
      <c r="AQ1206" s="15" t="s">
        <v>56</v>
      </c>
      <c r="AR1206" s="15" t="s">
        <v>58</v>
      </c>
      <c r="AS1206" s="15" t="s">
        <v>62</v>
      </c>
      <c r="AT1206" s="15"/>
      <c r="AU1206" s="45" t="s">
        <v>570</v>
      </c>
      <c r="AV1206" s="15"/>
      <c r="AW1206" s="12" t="str">
        <f>B1206&amp;C1206&amp;L1206&amp;M1206&amp;O1206&amp;U1206&amp;AL1206&amp;AM1206</f>
        <v>New ZealandWhanganui A Hei Marine ReserveJasus edwardsiirock lobsterdensity3.22222222222222Pande2008</v>
      </c>
    </row>
    <row r="1207" spans="1:49" ht="14.25" customHeight="1" x14ac:dyDescent="0.35">
      <c r="A1207" s="12">
        <v>1206</v>
      </c>
      <c r="B1207" s="15" t="s">
        <v>551</v>
      </c>
      <c r="C1207" s="15" t="s">
        <v>1362</v>
      </c>
      <c r="D1207" s="15" t="s">
        <v>1362</v>
      </c>
      <c r="E1207" s="15"/>
      <c r="F1207" s="13" t="s">
        <v>50</v>
      </c>
      <c r="G1207" s="13" t="s">
        <v>51</v>
      </c>
      <c r="H1207" s="16" t="s">
        <v>52</v>
      </c>
      <c r="I1207" s="16" t="s">
        <v>53</v>
      </c>
      <c r="J1207" s="17">
        <v>10.6</v>
      </c>
      <c r="K1207" s="17"/>
      <c r="L1207" s="17" t="s">
        <v>566</v>
      </c>
      <c r="M1207" s="17" t="s">
        <v>567</v>
      </c>
      <c r="N1207" s="14" t="s">
        <v>85</v>
      </c>
      <c r="O1207" s="17" t="s">
        <v>86</v>
      </c>
      <c r="P1207" s="17"/>
      <c r="Q1207" s="17"/>
      <c r="R1207" s="17"/>
      <c r="S1207" s="17">
        <v>11</v>
      </c>
      <c r="T1207" s="17">
        <v>11</v>
      </c>
      <c r="U1207" s="20">
        <f t="shared" si="80"/>
        <v>1</v>
      </c>
      <c r="V1207" s="41">
        <f t="shared" si="83"/>
        <v>0</v>
      </c>
      <c r="W1207" s="17"/>
      <c r="X1207" s="17" t="s">
        <v>56</v>
      </c>
      <c r="Z1207" s="17" t="s">
        <v>56</v>
      </c>
      <c r="AA1207" s="17"/>
      <c r="AB1207" s="17" t="s">
        <v>57</v>
      </c>
      <c r="AC1207" s="17">
        <v>1996</v>
      </c>
      <c r="AD1207" s="17">
        <v>0</v>
      </c>
      <c r="AE1207" s="17"/>
      <c r="AF1207" s="17"/>
      <c r="AG1207" s="17">
        <v>1992</v>
      </c>
      <c r="AH1207" s="14">
        <f t="shared" si="81"/>
        <v>4</v>
      </c>
      <c r="AI1207" s="17">
        <f t="shared" si="82"/>
        <v>4</v>
      </c>
      <c r="AJ1207" s="17"/>
      <c r="AK1207" s="17" t="s">
        <v>56</v>
      </c>
      <c r="AL1207" s="16" t="s">
        <v>569</v>
      </c>
      <c r="AM1207" s="17">
        <v>2008</v>
      </c>
      <c r="AN1207" s="15" t="s">
        <v>183</v>
      </c>
      <c r="AO1207" s="15" t="s">
        <v>56</v>
      </c>
      <c r="AP1207" s="15"/>
      <c r="AQ1207" s="15" t="s">
        <v>56</v>
      </c>
      <c r="AR1207" s="15" t="s">
        <v>58</v>
      </c>
      <c r="AS1207" s="15" t="s">
        <v>62</v>
      </c>
      <c r="AT1207" s="15"/>
      <c r="AU1207" s="45" t="s">
        <v>570</v>
      </c>
      <c r="AV1207" s="15"/>
      <c r="AW1207" s="12" t="str">
        <f>B1207&amp;C1207&amp;L1207&amp;M1207&amp;O1207&amp;U1207&amp;AL1207&amp;AM1207</f>
        <v>New ZealandMayor Island (Tuhua) Marine ReserveJasus edwardsiirock lobsterdensity1Pande2008</v>
      </c>
    </row>
    <row r="1208" spans="1:49" ht="14.25" customHeight="1" x14ac:dyDescent="0.35">
      <c r="A1208" s="12">
        <v>1207</v>
      </c>
      <c r="B1208" s="15" t="s">
        <v>551</v>
      </c>
      <c r="C1208" s="43" t="s">
        <v>1959</v>
      </c>
      <c r="D1208" s="43" t="s">
        <v>1959</v>
      </c>
      <c r="E1208" s="15"/>
      <c r="F1208" s="13" t="s">
        <v>50</v>
      </c>
      <c r="G1208" s="13" t="s">
        <v>51</v>
      </c>
      <c r="H1208" s="16" t="s">
        <v>52</v>
      </c>
      <c r="I1208" s="16" t="s">
        <v>53</v>
      </c>
      <c r="J1208" s="17">
        <v>4.46</v>
      </c>
      <c r="K1208" s="17"/>
      <c r="L1208" s="17" t="s">
        <v>566</v>
      </c>
      <c r="M1208" s="17" t="s">
        <v>567</v>
      </c>
      <c r="N1208" s="14" t="s">
        <v>85</v>
      </c>
      <c r="O1208" s="17" t="s">
        <v>86</v>
      </c>
      <c r="P1208" s="17"/>
      <c r="Q1208" s="17"/>
      <c r="R1208" s="17"/>
      <c r="S1208" s="17">
        <v>11</v>
      </c>
      <c r="T1208" s="17">
        <v>20</v>
      </c>
      <c r="U1208" s="20">
        <f t="shared" si="80"/>
        <v>1.8181818181818181</v>
      </c>
      <c r="V1208" s="41">
        <f t="shared" si="83"/>
        <v>81.818181818181813</v>
      </c>
      <c r="W1208" s="17"/>
      <c r="X1208" s="17" t="s">
        <v>56</v>
      </c>
      <c r="Z1208" s="17" t="s">
        <v>58</v>
      </c>
      <c r="AA1208" s="17" t="s">
        <v>58</v>
      </c>
      <c r="AB1208" s="17" t="s">
        <v>57</v>
      </c>
      <c r="AC1208" s="17">
        <v>1998</v>
      </c>
      <c r="AD1208" s="17">
        <v>4</v>
      </c>
      <c r="AE1208" s="17"/>
      <c r="AF1208" s="17"/>
      <c r="AG1208" s="17">
        <v>1997</v>
      </c>
      <c r="AH1208" s="14">
        <f t="shared" si="81"/>
        <v>1</v>
      </c>
      <c r="AI1208" s="17">
        <f t="shared" si="82"/>
        <v>5</v>
      </c>
      <c r="AJ1208" s="17"/>
      <c r="AK1208" s="17" t="s">
        <v>56</v>
      </c>
      <c r="AL1208" s="16" t="s">
        <v>569</v>
      </c>
      <c r="AM1208" s="17">
        <v>2008</v>
      </c>
      <c r="AN1208" s="15" t="s">
        <v>183</v>
      </c>
      <c r="AO1208" s="15" t="s">
        <v>56</v>
      </c>
      <c r="AP1208" s="15"/>
      <c r="AQ1208" s="15" t="s">
        <v>56</v>
      </c>
      <c r="AR1208" s="15" t="s">
        <v>58</v>
      </c>
      <c r="AS1208" s="15" t="s">
        <v>62</v>
      </c>
      <c r="AT1208" s="15"/>
      <c r="AU1208" s="45" t="s">
        <v>570</v>
      </c>
      <c r="AV1208" s="15"/>
      <c r="AW1208" s="12" t="str">
        <f>B1208&amp;C1208&amp;L1208&amp;M1208&amp;O1208&amp;U1208&amp;AL1208&amp;AM1208</f>
        <v>New ZealandTe Angiangi Marine ReserveJasus edwardsiirock lobsterdensity1.81818181818182Pande2008</v>
      </c>
    </row>
    <row r="1209" spans="1:49" ht="14.25" customHeight="1" x14ac:dyDescent="0.35">
      <c r="A1209" s="12">
        <v>1208</v>
      </c>
      <c r="B1209" s="15" t="s">
        <v>551</v>
      </c>
      <c r="C1209" s="12" t="s">
        <v>1248</v>
      </c>
      <c r="D1209" s="12" t="s">
        <v>1248</v>
      </c>
      <c r="E1209" s="12"/>
      <c r="F1209" s="13" t="s">
        <v>50</v>
      </c>
      <c r="G1209" s="13" t="s">
        <v>51</v>
      </c>
      <c r="H1209" s="13" t="s">
        <v>52</v>
      </c>
      <c r="I1209" s="13" t="s">
        <v>53</v>
      </c>
      <c r="J1209" s="14">
        <v>6.19</v>
      </c>
      <c r="K1209" s="17"/>
      <c r="L1209" s="17" t="s">
        <v>566</v>
      </c>
      <c r="M1209" s="14" t="s">
        <v>567</v>
      </c>
      <c r="N1209" s="17" t="s">
        <v>85</v>
      </c>
      <c r="O1209" s="17" t="s">
        <v>86</v>
      </c>
      <c r="P1209" s="14"/>
      <c r="Q1209" s="14"/>
      <c r="R1209" s="14"/>
      <c r="S1209" s="14">
        <v>11</v>
      </c>
      <c r="T1209" s="14">
        <v>56</v>
      </c>
      <c r="U1209" s="19">
        <f t="shared" si="80"/>
        <v>5.0909090909090908</v>
      </c>
      <c r="V1209" s="41">
        <f t="shared" si="83"/>
        <v>409.09090909090907</v>
      </c>
      <c r="W1209" s="14"/>
      <c r="X1209" s="14" t="s">
        <v>56</v>
      </c>
      <c r="Z1209" s="14" t="s">
        <v>58</v>
      </c>
      <c r="AA1209" s="14" t="s">
        <v>58</v>
      </c>
      <c r="AB1209" s="14" t="s">
        <v>57</v>
      </c>
      <c r="AC1209" s="14">
        <v>2001</v>
      </c>
      <c r="AD1209" s="14">
        <v>3</v>
      </c>
      <c r="AE1209" s="14"/>
      <c r="AF1209" s="14"/>
      <c r="AG1209" s="14">
        <v>1993</v>
      </c>
      <c r="AH1209" s="14">
        <f t="shared" si="81"/>
        <v>8</v>
      </c>
      <c r="AI1209" s="17">
        <f t="shared" si="82"/>
        <v>11</v>
      </c>
      <c r="AJ1209" s="14"/>
      <c r="AK1209" s="17" t="s">
        <v>56</v>
      </c>
      <c r="AL1209" s="13" t="s">
        <v>569</v>
      </c>
      <c r="AM1209" s="14">
        <v>2008</v>
      </c>
      <c r="AN1209" s="15" t="s">
        <v>183</v>
      </c>
      <c r="AO1209" s="12" t="s">
        <v>56</v>
      </c>
      <c r="AP1209" s="12"/>
      <c r="AQ1209" s="12" t="s">
        <v>56</v>
      </c>
      <c r="AR1209" s="12" t="s">
        <v>58</v>
      </c>
      <c r="AS1209" s="12" t="s">
        <v>62</v>
      </c>
      <c r="AT1209" s="12"/>
      <c r="AU1209" s="45" t="s">
        <v>570</v>
      </c>
      <c r="AV1209" s="15"/>
      <c r="AW1209" s="12" t="str">
        <f>B1209&amp;C1209&amp;L1209&amp;M1209&amp;O1209&amp;U1209&amp;AL1209&amp;AM1209</f>
        <v>New ZealandLong Island–Kokomohua Marine ReserveJasus edwardsiirock lobsterdensity5.09090909090909Pande2008</v>
      </c>
    </row>
    <row r="1210" spans="1:49" ht="14.25" customHeight="1" x14ac:dyDescent="0.35">
      <c r="A1210" s="12">
        <v>1209</v>
      </c>
      <c r="B1210" s="15" t="s">
        <v>551</v>
      </c>
      <c r="C1210" s="12" t="s">
        <v>1598</v>
      </c>
      <c r="D1210" s="12" t="s">
        <v>1598</v>
      </c>
      <c r="E1210" s="12"/>
      <c r="F1210" s="13" t="s">
        <v>50</v>
      </c>
      <c r="G1210" s="13" t="s">
        <v>51</v>
      </c>
      <c r="H1210" s="13" t="s">
        <v>52</v>
      </c>
      <c r="I1210" s="13" t="s">
        <v>53</v>
      </c>
      <c r="J1210" s="14">
        <v>2.15</v>
      </c>
      <c r="K1210" s="17"/>
      <c r="L1210" s="47" t="s">
        <v>553</v>
      </c>
      <c r="M1210" s="14" t="s">
        <v>567</v>
      </c>
      <c r="N1210" s="47" t="s">
        <v>170</v>
      </c>
      <c r="O1210" s="17" t="s">
        <v>86</v>
      </c>
      <c r="P1210" s="14"/>
      <c r="Q1210" s="14"/>
      <c r="R1210" s="14"/>
      <c r="S1210" s="14">
        <v>7</v>
      </c>
      <c r="T1210" s="14">
        <v>5</v>
      </c>
      <c r="U1210" s="19">
        <f t="shared" si="80"/>
        <v>0.7142857142857143</v>
      </c>
      <c r="V1210" s="41">
        <f t="shared" si="83"/>
        <v>-28.571428571428569</v>
      </c>
      <c r="W1210" s="14"/>
      <c r="X1210" s="14" t="s">
        <v>56</v>
      </c>
      <c r="Z1210" s="14" t="s">
        <v>58</v>
      </c>
      <c r="AA1210" s="14" t="s">
        <v>58</v>
      </c>
      <c r="AB1210" s="14" t="s">
        <v>57</v>
      </c>
      <c r="AC1210" s="14">
        <v>2001</v>
      </c>
      <c r="AD1210" s="14">
        <v>1</v>
      </c>
      <c r="AE1210" s="14"/>
      <c r="AF1210" s="14"/>
      <c r="AG1210" s="14">
        <v>1999</v>
      </c>
      <c r="AH1210" s="14">
        <f t="shared" si="81"/>
        <v>2</v>
      </c>
      <c r="AI1210" s="17">
        <f t="shared" si="82"/>
        <v>3</v>
      </c>
      <c r="AJ1210" s="14"/>
      <c r="AK1210" s="17" t="s">
        <v>56</v>
      </c>
      <c r="AL1210" s="13" t="s">
        <v>569</v>
      </c>
      <c r="AM1210" s="14">
        <v>2008</v>
      </c>
      <c r="AN1210" s="12" t="s">
        <v>183</v>
      </c>
      <c r="AO1210" s="12" t="s">
        <v>56</v>
      </c>
      <c r="AP1210" s="12"/>
      <c r="AQ1210" s="12" t="s">
        <v>56</v>
      </c>
      <c r="AR1210" s="12" t="s">
        <v>58</v>
      </c>
      <c r="AS1210" s="12" t="s">
        <v>62</v>
      </c>
      <c r="AT1210" s="12"/>
      <c r="AU1210" s="45" t="s">
        <v>570</v>
      </c>
      <c r="AV1210" s="15"/>
      <c r="AW1210" s="12" t="str">
        <f>B1210&amp;C1210&amp;L1210&amp;M1210&amp;O1210&amp;U1210&amp;AL1210&amp;AM1210</f>
        <v>New ZealandPohatu (Flea Bay) Marine ReservePalinuridaerock lobsterdensity0.714285714285714Pande2008</v>
      </c>
    </row>
    <row r="1211" spans="1:49" ht="14.25" customHeight="1" x14ac:dyDescent="0.35">
      <c r="A1211" s="12">
        <v>1210</v>
      </c>
      <c r="B1211" s="15" t="s">
        <v>551</v>
      </c>
      <c r="C1211" s="44" t="s">
        <v>1960</v>
      </c>
      <c r="D1211" s="44" t="s">
        <v>1960</v>
      </c>
      <c r="E1211" s="12"/>
      <c r="F1211" s="13" t="s">
        <v>50</v>
      </c>
      <c r="G1211" s="13" t="s">
        <v>51</v>
      </c>
      <c r="H1211" s="13" t="s">
        <v>52</v>
      </c>
      <c r="I1211" s="13" t="s">
        <v>53</v>
      </c>
      <c r="J1211" s="14">
        <v>0.93</v>
      </c>
      <c r="K1211" s="17"/>
      <c r="L1211" s="18" t="s">
        <v>553</v>
      </c>
      <c r="M1211" s="14" t="s">
        <v>567</v>
      </c>
      <c r="N1211" s="18" t="s">
        <v>170</v>
      </c>
      <c r="O1211" s="17" t="s">
        <v>86</v>
      </c>
      <c r="P1211" s="14"/>
      <c r="Q1211" s="14"/>
      <c r="R1211" s="14"/>
      <c r="S1211" s="14">
        <v>9</v>
      </c>
      <c r="T1211" s="14">
        <v>11</v>
      </c>
      <c r="U1211" s="19">
        <f t="shared" si="80"/>
        <v>1.2222222222222223</v>
      </c>
      <c r="V1211" s="41">
        <f t="shared" si="83"/>
        <v>22.222222222222232</v>
      </c>
      <c r="W1211" s="14"/>
      <c r="X1211" s="14" t="s">
        <v>56</v>
      </c>
      <c r="Z1211" s="14" t="s">
        <v>56</v>
      </c>
      <c r="AA1211" s="14"/>
      <c r="AB1211" s="14" t="s">
        <v>57</v>
      </c>
      <c r="AC1211" s="14">
        <v>1999</v>
      </c>
      <c r="AD1211" s="14">
        <v>0</v>
      </c>
      <c r="AE1211" s="14"/>
      <c r="AF1211" s="14"/>
      <c r="AG1211" s="14">
        <v>1993</v>
      </c>
      <c r="AH1211" s="14">
        <f t="shared" si="81"/>
        <v>6</v>
      </c>
      <c r="AI1211" s="17">
        <f t="shared" si="82"/>
        <v>6</v>
      </c>
      <c r="AJ1211" s="14"/>
      <c r="AK1211" s="17" t="s">
        <v>56</v>
      </c>
      <c r="AL1211" s="13" t="s">
        <v>569</v>
      </c>
      <c r="AM1211" s="14">
        <v>2008</v>
      </c>
      <c r="AN1211" s="12" t="s">
        <v>183</v>
      </c>
      <c r="AO1211" s="12" t="s">
        <v>56</v>
      </c>
      <c r="AP1211" s="12"/>
      <c r="AQ1211" s="12" t="s">
        <v>56</v>
      </c>
      <c r="AR1211" s="12" t="s">
        <v>58</v>
      </c>
      <c r="AS1211" s="12" t="s">
        <v>62</v>
      </c>
      <c r="AT1211" s="12"/>
      <c r="AU1211" s="45" t="s">
        <v>570</v>
      </c>
      <c r="AV1211" s="15"/>
      <c r="AW1211" s="12" t="str">
        <f>B1211&amp;C1211&amp;L1211&amp;M1211&amp;O1211&amp;U1211&amp;AL1211&amp;AM1211</f>
        <v>New ZealandTe Awaatu Channel Marine ReservePalinuridaerock lobsterdensity1.22222222222222Pande2008</v>
      </c>
    </row>
    <row r="1212" spans="1:49" ht="14.25" customHeight="1" x14ac:dyDescent="0.35">
      <c r="A1212" s="12">
        <v>1211</v>
      </c>
      <c r="B1212" s="12" t="s">
        <v>254</v>
      </c>
      <c r="C1212" s="12" t="s">
        <v>1669</v>
      </c>
      <c r="D1212" s="12" t="s">
        <v>1669</v>
      </c>
      <c r="E1212" s="12" t="s">
        <v>68</v>
      </c>
      <c r="F1212" s="13" t="s">
        <v>274</v>
      </c>
      <c r="G1212" s="13" t="s">
        <v>51</v>
      </c>
      <c r="H1212" s="13" t="s">
        <v>108</v>
      </c>
      <c r="I1212" s="13" t="s">
        <v>156</v>
      </c>
      <c r="K1212" s="17">
        <v>95</v>
      </c>
      <c r="L1212" s="14" t="s">
        <v>1670</v>
      </c>
      <c r="M1212" s="14"/>
      <c r="N1212" s="14" t="s">
        <v>85</v>
      </c>
      <c r="O1212" s="17" t="s">
        <v>86</v>
      </c>
      <c r="P1212" s="14"/>
      <c r="Q1212" s="14"/>
      <c r="R1212" s="14"/>
      <c r="S1212" s="14">
        <v>3.0333329999999998</v>
      </c>
      <c r="T1212" s="14">
        <v>0.86</v>
      </c>
      <c r="U1212" s="19">
        <f t="shared" si="80"/>
        <v>0.2835165146721445</v>
      </c>
      <c r="V1212" s="41">
        <f t="shared" si="83"/>
        <v>-71.648348532785548</v>
      </c>
      <c r="W1212" s="14"/>
      <c r="X1212" s="14" t="s">
        <v>56</v>
      </c>
      <c r="Z1212" s="14" t="s">
        <v>58</v>
      </c>
      <c r="AA1212" s="14" t="s">
        <v>58</v>
      </c>
      <c r="AB1212" s="14" t="s">
        <v>57</v>
      </c>
      <c r="AC1212" s="14">
        <v>2001</v>
      </c>
      <c r="AD1212" s="14">
        <v>3</v>
      </c>
      <c r="AE1212" s="14"/>
      <c r="AF1212" s="14"/>
      <c r="AG1212" s="14">
        <v>1990</v>
      </c>
      <c r="AH1212" s="14">
        <f t="shared" si="81"/>
        <v>11</v>
      </c>
      <c r="AI1212" s="17">
        <f t="shared" si="82"/>
        <v>14</v>
      </c>
      <c r="AJ1212" s="14"/>
      <c r="AK1212" s="14" t="s">
        <v>56</v>
      </c>
      <c r="AL1212" s="13" t="s">
        <v>1671</v>
      </c>
      <c r="AM1212" s="14">
        <v>2019</v>
      </c>
      <c r="AN1212" s="12" t="s">
        <v>493</v>
      </c>
      <c r="AO1212" s="12" t="s">
        <v>56</v>
      </c>
      <c r="AP1212" s="12"/>
      <c r="AQ1212" s="12" t="s">
        <v>56</v>
      </c>
      <c r="AR1212" s="12" t="s">
        <v>58</v>
      </c>
      <c r="AS1212" s="12" t="s">
        <v>62</v>
      </c>
      <c r="AT1212" s="12"/>
      <c r="AU1212" s="45"/>
      <c r="AV1212" s="15"/>
      <c r="AW1212" s="12" t="str">
        <f>B1212&amp;C1212&amp;L1212&amp;M1212&amp;O1212&amp;U1212&amp;AL1212&amp;AM1212</f>
        <v>MexicoReserve El PalmarStrongylura notatadensity0.283516514672145Palacios-Sánchez2019</v>
      </c>
    </row>
    <row r="1213" spans="1:49" ht="14.25" customHeight="1" x14ac:dyDescent="0.35">
      <c r="A1213" s="12">
        <v>1212</v>
      </c>
      <c r="B1213" s="12" t="s">
        <v>254</v>
      </c>
      <c r="C1213" s="12" t="s">
        <v>1669</v>
      </c>
      <c r="D1213" s="12" t="s">
        <v>1669</v>
      </c>
      <c r="E1213" s="12" t="s">
        <v>68</v>
      </c>
      <c r="F1213" s="13" t="s">
        <v>274</v>
      </c>
      <c r="G1213" s="13" t="s">
        <v>51</v>
      </c>
      <c r="H1213" s="13" t="s">
        <v>108</v>
      </c>
      <c r="I1213" s="13" t="s">
        <v>156</v>
      </c>
      <c r="K1213" s="14">
        <v>95</v>
      </c>
      <c r="L1213" s="14" t="s">
        <v>1672</v>
      </c>
      <c r="M1213" s="14"/>
      <c r="N1213" s="14" t="s">
        <v>85</v>
      </c>
      <c r="O1213" s="17" t="s">
        <v>86</v>
      </c>
      <c r="P1213" s="14"/>
      <c r="Q1213" s="14"/>
      <c r="R1213" s="14"/>
      <c r="S1213" s="14">
        <v>0.12</v>
      </c>
      <c r="T1213" s="14">
        <v>0.04</v>
      </c>
      <c r="U1213" s="19">
        <f t="shared" si="80"/>
        <v>0.33333333333333337</v>
      </c>
      <c r="V1213" s="41">
        <f t="shared" si="83"/>
        <v>-66.666666666666657</v>
      </c>
      <c r="W1213" s="14"/>
      <c r="X1213" s="14" t="s">
        <v>56</v>
      </c>
      <c r="Z1213" s="14" t="s">
        <v>58</v>
      </c>
      <c r="AA1213" s="14" t="s">
        <v>58</v>
      </c>
      <c r="AB1213" s="14" t="s">
        <v>57</v>
      </c>
      <c r="AC1213" s="14">
        <v>2001</v>
      </c>
      <c r="AD1213" s="14">
        <v>3</v>
      </c>
      <c r="AE1213" s="14"/>
      <c r="AF1213" s="14"/>
      <c r="AG1213" s="14">
        <v>1990</v>
      </c>
      <c r="AH1213" s="14">
        <f t="shared" si="81"/>
        <v>11</v>
      </c>
      <c r="AI1213" s="17">
        <f t="shared" si="82"/>
        <v>14</v>
      </c>
      <c r="AJ1213" s="14"/>
      <c r="AK1213" s="14" t="s">
        <v>56</v>
      </c>
      <c r="AL1213" s="13" t="s">
        <v>1671</v>
      </c>
      <c r="AM1213" s="14">
        <v>2019</v>
      </c>
      <c r="AN1213" s="12" t="s">
        <v>493</v>
      </c>
      <c r="AO1213" s="12" t="s">
        <v>56</v>
      </c>
      <c r="AP1213" s="12"/>
      <c r="AQ1213" s="12" t="s">
        <v>56</v>
      </c>
      <c r="AR1213" s="12" t="s">
        <v>58</v>
      </c>
      <c r="AS1213" s="12" t="s">
        <v>62</v>
      </c>
      <c r="AT1213" s="12"/>
      <c r="AU1213" s="45"/>
      <c r="AV1213" s="15"/>
      <c r="AW1213" s="12" t="str">
        <f>B1213&amp;C1213&amp;L1213&amp;M1213&amp;O1213&amp;U1213&amp;AL1213&amp;AM1213</f>
        <v>MexicoReserve El PalmarStrongylura timucudensity0.333333333333333Palacios-Sánchez2019</v>
      </c>
    </row>
    <row r="1214" spans="1:49" ht="14.25" customHeight="1" x14ac:dyDescent="0.35">
      <c r="A1214" s="12">
        <v>1213</v>
      </c>
      <c r="B1214" s="12" t="s">
        <v>254</v>
      </c>
      <c r="C1214" s="12" t="s">
        <v>1669</v>
      </c>
      <c r="D1214" s="12" t="s">
        <v>1669</v>
      </c>
      <c r="E1214" s="12" t="s">
        <v>68</v>
      </c>
      <c r="F1214" s="13" t="s">
        <v>274</v>
      </c>
      <c r="G1214" s="13" t="s">
        <v>51</v>
      </c>
      <c r="H1214" s="13" t="s">
        <v>108</v>
      </c>
      <c r="I1214" s="13" t="s">
        <v>156</v>
      </c>
      <c r="K1214" s="17">
        <v>95</v>
      </c>
      <c r="L1214" s="14" t="s">
        <v>1673</v>
      </c>
      <c r="M1214" s="14"/>
      <c r="N1214" s="14" t="s">
        <v>85</v>
      </c>
      <c r="O1214" s="17" t="s">
        <v>86</v>
      </c>
      <c r="P1214" s="14"/>
      <c r="Q1214" s="14"/>
      <c r="R1214" s="14"/>
      <c r="S1214" s="14">
        <v>0</v>
      </c>
      <c r="T1214" s="14">
        <v>0.14000000000000001</v>
      </c>
      <c r="U1214" s="19" t="str">
        <f t="shared" si="80"/>
        <v>N/A</v>
      </c>
      <c r="V1214" s="41" t="str">
        <f t="shared" si="83"/>
        <v>N/A</v>
      </c>
      <c r="W1214" s="14"/>
      <c r="X1214" s="14" t="s">
        <v>56</v>
      </c>
      <c r="Z1214" s="14" t="s">
        <v>58</v>
      </c>
      <c r="AA1214" s="14" t="s">
        <v>58</v>
      </c>
      <c r="AB1214" s="14" t="s">
        <v>57</v>
      </c>
      <c r="AC1214" s="14">
        <v>2001</v>
      </c>
      <c r="AD1214" s="14">
        <v>3</v>
      </c>
      <c r="AE1214" s="14"/>
      <c r="AF1214" s="14"/>
      <c r="AG1214" s="14">
        <v>1990</v>
      </c>
      <c r="AH1214" s="14">
        <f t="shared" si="81"/>
        <v>11</v>
      </c>
      <c r="AI1214" s="17">
        <f t="shared" si="82"/>
        <v>14</v>
      </c>
      <c r="AJ1214" s="14"/>
      <c r="AK1214" s="14" t="s">
        <v>56</v>
      </c>
      <c r="AL1214" s="13" t="s">
        <v>1671</v>
      </c>
      <c r="AM1214" s="14">
        <v>2019</v>
      </c>
      <c r="AN1214" s="12" t="s">
        <v>493</v>
      </c>
      <c r="AO1214" s="12" t="s">
        <v>56</v>
      </c>
      <c r="AP1214" s="12"/>
      <c r="AQ1214" s="12" t="s">
        <v>56</v>
      </c>
      <c r="AR1214" s="12" t="s">
        <v>58</v>
      </c>
      <c r="AS1214" s="12" t="s">
        <v>62</v>
      </c>
      <c r="AT1214" s="12"/>
      <c r="AU1214" s="45"/>
      <c r="AV1214" s="15"/>
      <c r="AW1214" s="12" t="str">
        <f>B1214&amp;C1214&amp;L1214&amp;M1214&amp;O1214&amp;U1214&amp;AL1214&amp;AM1214</f>
        <v>MexicoReserve El PalmarTylosurus crocodilusdensityN/APalacios-Sánchez2019</v>
      </c>
    </row>
    <row r="1215" spans="1:49" ht="14.25" customHeight="1" x14ac:dyDescent="0.35">
      <c r="A1215" s="12">
        <v>1214</v>
      </c>
      <c r="B1215" s="12" t="s">
        <v>254</v>
      </c>
      <c r="C1215" s="15" t="s">
        <v>1669</v>
      </c>
      <c r="D1215" s="15" t="s">
        <v>1669</v>
      </c>
      <c r="E1215" s="15" t="s">
        <v>68</v>
      </c>
      <c r="F1215" s="13" t="s">
        <v>274</v>
      </c>
      <c r="G1215" s="13" t="s">
        <v>51</v>
      </c>
      <c r="H1215" s="16" t="s">
        <v>108</v>
      </c>
      <c r="I1215" s="16" t="s">
        <v>156</v>
      </c>
      <c r="K1215" s="17">
        <v>95</v>
      </c>
      <c r="L1215" s="17" t="s">
        <v>1674</v>
      </c>
      <c r="M1215" s="17"/>
      <c r="N1215" s="14" t="s">
        <v>85</v>
      </c>
      <c r="O1215" s="17" t="s">
        <v>86</v>
      </c>
      <c r="P1215" s="17"/>
      <c r="Q1215" s="17"/>
      <c r="R1215" s="17"/>
      <c r="S1215" s="17">
        <v>0.64666699999999999</v>
      </c>
      <c r="T1215" s="17">
        <v>0.15</v>
      </c>
      <c r="U1215" s="20">
        <f t="shared" ref="U1215:U1278" si="84">IFERROR(IF(AND(Q1215="",R1215="",S1215="",T1215=""),"",IF(AND(Q1215&lt;&gt;"",R1215&lt;&gt;"",S1215&lt;&gt;"",T1215&lt;&gt;""),(T1215/R1215)/(S1215/Q1215),IF(AND(Q1215&lt;&gt;"",R1215&lt;&gt;""),R1215/Q1215,IF(AND(S1215&lt;&gt;"",T1215&lt;&gt;""),T1215/S1215,IF(AND(Q1215&lt;&gt;"",S1215&lt;&gt;""),Q1215/S1215,IF(AND(R1215&lt;&gt;"",T1215&lt;&gt;""),T1215/R1215)))))), "N/A")</f>
        <v>0.23195864332028696</v>
      </c>
      <c r="V1215" s="41">
        <f t="shared" si="83"/>
        <v>-76.804135667971309</v>
      </c>
      <c r="W1215" s="17"/>
      <c r="X1215" s="17" t="s">
        <v>56</v>
      </c>
      <c r="Z1215" s="17" t="s">
        <v>58</v>
      </c>
      <c r="AA1215" s="17" t="s">
        <v>58</v>
      </c>
      <c r="AB1215" s="17" t="s">
        <v>57</v>
      </c>
      <c r="AC1215" s="17">
        <v>2001</v>
      </c>
      <c r="AD1215" s="17">
        <v>3</v>
      </c>
      <c r="AE1215" s="17"/>
      <c r="AF1215" s="17"/>
      <c r="AG1215" s="17">
        <v>1990</v>
      </c>
      <c r="AH1215" s="14">
        <f t="shared" si="81"/>
        <v>11</v>
      </c>
      <c r="AI1215" s="17">
        <f t="shared" si="82"/>
        <v>14</v>
      </c>
      <c r="AJ1215" s="17"/>
      <c r="AK1215" s="17" t="s">
        <v>56</v>
      </c>
      <c r="AL1215" s="16" t="s">
        <v>1671</v>
      </c>
      <c r="AM1215" s="17">
        <v>2019</v>
      </c>
      <c r="AN1215" s="15" t="s">
        <v>493</v>
      </c>
      <c r="AO1215" s="15" t="s">
        <v>56</v>
      </c>
      <c r="AP1215" s="15"/>
      <c r="AQ1215" s="15" t="s">
        <v>56</v>
      </c>
      <c r="AR1215" s="15" t="s">
        <v>58</v>
      </c>
      <c r="AS1215" s="15" t="s">
        <v>62</v>
      </c>
      <c r="AT1215" s="15"/>
      <c r="AU1215" s="45"/>
      <c r="AV1215" s="15"/>
      <c r="AW1215" s="12" t="str">
        <f>B1215&amp;C1215&amp;L1215&amp;M1215&amp;O1215&amp;U1215&amp;AL1215&amp;AM1215</f>
        <v>MexicoReserve El PalmarTrachinotus goodeidensity0.231958643320287Palacios-Sánchez2019</v>
      </c>
    </row>
    <row r="1216" spans="1:49" ht="14.25" customHeight="1" x14ac:dyDescent="0.35">
      <c r="A1216" s="12">
        <v>1215</v>
      </c>
      <c r="B1216" s="12" t="s">
        <v>254</v>
      </c>
      <c r="C1216" s="15" t="s">
        <v>1669</v>
      </c>
      <c r="D1216" s="15" t="s">
        <v>1669</v>
      </c>
      <c r="E1216" s="15" t="s">
        <v>68</v>
      </c>
      <c r="F1216" s="13" t="s">
        <v>274</v>
      </c>
      <c r="G1216" s="13" t="s">
        <v>51</v>
      </c>
      <c r="H1216" s="16" t="s">
        <v>108</v>
      </c>
      <c r="I1216" s="16" t="s">
        <v>156</v>
      </c>
      <c r="K1216" s="17">
        <v>95</v>
      </c>
      <c r="L1216" s="17" t="s">
        <v>1036</v>
      </c>
      <c r="M1216" s="17"/>
      <c r="N1216" s="14" t="s">
        <v>85</v>
      </c>
      <c r="O1216" s="17" t="s">
        <v>86</v>
      </c>
      <c r="P1216" s="17"/>
      <c r="Q1216" s="17"/>
      <c r="R1216" s="17"/>
      <c r="S1216" s="17">
        <v>0.52333300000000005</v>
      </c>
      <c r="T1216" s="17">
        <v>0.46</v>
      </c>
      <c r="U1216" s="20">
        <f t="shared" si="84"/>
        <v>0.87898145158054242</v>
      </c>
      <c r="V1216" s="41">
        <f t="shared" si="83"/>
        <v>-12.101854841945759</v>
      </c>
      <c r="W1216" s="17"/>
      <c r="X1216" s="17" t="s">
        <v>56</v>
      </c>
      <c r="Z1216" s="17" t="s">
        <v>58</v>
      </c>
      <c r="AA1216" s="17" t="s">
        <v>58</v>
      </c>
      <c r="AB1216" s="17" t="s">
        <v>57</v>
      </c>
      <c r="AC1216" s="17">
        <v>2001</v>
      </c>
      <c r="AD1216" s="17">
        <v>3</v>
      </c>
      <c r="AE1216" s="17"/>
      <c r="AF1216" s="17"/>
      <c r="AG1216" s="17">
        <v>1990</v>
      </c>
      <c r="AH1216" s="14">
        <f t="shared" ref="AH1216:AH1279" si="85">IF(OR(AG1216="NA",AC1216="NA"),"NA",IF(OR(AC1216="",AG1216=""), "", AC1216-AG1216))</f>
        <v>11</v>
      </c>
      <c r="AI1216" s="17">
        <f t="shared" ref="AI1216:AI1279" si="86">IF(AH1216="NA", "NA",IF(OR(AH1216="",AND(AD1216="",AE1216="")), "",AH1216+AD1216+AE1216/12))</f>
        <v>14</v>
      </c>
      <c r="AJ1216" s="17"/>
      <c r="AK1216" s="17" t="s">
        <v>56</v>
      </c>
      <c r="AL1216" s="16" t="s">
        <v>1671</v>
      </c>
      <c r="AM1216" s="17">
        <v>2019</v>
      </c>
      <c r="AN1216" s="15" t="s">
        <v>493</v>
      </c>
      <c r="AO1216" s="15" t="s">
        <v>56</v>
      </c>
      <c r="AP1216" s="15"/>
      <c r="AQ1216" s="15" t="s">
        <v>56</v>
      </c>
      <c r="AR1216" s="15" t="s">
        <v>58</v>
      </c>
      <c r="AS1216" s="15" t="s">
        <v>62</v>
      </c>
      <c r="AT1216" s="15"/>
      <c r="AU1216" s="45"/>
      <c r="AV1216" s="15"/>
      <c r="AW1216" s="12" t="str">
        <f>B1216&amp;C1216&amp;L1216&amp;M1216&amp;O1216&amp;U1216&amp;AL1216&amp;AM1216</f>
        <v>MexicoReserve El PalmarOligoplites saurusdensity0.878981451580542Palacios-Sánchez2019</v>
      </c>
    </row>
    <row r="1217" spans="1:49" ht="14.25" customHeight="1" x14ac:dyDescent="0.35">
      <c r="A1217" s="12">
        <v>1216</v>
      </c>
      <c r="B1217" s="12" t="s">
        <v>254</v>
      </c>
      <c r="C1217" s="15" t="s">
        <v>1669</v>
      </c>
      <c r="D1217" s="15" t="s">
        <v>1669</v>
      </c>
      <c r="E1217" s="15" t="s">
        <v>68</v>
      </c>
      <c r="F1217" s="13" t="s">
        <v>274</v>
      </c>
      <c r="G1217" s="13" t="s">
        <v>51</v>
      </c>
      <c r="H1217" s="16" t="s">
        <v>108</v>
      </c>
      <c r="I1217" s="16" t="s">
        <v>156</v>
      </c>
      <c r="K1217" s="17">
        <v>95</v>
      </c>
      <c r="L1217" s="17" t="s">
        <v>1675</v>
      </c>
      <c r="M1217" s="17"/>
      <c r="N1217" s="14" t="s">
        <v>85</v>
      </c>
      <c r="O1217" s="17" t="s">
        <v>86</v>
      </c>
      <c r="P1217" s="17"/>
      <c r="Q1217" s="17"/>
      <c r="R1217" s="17"/>
      <c r="S1217" s="17">
        <v>0.02</v>
      </c>
      <c r="T1217" s="17">
        <v>0</v>
      </c>
      <c r="U1217" s="20">
        <f t="shared" si="84"/>
        <v>0</v>
      </c>
      <c r="V1217" s="41">
        <f t="shared" si="83"/>
        <v>-100</v>
      </c>
      <c r="W1217" s="17"/>
      <c r="X1217" s="17" t="s">
        <v>56</v>
      </c>
      <c r="Z1217" s="17" t="s">
        <v>58</v>
      </c>
      <c r="AA1217" s="17" t="s">
        <v>58</v>
      </c>
      <c r="AB1217" s="17" t="s">
        <v>57</v>
      </c>
      <c r="AC1217" s="17">
        <v>2001</v>
      </c>
      <c r="AD1217" s="17">
        <v>3</v>
      </c>
      <c r="AE1217" s="17"/>
      <c r="AF1217" s="17"/>
      <c r="AG1217" s="17">
        <v>1990</v>
      </c>
      <c r="AH1217" s="14">
        <f t="shared" si="85"/>
        <v>11</v>
      </c>
      <c r="AI1217" s="17">
        <f t="shared" si="86"/>
        <v>14</v>
      </c>
      <c r="AJ1217" s="17"/>
      <c r="AK1217" s="17" t="s">
        <v>56</v>
      </c>
      <c r="AL1217" s="16" t="s">
        <v>1671</v>
      </c>
      <c r="AM1217" s="17">
        <v>2019</v>
      </c>
      <c r="AN1217" s="15" t="s">
        <v>493</v>
      </c>
      <c r="AO1217" s="15" t="s">
        <v>56</v>
      </c>
      <c r="AP1217" s="15"/>
      <c r="AQ1217" s="15" t="s">
        <v>56</v>
      </c>
      <c r="AR1217" s="15" t="s">
        <v>58</v>
      </c>
      <c r="AS1217" s="15" t="s">
        <v>62</v>
      </c>
      <c r="AT1217" s="15"/>
      <c r="AU1217" s="45"/>
      <c r="AV1217" s="15"/>
      <c r="AW1217" s="12" t="str">
        <f>B1217&amp;C1217&amp;L1217&amp;M1217&amp;O1217&amp;U1217&amp;AL1217&amp;AM1217</f>
        <v>MexicoReserve El PalmarCarangoides bartholomaeidensity0Palacios-Sánchez2019</v>
      </c>
    </row>
    <row r="1218" spans="1:49" ht="14.25" customHeight="1" x14ac:dyDescent="0.35">
      <c r="A1218" s="12">
        <v>1217</v>
      </c>
      <c r="B1218" s="12" t="s">
        <v>254</v>
      </c>
      <c r="C1218" s="12" t="s">
        <v>1669</v>
      </c>
      <c r="D1218" s="12" t="s">
        <v>1669</v>
      </c>
      <c r="E1218" s="12" t="s">
        <v>68</v>
      </c>
      <c r="F1218" s="13" t="s">
        <v>274</v>
      </c>
      <c r="G1218" s="13" t="s">
        <v>51</v>
      </c>
      <c r="H1218" s="13" t="s">
        <v>108</v>
      </c>
      <c r="I1218" s="13" t="s">
        <v>156</v>
      </c>
      <c r="K1218" s="14">
        <v>95</v>
      </c>
      <c r="L1218" s="14" t="s">
        <v>1676</v>
      </c>
      <c r="M1218" s="14"/>
      <c r="N1218" s="14" t="s">
        <v>85</v>
      </c>
      <c r="O1218" s="17" t="s">
        <v>86</v>
      </c>
      <c r="P1218" s="14"/>
      <c r="Q1218" s="14"/>
      <c r="R1218" s="14"/>
      <c r="S1218" s="14">
        <v>0.21333299999999999</v>
      </c>
      <c r="T1218" s="14">
        <v>0.18</v>
      </c>
      <c r="U1218" s="19">
        <f t="shared" si="84"/>
        <v>0.84375131836143491</v>
      </c>
      <c r="V1218" s="41">
        <f t="shared" ref="V1218:V1281" si="87">IFERROR(IF(U1218 = "", "",(U1218-1)*100),"N/A")</f>
        <v>-15.624868163856508</v>
      </c>
      <c r="W1218" s="14"/>
      <c r="X1218" s="14" t="s">
        <v>56</v>
      </c>
      <c r="Z1218" s="14" t="s">
        <v>58</v>
      </c>
      <c r="AA1218" s="14" t="s">
        <v>58</v>
      </c>
      <c r="AB1218" s="14" t="s">
        <v>57</v>
      </c>
      <c r="AC1218" s="14">
        <v>2001</v>
      </c>
      <c r="AD1218" s="14">
        <v>3</v>
      </c>
      <c r="AE1218" s="14"/>
      <c r="AF1218" s="14"/>
      <c r="AG1218" s="14">
        <v>1990</v>
      </c>
      <c r="AH1218" s="14">
        <f t="shared" si="85"/>
        <v>11</v>
      </c>
      <c r="AI1218" s="17">
        <f t="shared" si="86"/>
        <v>14</v>
      </c>
      <c r="AJ1218" s="14"/>
      <c r="AK1218" s="14" t="s">
        <v>56</v>
      </c>
      <c r="AL1218" s="13" t="s">
        <v>1671</v>
      </c>
      <c r="AM1218" s="14">
        <v>2019</v>
      </c>
      <c r="AN1218" s="12" t="s">
        <v>493</v>
      </c>
      <c r="AO1218" s="12" t="s">
        <v>56</v>
      </c>
      <c r="AP1218" s="12"/>
      <c r="AQ1218" s="12" t="s">
        <v>56</v>
      </c>
      <c r="AR1218" s="12" t="s">
        <v>58</v>
      </c>
      <c r="AS1218" s="12" t="s">
        <v>62</v>
      </c>
      <c r="AT1218" s="12"/>
      <c r="AU1218" s="45"/>
      <c r="AV1218" s="15"/>
      <c r="AW1218" s="12" t="str">
        <f>B1218&amp;C1218&amp;L1218&amp;M1218&amp;O1218&amp;U1218&amp;AL1218&amp;AM1218</f>
        <v>MexicoReserve El PalmarCaranx latusdensity0.843751318361435Palacios-Sánchez2019</v>
      </c>
    </row>
    <row r="1219" spans="1:49" ht="14.25" customHeight="1" x14ac:dyDescent="0.35">
      <c r="A1219" s="12">
        <v>1218</v>
      </c>
      <c r="B1219" s="12" t="s">
        <v>254</v>
      </c>
      <c r="C1219" s="12" t="s">
        <v>1669</v>
      </c>
      <c r="D1219" s="12" t="s">
        <v>1669</v>
      </c>
      <c r="E1219" s="12" t="s">
        <v>68</v>
      </c>
      <c r="F1219" s="13" t="s">
        <v>274</v>
      </c>
      <c r="G1219" s="13" t="s">
        <v>51</v>
      </c>
      <c r="H1219" s="13" t="s">
        <v>108</v>
      </c>
      <c r="I1219" s="13" t="s">
        <v>156</v>
      </c>
      <c r="K1219" s="17">
        <v>95</v>
      </c>
      <c r="L1219" s="14" t="s">
        <v>1677</v>
      </c>
      <c r="M1219" s="14"/>
      <c r="N1219" s="14" t="s">
        <v>85</v>
      </c>
      <c r="O1219" s="17" t="s">
        <v>86</v>
      </c>
      <c r="P1219" s="14"/>
      <c r="Q1219" s="14"/>
      <c r="R1219" s="14"/>
      <c r="S1219" s="14">
        <v>0.106667</v>
      </c>
      <c r="T1219" s="14">
        <v>0.04</v>
      </c>
      <c r="U1219" s="19">
        <f t="shared" si="84"/>
        <v>0.37499882812866209</v>
      </c>
      <c r="V1219" s="41">
        <f t="shared" si="87"/>
        <v>-62.500117187133796</v>
      </c>
      <c r="W1219" s="14"/>
      <c r="X1219" s="14" t="s">
        <v>56</v>
      </c>
      <c r="Z1219" s="14" t="s">
        <v>58</v>
      </c>
      <c r="AA1219" s="14" t="s">
        <v>58</v>
      </c>
      <c r="AB1219" s="14" t="s">
        <v>57</v>
      </c>
      <c r="AC1219" s="14">
        <v>2001</v>
      </c>
      <c r="AD1219" s="14">
        <v>3</v>
      </c>
      <c r="AE1219" s="14"/>
      <c r="AF1219" s="14"/>
      <c r="AG1219" s="14">
        <v>1990</v>
      </c>
      <c r="AH1219" s="14">
        <f t="shared" si="85"/>
        <v>11</v>
      </c>
      <c r="AI1219" s="17">
        <f t="shared" si="86"/>
        <v>14</v>
      </c>
      <c r="AJ1219" s="14"/>
      <c r="AK1219" s="14" t="s">
        <v>56</v>
      </c>
      <c r="AL1219" s="13" t="s">
        <v>1671</v>
      </c>
      <c r="AM1219" s="14">
        <v>2019</v>
      </c>
      <c r="AN1219" s="12" t="s">
        <v>493</v>
      </c>
      <c r="AO1219" s="12" t="s">
        <v>56</v>
      </c>
      <c r="AP1219" s="12"/>
      <c r="AQ1219" s="12" t="s">
        <v>56</v>
      </c>
      <c r="AR1219" s="12" t="s">
        <v>58</v>
      </c>
      <c r="AS1219" s="12" t="s">
        <v>62</v>
      </c>
      <c r="AT1219" s="12"/>
      <c r="AU1219" s="45"/>
      <c r="AV1219" s="15"/>
      <c r="AW1219" s="12" t="str">
        <f>B1219&amp;C1219&amp;L1219&amp;M1219&amp;O1219&amp;U1219&amp;AL1219&amp;AM1219</f>
        <v>MexicoReserve El PalmarCaranx crysosdensity0.374998828128662Palacios-Sánchez2019</v>
      </c>
    </row>
    <row r="1220" spans="1:49" ht="14.25" customHeight="1" x14ac:dyDescent="0.35">
      <c r="A1220" s="12">
        <v>1219</v>
      </c>
      <c r="B1220" s="12" t="s">
        <v>254</v>
      </c>
      <c r="C1220" s="12" t="s">
        <v>1669</v>
      </c>
      <c r="D1220" s="12" t="s">
        <v>1669</v>
      </c>
      <c r="E1220" s="12" t="s">
        <v>68</v>
      </c>
      <c r="F1220" s="13" t="s">
        <v>274</v>
      </c>
      <c r="G1220" s="13" t="s">
        <v>51</v>
      </c>
      <c r="H1220" s="13" t="s">
        <v>108</v>
      </c>
      <c r="I1220" s="13" t="s">
        <v>156</v>
      </c>
      <c r="K1220" s="17">
        <v>95</v>
      </c>
      <c r="L1220" s="14" t="s">
        <v>1026</v>
      </c>
      <c r="M1220" s="14"/>
      <c r="N1220" s="14" t="s">
        <v>85</v>
      </c>
      <c r="O1220" s="17" t="s">
        <v>86</v>
      </c>
      <c r="P1220" s="14"/>
      <c r="Q1220" s="14"/>
      <c r="R1220" s="14"/>
      <c r="S1220" s="14">
        <v>5.6667000000000002E-2</v>
      </c>
      <c r="T1220" s="14">
        <v>0</v>
      </c>
      <c r="U1220" s="19">
        <f t="shared" si="84"/>
        <v>0</v>
      </c>
      <c r="V1220" s="41">
        <f t="shared" si="87"/>
        <v>-100</v>
      </c>
      <c r="W1220" s="14"/>
      <c r="X1220" s="14" t="s">
        <v>56</v>
      </c>
      <c r="Z1220" s="14" t="s">
        <v>58</v>
      </c>
      <c r="AA1220" s="14" t="s">
        <v>58</v>
      </c>
      <c r="AB1220" s="14" t="s">
        <v>57</v>
      </c>
      <c r="AC1220" s="14">
        <v>2001</v>
      </c>
      <c r="AD1220" s="14">
        <v>3</v>
      </c>
      <c r="AE1220" s="14"/>
      <c r="AF1220" s="14"/>
      <c r="AG1220" s="14">
        <v>1990</v>
      </c>
      <c r="AH1220" s="14">
        <f t="shared" si="85"/>
        <v>11</v>
      </c>
      <c r="AI1220" s="17">
        <f t="shared" si="86"/>
        <v>14</v>
      </c>
      <c r="AJ1220" s="14"/>
      <c r="AK1220" s="14" t="s">
        <v>56</v>
      </c>
      <c r="AL1220" s="13" t="s">
        <v>1671</v>
      </c>
      <c r="AM1220" s="14">
        <v>2019</v>
      </c>
      <c r="AN1220" s="12" t="s">
        <v>493</v>
      </c>
      <c r="AO1220" s="12" t="s">
        <v>56</v>
      </c>
      <c r="AP1220" s="12"/>
      <c r="AQ1220" s="12" t="s">
        <v>56</v>
      </c>
      <c r="AR1220" s="12" t="s">
        <v>58</v>
      </c>
      <c r="AS1220" s="12" t="s">
        <v>62</v>
      </c>
      <c r="AT1220" s="12"/>
      <c r="AU1220" s="45"/>
      <c r="AV1220" s="15"/>
      <c r="AW1220" s="12" t="str">
        <f>B1220&amp;C1220&amp;L1220&amp;M1220&amp;O1220&amp;U1220&amp;AL1220&amp;AM1220</f>
        <v>MexicoReserve El PalmarCentropomus undecimalisdensity0Palacios-Sánchez2019</v>
      </c>
    </row>
    <row r="1221" spans="1:49" ht="14.25" customHeight="1" x14ac:dyDescent="0.35">
      <c r="A1221" s="12">
        <v>1220</v>
      </c>
      <c r="B1221" s="12" t="s">
        <v>254</v>
      </c>
      <c r="C1221" s="12" t="s">
        <v>1669</v>
      </c>
      <c r="D1221" s="12" t="s">
        <v>1669</v>
      </c>
      <c r="E1221" s="12" t="s">
        <v>68</v>
      </c>
      <c r="F1221" s="13" t="s">
        <v>274</v>
      </c>
      <c r="G1221" s="13" t="s">
        <v>51</v>
      </c>
      <c r="H1221" s="13" t="s">
        <v>108</v>
      </c>
      <c r="I1221" s="13" t="s">
        <v>156</v>
      </c>
      <c r="K1221" s="14">
        <v>95</v>
      </c>
      <c r="L1221" s="14" t="s">
        <v>1678</v>
      </c>
      <c r="M1221" s="14"/>
      <c r="N1221" s="14" t="s">
        <v>85</v>
      </c>
      <c r="O1221" s="17" t="s">
        <v>86</v>
      </c>
      <c r="P1221" s="14"/>
      <c r="Q1221" s="14"/>
      <c r="R1221" s="14"/>
      <c r="S1221" s="14">
        <v>3.6666999999999998E-2</v>
      </c>
      <c r="T1221" s="14">
        <v>0</v>
      </c>
      <c r="U1221" s="19">
        <f t="shared" si="84"/>
        <v>0</v>
      </c>
      <c r="V1221" s="41">
        <f t="shared" si="87"/>
        <v>-100</v>
      </c>
      <c r="W1221" s="14"/>
      <c r="X1221" s="14" t="s">
        <v>56</v>
      </c>
      <c r="Z1221" s="14" t="s">
        <v>58</v>
      </c>
      <c r="AA1221" s="14" t="s">
        <v>58</v>
      </c>
      <c r="AB1221" s="14" t="s">
        <v>57</v>
      </c>
      <c r="AC1221" s="14">
        <v>2001</v>
      </c>
      <c r="AD1221" s="14">
        <v>3</v>
      </c>
      <c r="AE1221" s="14"/>
      <c r="AF1221" s="14"/>
      <c r="AG1221" s="14">
        <v>1990</v>
      </c>
      <c r="AH1221" s="14">
        <f t="shared" si="85"/>
        <v>11</v>
      </c>
      <c r="AI1221" s="17">
        <f t="shared" si="86"/>
        <v>14</v>
      </c>
      <c r="AJ1221" s="14"/>
      <c r="AK1221" s="14" t="s">
        <v>56</v>
      </c>
      <c r="AL1221" s="13" t="s">
        <v>1671</v>
      </c>
      <c r="AM1221" s="14">
        <v>2019</v>
      </c>
      <c r="AN1221" s="12" t="s">
        <v>493</v>
      </c>
      <c r="AO1221" s="12" t="s">
        <v>56</v>
      </c>
      <c r="AP1221" s="12"/>
      <c r="AQ1221" s="12" t="s">
        <v>56</v>
      </c>
      <c r="AR1221" s="12" t="s">
        <v>58</v>
      </c>
      <c r="AS1221" s="12" t="s">
        <v>62</v>
      </c>
      <c r="AT1221" s="12"/>
      <c r="AU1221" s="45"/>
      <c r="AV1221" s="15"/>
      <c r="AW1221" s="12" t="str">
        <f>B1221&amp;C1221&amp;L1221&amp;M1221&amp;O1221&amp;U1221&amp;AL1221&amp;AM1221</f>
        <v>MexicoReserve El PalmarLobotes surinamensisdensity0Palacios-Sánchez2019</v>
      </c>
    </row>
    <row r="1222" spans="1:49" ht="14.25" customHeight="1" x14ac:dyDescent="0.35">
      <c r="A1222" s="12">
        <v>1221</v>
      </c>
      <c r="B1222" s="15" t="s">
        <v>254</v>
      </c>
      <c r="C1222" s="15" t="s">
        <v>1669</v>
      </c>
      <c r="D1222" s="12" t="s">
        <v>1669</v>
      </c>
      <c r="E1222" s="15" t="s">
        <v>68</v>
      </c>
      <c r="F1222" s="16" t="s">
        <v>274</v>
      </c>
      <c r="G1222" s="16" t="s">
        <v>51</v>
      </c>
      <c r="H1222" s="16" t="s">
        <v>108</v>
      </c>
      <c r="I1222" s="16" t="s">
        <v>156</v>
      </c>
      <c r="J1222" s="17"/>
      <c r="K1222" s="17">
        <v>95</v>
      </c>
      <c r="L1222" s="17" t="s">
        <v>1679</v>
      </c>
      <c r="M1222" s="14"/>
      <c r="N1222" s="14" t="s">
        <v>85</v>
      </c>
      <c r="O1222" s="17" t="s">
        <v>86</v>
      </c>
      <c r="P1222" s="17"/>
      <c r="Q1222" s="17"/>
      <c r="R1222" s="17"/>
      <c r="S1222" s="17">
        <v>0.88333300000000003</v>
      </c>
      <c r="T1222" s="17">
        <v>1.82</v>
      </c>
      <c r="U1222" s="20">
        <f t="shared" si="84"/>
        <v>2.0603781359917495</v>
      </c>
      <c r="V1222" s="41">
        <f t="shared" si="87"/>
        <v>106.03781359917494</v>
      </c>
      <c r="W1222" s="17"/>
      <c r="X1222" s="17" t="s">
        <v>56</v>
      </c>
      <c r="Z1222" s="17" t="s">
        <v>58</v>
      </c>
      <c r="AA1222" s="17" t="s">
        <v>58</v>
      </c>
      <c r="AB1222" s="17" t="s">
        <v>57</v>
      </c>
      <c r="AC1222" s="17">
        <v>2001</v>
      </c>
      <c r="AD1222" s="17">
        <v>3</v>
      </c>
      <c r="AE1222" s="17"/>
      <c r="AF1222" s="17"/>
      <c r="AG1222" s="17">
        <v>1990</v>
      </c>
      <c r="AH1222" s="14">
        <f t="shared" si="85"/>
        <v>11</v>
      </c>
      <c r="AI1222" s="17">
        <f t="shared" si="86"/>
        <v>14</v>
      </c>
      <c r="AJ1222" s="17"/>
      <c r="AK1222" s="17" t="s">
        <v>56</v>
      </c>
      <c r="AL1222" s="16" t="s">
        <v>1671</v>
      </c>
      <c r="AM1222" s="17">
        <v>2019</v>
      </c>
      <c r="AN1222" s="12" t="s">
        <v>493</v>
      </c>
      <c r="AO1222" s="15" t="s">
        <v>56</v>
      </c>
      <c r="AP1222" s="15"/>
      <c r="AQ1222" s="15" t="s">
        <v>56</v>
      </c>
      <c r="AR1222" s="15" t="s">
        <v>58</v>
      </c>
      <c r="AS1222" s="15" t="s">
        <v>62</v>
      </c>
      <c r="AT1222" s="15"/>
      <c r="AU1222" s="45"/>
      <c r="AV1222" s="15"/>
      <c r="AW1222" s="12" t="str">
        <f>B1222&amp;C1222&amp;L1222&amp;M1222&amp;O1222&amp;U1222&amp;AL1222&amp;AM1222</f>
        <v>MexicoReserve El PalmarCynoscion arenariusdensity2.06037813599175Palacios-Sánchez2019</v>
      </c>
    </row>
    <row r="1223" spans="1:49" ht="14.25" customHeight="1" x14ac:dyDescent="0.35">
      <c r="A1223" s="12">
        <v>1222</v>
      </c>
      <c r="B1223" s="15" t="s">
        <v>254</v>
      </c>
      <c r="C1223" s="15" t="s">
        <v>1669</v>
      </c>
      <c r="D1223" s="12" t="s">
        <v>1669</v>
      </c>
      <c r="E1223" s="12" t="s">
        <v>68</v>
      </c>
      <c r="F1223" s="13" t="s">
        <v>274</v>
      </c>
      <c r="G1223" s="13" t="s">
        <v>51</v>
      </c>
      <c r="H1223" s="16" t="s">
        <v>108</v>
      </c>
      <c r="I1223" s="16" t="s">
        <v>156</v>
      </c>
      <c r="J1223" s="17"/>
      <c r="K1223" s="17">
        <v>95</v>
      </c>
      <c r="L1223" s="17" t="s">
        <v>830</v>
      </c>
      <c r="M1223" s="17" t="s">
        <v>2780</v>
      </c>
      <c r="N1223" s="14" t="s">
        <v>85</v>
      </c>
      <c r="O1223" s="17" t="s">
        <v>86</v>
      </c>
      <c r="P1223" s="17"/>
      <c r="Q1223" s="17"/>
      <c r="R1223" s="17"/>
      <c r="S1223" s="17">
        <v>0.04</v>
      </c>
      <c r="T1223" s="17">
        <v>0</v>
      </c>
      <c r="U1223" s="19">
        <f t="shared" si="84"/>
        <v>0</v>
      </c>
      <c r="V1223" s="41">
        <f t="shared" si="87"/>
        <v>-100</v>
      </c>
      <c r="W1223" s="14"/>
      <c r="X1223" s="17" t="s">
        <v>56</v>
      </c>
      <c r="Z1223" s="17" t="s">
        <v>58</v>
      </c>
      <c r="AA1223" s="17" t="s">
        <v>58</v>
      </c>
      <c r="AB1223" s="17" t="s">
        <v>57</v>
      </c>
      <c r="AC1223" s="17">
        <v>2001</v>
      </c>
      <c r="AD1223" s="17">
        <v>3</v>
      </c>
      <c r="AE1223" s="17"/>
      <c r="AF1223" s="17"/>
      <c r="AG1223" s="17">
        <v>1990</v>
      </c>
      <c r="AH1223" s="14">
        <f t="shared" si="85"/>
        <v>11</v>
      </c>
      <c r="AI1223" s="17">
        <f t="shared" si="86"/>
        <v>14</v>
      </c>
      <c r="AJ1223" s="17"/>
      <c r="AK1223" s="17" t="s">
        <v>56</v>
      </c>
      <c r="AL1223" s="16" t="s">
        <v>1671</v>
      </c>
      <c r="AM1223" s="17">
        <v>2019</v>
      </c>
      <c r="AN1223" s="15" t="s">
        <v>493</v>
      </c>
      <c r="AO1223" s="15" t="s">
        <v>56</v>
      </c>
      <c r="AP1223" s="15"/>
      <c r="AQ1223" s="15" t="s">
        <v>56</v>
      </c>
      <c r="AR1223" s="15" t="s">
        <v>58</v>
      </c>
      <c r="AS1223" s="15" t="s">
        <v>62</v>
      </c>
      <c r="AT1223" s="12"/>
      <c r="AU1223" s="45"/>
      <c r="AV1223" s="15"/>
      <c r="AW1223" s="12" t="str">
        <f>B1223&amp;C1223&amp;L1223&amp;M1223&amp;O1223&amp;U1223&amp;AL1223&amp;AM1223</f>
        <v>MexicoReserve El PalmarSphyraena barracudagreat barradcudadensity0Palacios-Sánchez2019</v>
      </c>
    </row>
    <row r="1224" spans="1:49" ht="14.25" customHeight="1" x14ac:dyDescent="0.35">
      <c r="A1224" s="12">
        <v>1223</v>
      </c>
      <c r="B1224" s="15" t="s">
        <v>254</v>
      </c>
      <c r="C1224" s="15" t="s">
        <v>1669</v>
      </c>
      <c r="D1224" s="12" t="s">
        <v>1669</v>
      </c>
      <c r="E1224" s="12" t="s">
        <v>68</v>
      </c>
      <c r="F1224" s="13" t="s">
        <v>274</v>
      </c>
      <c r="G1224" s="13" t="s">
        <v>51</v>
      </c>
      <c r="H1224" s="16" t="s">
        <v>108</v>
      </c>
      <c r="I1224" s="16" t="s">
        <v>156</v>
      </c>
      <c r="J1224" s="17"/>
      <c r="K1224" s="17">
        <v>95</v>
      </c>
      <c r="L1224" s="17" t="s">
        <v>1680</v>
      </c>
      <c r="M1224" s="17"/>
      <c r="N1224" s="14" t="s">
        <v>85</v>
      </c>
      <c r="O1224" s="17" t="s">
        <v>86</v>
      </c>
      <c r="P1224" s="17"/>
      <c r="Q1224" s="17"/>
      <c r="R1224" s="17"/>
      <c r="S1224" s="17">
        <v>0.54666700000000001</v>
      </c>
      <c r="T1224" s="17">
        <v>0.54</v>
      </c>
      <c r="U1224" s="19">
        <f t="shared" si="84"/>
        <v>0.98780427572910023</v>
      </c>
      <c r="V1224" s="41">
        <f t="shared" si="87"/>
        <v>-1.2195724270899766</v>
      </c>
      <c r="W1224" s="14"/>
      <c r="X1224" s="17" t="s">
        <v>56</v>
      </c>
      <c r="Z1224" s="17" t="s">
        <v>58</v>
      </c>
      <c r="AA1224" s="17" t="s">
        <v>58</v>
      </c>
      <c r="AB1224" s="17" t="s">
        <v>57</v>
      </c>
      <c r="AC1224" s="17">
        <v>2001</v>
      </c>
      <c r="AD1224" s="17">
        <v>3</v>
      </c>
      <c r="AE1224" s="17"/>
      <c r="AF1224" s="17"/>
      <c r="AG1224" s="17">
        <v>1990</v>
      </c>
      <c r="AH1224" s="14">
        <f t="shared" si="85"/>
        <v>11</v>
      </c>
      <c r="AI1224" s="17">
        <f t="shared" si="86"/>
        <v>14</v>
      </c>
      <c r="AJ1224" s="17"/>
      <c r="AK1224" s="17" t="s">
        <v>56</v>
      </c>
      <c r="AL1224" s="16" t="s">
        <v>1671</v>
      </c>
      <c r="AM1224" s="17">
        <v>2019</v>
      </c>
      <c r="AN1224" s="15" t="s">
        <v>493</v>
      </c>
      <c r="AO1224" s="15" t="s">
        <v>56</v>
      </c>
      <c r="AP1224" s="15"/>
      <c r="AQ1224" s="15" t="s">
        <v>56</v>
      </c>
      <c r="AR1224" s="15" t="s">
        <v>58</v>
      </c>
      <c r="AS1224" s="15" t="s">
        <v>62</v>
      </c>
      <c r="AT1224" s="12"/>
      <c r="AU1224" s="45"/>
      <c r="AV1224" s="15"/>
      <c r="AW1224" s="12" t="str">
        <f>B1224&amp;C1224&amp;L1224&amp;M1224&amp;O1224&amp;U1224&amp;AL1224&amp;AM1224</f>
        <v>MexicoReserve El PalmarSynodus foetensdensity0.9878042757291Palacios-Sánchez2019</v>
      </c>
    </row>
    <row r="1225" spans="1:49" ht="14.25" customHeight="1" x14ac:dyDescent="0.35">
      <c r="A1225" s="12">
        <v>1224</v>
      </c>
      <c r="B1225" s="15" t="s">
        <v>254</v>
      </c>
      <c r="C1225" s="15" t="s">
        <v>1669</v>
      </c>
      <c r="D1225" s="12" t="s">
        <v>1669</v>
      </c>
      <c r="E1225" s="15" t="s">
        <v>68</v>
      </c>
      <c r="F1225" s="13" t="s">
        <v>274</v>
      </c>
      <c r="G1225" s="13" t="s">
        <v>51</v>
      </c>
      <c r="H1225" s="16" t="s">
        <v>108</v>
      </c>
      <c r="I1225" s="16" t="s">
        <v>156</v>
      </c>
      <c r="J1225" s="17"/>
      <c r="K1225" s="17">
        <v>95</v>
      </c>
      <c r="L1225" s="17" t="s">
        <v>1027</v>
      </c>
      <c r="M1225" s="17"/>
      <c r="N1225" s="14" t="s">
        <v>85</v>
      </c>
      <c r="O1225" s="17" t="s">
        <v>86</v>
      </c>
      <c r="P1225" s="17"/>
      <c r="Q1225" s="17"/>
      <c r="R1225" s="17"/>
      <c r="S1225" s="17">
        <v>45.586669999999998</v>
      </c>
      <c r="T1225" s="17">
        <v>116.3</v>
      </c>
      <c r="U1225" s="20">
        <f t="shared" si="84"/>
        <v>2.5511843703433481</v>
      </c>
      <c r="V1225" s="41">
        <f t="shared" si="87"/>
        <v>155.11843703433482</v>
      </c>
      <c r="W1225" s="17"/>
      <c r="X1225" s="17" t="s">
        <v>56</v>
      </c>
      <c r="Z1225" s="17" t="s">
        <v>58</v>
      </c>
      <c r="AA1225" s="17" t="s">
        <v>58</v>
      </c>
      <c r="AB1225" s="17" t="s">
        <v>57</v>
      </c>
      <c r="AC1225" s="17">
        <v>2001</v>
      </c>
      <c r="AD1225" s="17">
        <v>3</v>
      </c>
      <c r="AE1225" s="17"/>
      <c r="AF1225" s="17"/>
      <c r="AG1225" s="17">
        <v>1990</v>
      </c>
      <c r="AH1225" s="14">
        <f t="shared" si="85"/>
        <v>11</v>
      </c>
      <c r="AI1225" s="17">
        <f t="shared" si="86"/>
        <v>14</v>
      </c>
      <c r="AJ1225" s="17"/>
      <c r="AK1225" s="17" t="s">
        <v>56</v>
      </c>
      <c r="AL1225" s="16" t="s">
        <v>1671</v>
      </c>
      <c r="AM1225" s="17">
        <v>2019</v>
      </c>
      <c r="AN1225" s="15" t="s">
        <v>493</v>
      </c>
      <c r="AO1225" s="15" t="s">
        <v>56</v>
      </c>
      <c r="AP1225" s="15"/>
      <c r="AQ1225" s="15" t="s">
        <v>56</v>
      </c>
      <c r="AR1225" s="15" t="s">
        <v>58</v>
      </c>
      <c r="AS1225" s="15" t="s">
        <v>62</v>
      </c>
      <c r="AT1225" s="15"/>
      <c r="AU1225" s="45"/>
      <c r="AV1225" s="15"/>
      <c r="AW1225" s="12" t="str">
        <f>B1225&amp;C1225&amp;L1225&amp;M1225&amp;O1225&amp;U1225&amp;AL1225&amp;AM1225</f>
        <v>MexicoReserve El PalmarHarengula jaguanadensity2.55118437034335Palacios-Sánchez2019</v>
      </c>
    </row>
    <row r="1226" spans="1:49" ht="14.25" customHeight="1" x14ac:dyDescent="0.35">
      <c r="A1226" s="12">
        <v>1225</v>
      </c>
      <c r="B1226" s="15" t="s">
        <v>254</v>
      </c>
      <c r="C1226" s="15" t="s">
        <v>1669</v>
      </c>
      <c r="D1226" s="12" t="s">
        <v>1669</v>
      </c>
      <c r="E1226" s="12" t="s">
        <v>68</v>
      </c>
      <c r="F1226" s="13" t="s">
        <v>274</v>
      </c>
      <c r="G1226" s="13" t="s">
        <v>51</v>
      </c>
      <c r="H1226" s="16" t="s">
        <v>108</v>
      </c>
      <c r="I1226" s="16" t="s">
        <v>156</v>
      </c>
      <c r="J1226" s="17"/>
      <c r="K1226" s="17">
        <v>95</v>
      </c>
      <c r="L1226" s="17" t="s">
        <v>1681</v>
      </c>
      <c r="M1226" s="17"/>
      <c r="N1226" s="14" t="s">
        <v>85</v>
      </c>
      <c r="O1226" s="17" t="s">
        <v>86</v>
      </c>
      <c r="P1226" s="17"/>
      <c r="Q1226" s="17"/>
      <c r="R1226" s="17"/>
      <c r="S1226" s="17">
        <v>1.2166669999999999</v>
      </c>
      <c r="T1226" s="17">
        <v>0</v>
      </c>
      <c r="U1226" s="19">
        <f t="shared" si="84"/>
        <v>0</v>
      </c>
      <c r="V1226" s="41">
        <f t="shared" si="87"/>
        <v>-100</v>
      </c>
      <c r="W1226" s="14"/>
      <c r="X1226" s="17" t="s">
        <v>56</v>
      </c>
      <c r="Z1226" s="17" t="s">
        <v>58</v>
      </c>
      <c r="AA1226" s="17" t="s">
        <v>58</v>
      </c>
      <c r="AB1226" s="17" t="s">
        <v>57</v>
      </c>
      <c r="AC1226" s="17">
        <v>2001</v>
      </c>
      <c r="AD1226" s="17">
        <v>3</v>
      </c>
      <c r="AE1226" s="17"/>
      <c r="AF1226" s="17"/>
      <c r="AG1226" s="17">
        <v>1990</v>
      </c>
      <c r="AH1226" s="14">
        <f t="shared" si="85"/>
        <v>11</v>
      </c>
      <c r="AI1226" s="17">
        <f t="shared" si="86"/>
        <v>14</v>
      </c>
      <c r="AJ1226" s="17"/>
      <c r="AK1226" s="17" t="s">
        <v>56</v>
      </c>
      <c r="AL1226" s="16" t="s">
        <v>1671</v>
      </c>
      <c r="AM1226" s="17">
        <v>2019</v>
      </c>
      <c r="AN1226" s="15" t="s">
        <v>493</v>
      </c>
      <c r="AO1226" s="15" t="s">
        <v>56</v>
      </c>
      <c r="AP1226" s="15"/>
      <c r="AQ1226" s="15" t="s">
        <v>56</v>
      </c>
      <c r="AR1226" s="15" t="s">
        <v>58</v>
      </c>
      <c r="AS1226" s="15" t="s">
        <v>62</v>
      </c>
      <c r="AT1226" s="12"/>
      <c r="AU1226" s="45"/>
      <c r="AV1226" s="15"/>
      <c r="AW1226" s="12" t="str">
        <f>B1226&amp;C1226&amp;L1226&amp;M1226&amp;O1226&amp;U1226&amp;AL1226&amp;AM1226</f>
        <v>MexicoReserve El PalmarHarengula humeralisdensity0Palacios-Sánchez2019</v>
      </c>
    </row>
    <row r="1227" spans="1:49" ht="14.25" customHeight="1" x14ac:dyDescent="0.35">
      <c r="A1227" s="12">
        <v>1226</v>
      </c>
      <c r="B1227" s="15" t="s">
        <v>254</v>
      </c>
      <c r="C1227" s="15" t="s">
        <v>1669</v>
      </c>
      <c r="D1227" s="12" t="s">
        <v>1669</v>
      </c>
      <c r="E1227" s="12" t="s">
        <v>68</v>
      </c>
      <c r="F1227" s="13" t="s">
        <v>274</v>
      </c>
      <c r="G1227" s="13" t="s">
        <v>51</v>
      </c>
      <c r="H1227" s="16" t="s">
        <v>108</v>
      </c>
      <c r="I1227" s="16" t="s">
        <v>156</v>
      </c>
      <c r="J1227" s="17"/>
      <c r="K1227" s="17">
        <v>95</v>
      </c>
      <c r="L1227" s="17" t="s">
        <v>1039</v>
      </c>
      <c r="M1227" s="17"/>
      <c r="N1227" s="14" t="s">
        <v>85</v>
      </c>
      <c r="O1227" s="17" t="s">
        <v>86</v>
      </c>
      <c r="P1227" s="17"/>
      <c r="Q1227" s="17"/>
      <c r="R1227" s="17"/>
      <c r="S1227" s="17">
        <v>1.006667</v>
      </c>
      <c r="T1227" s="17">
        <v>15.56</v>
      </c>
      <c r="U1227" s="19">
        <f t="shared" si="84"/>
        <v>15.456948524189231</v>
      </c>
      <c r="V1227" s="41">
        <f t="shared" si="87"/>
        <v>1445.6948524189231</v>
      </c>
      <c r="W1227" s="14"/>
      <c r="X1227" s="17" t="s">
        <v>56</v>
      </c>
      <c r="Z1227" s="17" t="s">
        <v>58</v>
      </c>
      <c r="AA1227" s="17" t="s">
        <v>58</v>
      </c>
      <c r="AB1227" s="17" t="s">
        <v>57</v>
      </c>
      <c r="AC1227" s="17">
        <v>2001</v>
      </c>
      <c r="AD1227" s="17">
        <v>3</v>
      </c>
      <c r="AE1227" s="17"/>
      <c r="AF1227" s="17"/>
      <c r="AG1227" s="17">
        <v>1990</v>
      </c>
      <c r="AH1227" s="14">
        <f t="shared" si="85"/>
        <v>11</v>
      </c>
      <c r="AI1227" s="17">
        <f t="shared" si="86"/>
        <v>14</v>
      </c>
      <c r="AJ1227" s="17"/>
      <c r="AK1227" s="17" t="s">
        <v>56</v>
      </c>
      <c r="AL1227" s="16" t="s">
        <v>1671</v>
      </c>
      <c r="AM1227" s="17">
        <v>2019</v>
      </c>
      <c r="AN1227" s="15" t="s">
        <v>493</v>
      </c>
      <c r="AO1227" s="15" t="s">
        <v>56</v>
      </c>
      <c r="AP1227" s="15"/>
      <c r="AQ1227" s="15" t="s">
        <v>56</v>
      </c>
      <c r="AR1227" s="15" t="s">
        <v>58</v>
      </c>
      <c r="AS1227" s="15" t="s">
        <v>62</v>
      </c>
      <c r="AT1227" s="12"/>
      <c r="AU1227" s="45"/>
      <c r="AV1227" s="15"/>
      <c r="AW1227" s="12" t="str">
        <f>B1227&amp;C1227&amp;L1227&amp;M1227&amp;O1227&amp;U1227&amp;AL1227&amp;AM1227</f>
        <v>MexicoReserve El PalmarOpisthonema oglinumdensity15.4569485241892Palacios-Sánchez2019</v>
      </c>
    </row>
    <row r="1228" spans="1:49" ht="14.25" customHeight="1" x14ac:dyDescent="0.35">
      <c r="A1228" s="12">
        <v>1227</v>
      </c>
      <c r="B1228" s="15" t="s">
        <v>254</v>
      </c>
      <c r="C1228" s="15" t="s">
        <v>1669</v>
      </c>
      <c r="D1228" s="12" t="s">
        <v>1669</v>
      </c>
      <c r="E1228" s="12" t="s">
        <v>68</v>
      </c>
      <c r="F1228" s="13" t="s">
        <v>274</v>
      </c>
      <c r="G1228" s="13" t="s">
        <v>51</v>
      </c>
      <c r="H1228" s="16" t="s">
        <v>108</v>
      </c>
      <c r="I1228" s="16" t="s">
        <v>156</v>
      </c>
      <c r="J1228" s="17"/>
      <c r="K1228" s="17">
        <v>95</v>
      </c>
      <c r="L1228" s="17" t="s">
        <v>1682</v>
      </c>
      <c r="M1228" s="17"/>
      <c r="N1228" s="14" t="s">
        <v>85</v>
      </c>
      <c r="O1228" s="17" t="s">
        <v>86</v>
      </c>
      <c r="P1228" s="17"/>
      <c r="Q1228" s="17"/>
      <c r="R1228" s="17"/>
      <c r="S1228" s="17">
        <v>16.51333</v>
      </c>
      <c r="T1228" s="17">
        <v>29.8</v>
      </c>
      <c r="U1228" s="19">
        <f t="shared" si="84"/>
        <v>1.8046027058140304</v>
      </c>
      <c r="V1228" s="41">
        <f t="shared" si="87"/>
        <v>80.460270581403037</v>
      </c>
      <c r="W1228" s="14"/>
      <c r="X1228" s="17" t="s">
        <v>56</v>
      </c>
      <c r="Z1228" s="17" t="s">
        <v>58</v>
      </c>
      <c r="AA1228" s="17" t="s">
        <v>58</v>
      </c>
      <c r="AB1228" s="17" t="s">
        <v>57</v>
      </c>
      <c r="AC1228" s="17">
        <v>2001</v>
      </c>
      <c r="AD1228" s="17">
        <v>3</v>
      </c>
      <c r="AE1228" s="17"/>
      <c r="AF1228" s="17"/>
      <c r="AG1228" s="17">
        <v>1990</v>
      </c>
      <c r="AH1228" s="14">
        <f t="shared" si="85"/>
        <v>11</v>
      </c>
      <c r="AI1228" s="17">
        <f t="shared" si="86"/>
        <v>14</v>
      </c>
      <c r="AJ1228" s="17"/>
      <c r="AK1228" s="17" t="s">
        <v>56</v>
      </c>
      <c r="AL1228" s="16" t="s">
        <v>1671</v>
      </c>
      <c r="AM1228" s="17">
        <v>2019</v>
      </c>
      <c r="AN1228" s="15" t="s">
        <v>493</v>
      </c>
      <c r="AO1228" s="15" t="s">
        <v>56</v>
      </c>
      <c r="AP1228" s="15"/>
      <c r="AQ1228" s="15" t="s">
        <v>56</v>
      </c>
      <c r="AR1228" s="15" t="s">
        <v>58</v>
      </c>
      <c r="AS1228" s="15" t="s">
        <v>62</v>
      </c>
      <c r="AT1228" s="12"/>
      <c r="AU1228" s="45"/>
      <c r="AV1228" s="15"/>
      <c r="AW1228" s="12" t="str">
        <f>B1228&amp;C1228&amp;L1228&amp;M1228&amp;O1228&amp;U1228&amp;AL1228&amp;AM1228</f>
        <v>MexicoReserve El PalmarAnchoa mitchillidensity1.80460270581403Palacios-Sánchez2019</v>
      </c>
    </row>
    <row r="1229" spans="1:49" ht="14.25" customHeight="1" x14ac:dyDescent="0.35">
      <c r="A1229" s="12">
        <v>1228</v>
      </c>
      <c r="B1229" s="15" t="s">
        <v>254</v>
      </c>
      <c r="C1229" s="15" t="s">
        <v>1669</v>
      </c>
      <c r="D1229" s="12" t="s">
        <v>1669</v>
      </c>
      <c r="E1229" s="15" t="s">
        <v>68</v>
      </c>
      <c r="F1229" s="16" t="s">
        <v>274</v>
      </c>
      <c r="G1229" s="16" t="s">
        <v>51</v>
      </c>
      <c r="H1229" s="16" t="s">
        <v>108</v>
      </c>
      <c r="I1229" s="16" t="s">
        <v>156</v>
      </c>
      <c r="J1229" s="17"/>
      <c r="K1229" s="17">
        <v>95</v>
      </c>
      <c r="L1229" s="17" t="s">
        <v>1683</v>
      </c>
      <c r="M1229" s="17"/>
      <c r="N1229" s="14" t="s">
        <v>85</v>
      </c>
      <c r="O1229" s="17" t="s">
        <v>86</v>
      </c>
      <c r="P1229" s="17"/>
      <c r="Q1229" s="17"/>
      <c r="R1229" s="17"/>
      <c r="S1229" s="17">
        <v>8.49</v>
      </c>
      <c r="T1229" s="17">
        <v>14.73</v>
      </c>
      <c r="U1229" s="20">
        <f t="shared" si="84"/>
        <v>1.7349823321554771</v>
      </c>
      <c r="V1229" s="41">
        <f t="shared" si="87"/>
        <v>73.498233215547714</v>
      </c>
      <c r="W1229" s="17"/>
      <c r="X1229" s="17" t="s">
        <v>56</v>
      </c>
      <c r="Z1229" s="17" t="s">
        <v>58</v>
      </c>
      <c r="AA1229" s="17" t="s">
        <v>58</v>
      </c>
      <c r="AB1229" s="17" t="s">
        <v>57</v>
      </c>
      <c r="AC1229" s="17">
        <v>2001</v>
      </c>
      <c r="AD1229" s="17">
        <v>3</v>
      </c>
      <c r="AE1229" s="17"/>
      <c r="AF1229" s="17"/>
      <c r="AG1229" s="17">
        <v>1990</v>
      </c>
      <c r="AH1229" s="14">
        <f t="shared" si="85"/>
        <v>11</v>
      </c>
      <c r="AI1229" s="17">
        <f t="shared" si="86"/>
        <v>14</v>
      </c>
      <c r="AJ1229" s="17"/>
      <c r="AK1229" s="17" t="s">
        <v>56</v>
      </c>
      <c r="AL1229" s="16" t="s">
        <v>1671</v>
      </c>
      <c r="AM1229" s="17">
        <v>2019</v>
      </c>
      <c r="AN1229" s="15" t="s">
        <v>493</v>
      </c>
      <c r="AO1229" s="15" t="s">
        <v>56</v>
      </c>
      <c r="AP1229" s="15"/>
      <c r="AQ1229" s="15" t="s">
        <v>56</v>
      </c>
      <c r="AR1229" s="15" t="s">
        <v>58</v>
      </c>
      <c r="AS1229" s="15" t="s">
        <v>62</v>
      </c>
      <c r="AT1229" s="15"/>
      <c r="AU1229" s="45"/>
      <c r="AV1229" s="15"/>
      <c r="AW1229" s="12" t="str">
        <f>B1229&amp;C1229&amp;L1229&amp;M1229&amp;O1229&amp;U1229&amp;AL1229&amp;AM1229</f>
        <v>MexicoReserve El PalmarAnchoa lamprotaeniadensity1.73498233215548Palacios-Sánchez2019</v>
      </c>
    </row>
    <row r="1230" spans="1:49" ht="14.25" customHeight="1" x14ac:dyDescent="0.35">
      <c r="A1230" s="12">
        <v>1229</v>
      </c>
      <c r="B1230" s="12" t="s">
        <v>254</v>
      </c>
      <c r="C1230" s="12" t="s">
        <v>1669</v>
      </c>
      <c r="D1230" s="12" t="s">
        <v>1669</v>
      </c>
      <c r="E1230" s="12" t="s">
        <v>68</v>
      </c>
      <c r="F1230" s="13" t="s">
        <v>274</v>
      </c>
      <c r="G1230" s="13" t="s">
        <v>51</v>
      </c>
      <c r="H1230" s="13" t="s">
        <v>108</v>
      </c>
      <c r="I1230" s="13" t="s">
        <v>156</v>
      </c>
      <c r="J1230" s="17"/>
      <c r="K1230" s="14">
        <v>95</v>
      </c>
      <c r="L1230" s="14" t="s">
        <v>1684</v>
      </c>
      <c r="M1230" s="14"/>
      <c r="N1230" s="14" t="s">
        <v>85</v>
      </c>
      <c r="O1230" s="17" t="s">
        <v>86</v>
      </c>
      <c r="P1230" s="14"/>
      <c r="Q1230" s="14"/>
      <c r="R1230" s="14"/>
      <c r="S1230" s="14">
        <v>0.39</v>
      </c>
      <c r="T1230" s="14">
        <v>9.42</v>
      </c>
      <c r="U1230" s="19">
        <f t="shared" si="84"/>
        <v>24.153846153846153</v>
      </c>
      <c r="V1230" s="41">
        <f t="shared" si="87"/>
        <v>2315.3846153846152</v>
      </c>
      <c r="W1230" s="14"/>
      <c r="X1230" s="14" t="s">
        <v>56</v>
      </c>
      <c r="Z1230" s="14" t="s">
        <v>58</v>
      </c>
      <c r="AA1230" s="14" t="s">
        <v>58</v>
      </c>
      <c r="AB1230" s="14" t="s">
        <v>57</v>
      </c>
      <c r="AC1230" s="14">
        <v>2001</v>
      </c>
      <c r="AD1230" s="14">
        <v>3</v>
      </c>
      <c r="AE1230" s="14"/>
      <c r="AF1230" s="14"/>
      <c r="AG1230" s="14">
        <v>1990</v>
      </c>
      <c r="AH1230" s="14">
        <f t="shared" si="85"/>
        <v>11</v>
      </c>
      <c r="AI1230" s="17">
        <f t="shared" si="86"/>
        <v>14</v>
      </c>
      <c r="AJ1230" s="14"/>
      <c r="AK1230" s="14" t="s">
        <v>56</v>
      </c>
      <c r="AL1230" s="13" t="s">
        <v>1671</v>
      </c>
      <c r="AM1230" s="14">
        <v>2019</v>
      </c>
      <c r="AN1230" s="12" t="s">
        <v>493</v>
      </c>
      <c r="AO1230" s="12" t="s">
        <v>56</v>
      </c>
      <c r="AP1230" s="12"/>
      <c r="AQ1230" s="12" t="s">
        <v>56</v>
      </c>
      <c r="AR1230" s="12" t="s">
        <v>58</v>
      </c>
      <c r="AS1230" s="12" t="s">
        <v>62</v>
      </c>
      <c r="AT1230" s="12"/>
      <c r="AU1230" s="45"/>
      <c r="AV1230" s="15"/>
      <c r="AW1230" s="12" t="str">
        <f>B1230&amp;C1230&amp;L1230&amp;M1230&amp;O1230&amp;U1230&amp;AL1230&amp;AM1230</f>
        <v>MexicoReserve El PalmarAnchoa lyolepisdensity24.1538461538462Palacios-Sánchez2019</v>
      </c>
    </row>
    <row r="1231" spans="1:49" ht="14.25" customHeight="1" x14ac:dyDescent="0.35">
      <c r="A1231" s="12">
        <v>1230</v>
      </c>
      <c r="B1231" s="12" t="s">
        <v>254</v>
      </c>
      <c r="C1231" s="12" t="s">
        <v>1669</v>
      </c>
      <c r="D1231" s="12" t="s">
        <v>1669</v>
      </c>
      <c r="E1231" s="12" t="s">
        <v>68</v>
      </c>
      <c r="F1231" s="13" t="s">
        <v>274</v>
      </c>
      <c r="G1231" s="13" t="s">
        <v>51</v>
      </c>
      <c r="H1231" s="13" t="s">
        <v>108</v>
      </c>
      <c r="I1231" s="13" t="s">
        <v>156</v>
      </c>
      <c r="J1231" s="17"/>
      <c r="K1231" s="17">
        <v>95</v>
      </c>
      <c r="L1231" s="14" t="s">
        <v>1685</v>
      </c>
      <c r="M1231" s="14"/>
      <c r="N1231" s="14" t="s">
        <v>85</v>
      </c>
      <c r="O1231" s="17" t="s">
        <v>86</v>
      </c>
      <c r="P1231" s="14"/>
      <c r="Q1231" s="14"/>
      <c r="R1231" s="14"/>
      <c r="S1231" s="14">
        <v>0</v>
      </c>
      <c r="T1231" s="14">
        <v>17.600000000000001</v>
      </c>
      <c r="U1231" s="19" t="str">
        <f t="shared" si="84"/>
        <v>N/A</v>
      </c>
      <c r="V1231" s="41" t="str">
        <f t="shared" si="87"/>
        <v>N/A</v>
      </c>
      <c r="W1231" s="14"/>
      <c r="X1231" s="14" t="s">
        <v>56</v>
      </c>
      <c r="Z1231" s="14" t="s">
        <v>58</v>
      </c>
      <c r="AA1231" s="14" t="s">
        <v>58</v>
      </c>
      <c r="AB1231" s="14" t="s">
        <v>57</v>
      </c>
      <c r="AC1231" s="14">
        <v>2001</v>
      </c>
      <c r="AD1231" s="14">
        <v>3</v>
      </c>
      <c r="AE1231" s="14"/>
      <c r="AF1231" s="14"/>
      <c r="AG1231" s="14">
        <v>1990</v>
      </c>
      <c r="AH1231" s="14">
        <f t="shared" si="85"/>
        <v>11</v>
      </c>
      <c r="AI1231" s="17">
        <f t="shared" si="86"/>
        <v>14</v>
      </c>
      <c r="AJ1231" s="14"/>
      <c r="AK1231" s="14" t="s">
        <v>56</v>
      </c>
      <c r="AL1231" s="13" t="s">
        <v>1671</v>
      </c>
      <c r="AM1231" s="14">
        <v>2019</v>
      </c>
      <c r="AN1231" s="12" t="s">
        <v>493</v>
      </c>
      <c r="AO1231" s="12" t="s">
        <v>56</v>
      </c>
      <c r="AP1231" s="12"/>
      <c r="AQ1231" s="12" t="s">
        <v>56</v>
      </c>
      <c r="AR1231" s="12" t="s">
        <v>58</v>
      </c>
      <c r="AS1231" s="12" t="s">
        <v>62</v>
      </c>
      <c r="AT1231" s="12"/>
      <c r="AU1231" s="45"/>
      <c r="AV1231" s="15"/>
      <c r="AW1231" s="12" t="str">
        <f>B1231&amp;C1231&amp;L1231&amp;M1231&amp;O1231&amp;U1231&amp;AL1231&amp;AM1231</f>
        <v>MexicoReserve El PalmarAnchoa cubanadensityN/APalacios-Sánchez2019</v>
      </c>
    </row>
    <row r="1232" spans="1:49" ht="14.25" customHeight="1" x14ac:dyDescent="0.35">
      <c r="A1232" s="12">
        <v>1231</v>
      </c>
      <c r="B1232" s="12" t="s">
        <v>254</v>
      </c>
      <c r="C1232" s="15" t="s">
        <v>1669</v>
      </c>
      <c r="D1232" s="12" t="s">
        <v>1669</v>
      </c>
      <c r="E1232" s="15" t="s">
        <v>68</v>
      </c>
      <c r="F1232" s="16" t="s">
        <v>274</v>
      </c>
      <c r="G1232" s="16" t="s">
        <v>51</v>
      </c>
      <c r="H1232" s="16" t="s">
        <v>108</v>
      </c>
      <c r="I1232" s="16" t="s">
        <v>156</v>
      </c>
      <c r="J1232" s="17"/>
      <c r="K1232" s="17">
        <v>95</v>
      </c>
      <c r="L1232" s="17" t="s">
        <v>1686</v>
      </c>
      <c r="M1232" s="17"/>
      <c r="N1232" s="14" t="s">
        <v>85</v>
      </c>
      <c r="O1232" s="17" t="s">
        <v>86</v>
      </c>
      <c r="P1232" s="17"/>
      <c r="Q1232" s="17"/>
      <c r="R1232" s="17"/>
      <c r="S1232" s="17">
        <v>1.6667000000000001E-2</v>
      </c>
      <c r="T1232" s="17">
        <v>0</v>
      </c>
      <c r="U1232" s="20">
        <f t="shared" si="84"/>
        <v>0</v>
      </c>
      <c r="V1232" s="41">
        <f t="shared" si="87"/>
        <v>-100</v>
      </c>
      <c r="W1232" s="17"/>
      <c r="X1232" s="17" t="s">
        <v>56</v>
      </c>
      <c r="Z1232" s="17" t="s">
        <v>58</v>
      </c>
      <c r="AA1232" s="17" t="s">
        <v>58</v>
      </c>
      <c r="AB1232" s="17" t="s">
        <v>57</v>
      </c>
      <c r="AC1232" s="17">
        <v>2001</v>
      </c>
      <c r="AD1232" s="17">
        <v>3</v>
      </c>
      <c r="AE1232" s="17"/>
      <c r="AF1232" s="17"/>
      <c r="AG1232" s="17">
        <v>1990</v>
      </c>
      <c r="AH1232" s="14">
        <f t="shared" si="85"/>
        <v>11</v>
      </c>
      <c r="AI1232" s="17">
        <f t="shared" si="86"/>
        <v>14</v>
      </c>
      <c r="AJ1232" s="17"/>
      <c r="AK1232" s="17" t="s">
        <v>56</v>
      </c>
      <c r="AL1232" s="16" t="s">
        <v>1671</v>
      </c>
      <c r="AM1232" s="17">
        <v>2019</v>
      </c>
      <c r="AN1232" s="12" t="s">
        <v>493</v>
      </c>
      <c r="AO1232" s="15" t="s">
        <v>56</v>
      </c>
      <c r="AP1232" s="15"/>
      <c r="AQ1232" s="15" t="s">
        <v>56</v>
      </c>
      <c r="AR1232" s="15" t="s">
        <v>58</v>
      </c>
      <c r="AS1232" s="15" t="s">
        <v>62</v>
      </c>
      <c r="AT1232" s="15"/>
      <c r="AU1232" s="45"/>
      <c r="AV1232" s="15"/>
      <c r="AW1232" s="12" t="str">
        <f>B1232&amp;C1232&amp;L1232&amp;M1232&amp;O1232&amp;U1232&amp;AL1232&amp;AM1232</f>
        <v>MexicoReserve El PalmarSyngnathus louisianaedensity0Palacios-Sánchez2019</v>
      </c>
    </row>
    <row r="1233" spans="1:49" ht="14.25" customHeight="1" x14ac:dyDescent="0.35">
      <c r="A1233" s="12">
        <v>1232</v>
      </c>
      <c r="B1233" s="12" t="s">
        <v>254</v>
      </c>
      <c r="C1233" s="12" t="s">
        <v>1669</v>
      </c>
      <c r="D1233" s="12" t="s">
        <v>1669</v>
      </c>
      <c r="E1233" s="12" t="s">
        <v>68</v>
      </c>
      <c r="F1233" s="13" t="s">
        <v>274</v>
      </c>
      <c r="G1233" s="13" t="s">
        <v>51</v>
      </c>
      <c r="H1233" s="13" t="s">
        <v>108</v>
      </c>
      <c r="I1233" s="13" t="s">
        <v>156</v>
      </c>
      <c r="J1233" s="17"/>
      <c r="K1233" s="17">
        <v>95</v>
      </c>
      <c r="L1233" s="14" t="s">
        <v>1687</v>
      </c>
      <c r="M1233" s="14"/>
      <c r="N1233" s="14" t="s">
        <v>85</v>
      </c>
      <c r="O1233" s="17" t="s">
        <v>86</v>
      </c>
      <c r="P1233" s="14"/>
      <c r="Q1233" s="14"/>
      <c r="R1233" s="14"/>
      <c r="S1233" s="14">
        <v>0</v>
      </c>
      <c r="T1233" s="14">
        <v>0.03</v>
      </c>
      <c r="U1233" s="19" t="str">
        <f t="shared" si="84"/>
        <v>N/A</v>
      </c>
      <c r="V1233" s="41" t="str">
        <f t="shared" si="87"/>
        <v>N/A</v>
      </c>
      <c r="W1233" s="14"/>
      <c r="X1233" s="14" t="s">
        <v>56</v>
      </c>
      <c r="Z1233" s="14" t="s">
        <v>58</v>
      </c>
      <c r="AA1233" s="14" t="s">
        <v>58</v>
      </c>
      <c r="AB1233" s="14" t="s">
        <v>57</v>
      </c>
      <c r="AC1233" s="14">
        <v>2001</v>
      </c>
      <c r="AD1233" s="14">
        <v>3</v>
      </c>
      <c r="AE1233" s="14"/>
      <c r="AF1233" s="14"/>
      <c r="AG1233" s="14">
        <v>1990</v>
      </c>
      <c r="AH1233" s="14">
        <f t="shared" si="85"/>
        <v>11</v>
      </c>
      <c r="AI1233" s="17">
        <f t="shared" si="86"/>
        <v>14</v>
      </c>
      <c r="AJ1233" s="14"/>
      <c r="AK1233" s="14" t="s">
        <v>56</v>
      </c>
      <c r="AL1233" s="13" t="s">
        <v>1671</v>
      </c>
      <c r="AM1233" s="14">
        <v>2019</v>
      </c>
      <c r="AN1233" s="12" t="s">
        <v>493</v>
      </c>
      <c r="AO1233" s="12" t="s">
        <v>56</v>
      </c>
      <c r="AP1233" s="12"/>
      <c r="AQ1233" s="12" t="s">
        <v>56</v>
      </c>
      <c r="AR1233" s="12" t="s">
        <v>58</v>
      </c>
      <c r="AS1233" s="12" t="s">
        <v>62</v>
      </c>
      <c r="AT1233" s="12"/>
      <c r="AU1233" s="45"/>
      <c r="AV1233" s="15"/>
      <c r="AW1233" s="12" t="str">
        <f>B1233&amp;C1233&amp;L1233&amp;M1233&amp;O1233&amp;U1233&amp;AL1233&amp;AM1233</f>
        <v>MexicoReserve El PalmarSyngnathus pelagicusdensityN/APalacios-Sánchez2019</v>
      </c>
    </row>
    <row r="1234" spans="1:49" ht="14.25" customHeight="1" x14ac:dyDescent="0.35">
      <c r="A1234" s="12">
        <v>1233</v>
      </c>
      <c r="B1234" s="12" t="s">
        <v>254</v>
      </c>
      <c r="C1234" s="15" t="s">
        <v>1669</v>
      </c>
      <c r="D1234" s="12" t="s">
        <v>1669</v>
      </c>
      <c r="E1234" s="15" t="s">
        <v>68</v>
      </c>
      <c r="F1234" s="13" t="s">
        <v>274</v>
      </c>
      <c r="G1234" s="13" t="s">
        <v>51</v>
      </c>
      <c r="H1234" s="16" t="s">
        <v>108</v>
      </c>
      <c r="I1234" s="16" t="s">
        <v>156</v>
      </c>
      <c r="J1234" s="17"/>
      <c r="K1234" s="17">
        <v>95</v>
      </c>
      <c r="L1234" s="17" t="s">
        <v>1688</v>
      </c>
      <c r="M1234" s="17"/>
      <c r="N1234" s="14" t="s">
        <v>85</v>
      </c>
      <c r="O1234" s="17" t="s">
        <v>86</v>
      </c>
      <c r="P1234" s="17"/>
      <c r="Q1234" s="17"/>
      <c r="R1234" s="17"/>
      <c r="S1234" s="17">
        <v>4.3333000000000003E-2</v>
      </c>
      <c r="T1234" s="17">
        <v>0</v>
      </c>
      <c r="U1234" s="20">
        <f t="shared" si="84"/>
        <v>0</v>
      </c>
      <c r="V1234" s="41">
        <f t="shared" si="87"/>
        <v>-100</v>
      </c>
      <c r="W1234" s="17"/>
      <c r="X1234" s="17" t="s">
        <v>56</v>
      </c>
      <c r="Z1234" s="17" t="s">
        <v>58</v>
      </c>
      <c r="AA1234" s="17" t="s">
        <v>58</v>
      </c>
      <c r="AB1234" s="17" t="s">
        <v>57</v>
      </c>
      <c r="AC1234" s="17">
        <v>2001</v>
      </c>
      <c r="AD1234" s="17">
        <v>3</v>
      </c>
      <c r="AE1234" s="17"/>
      <c r="AF1234" s="17"/>
      <c r="AG1234" s="17">
        <v>1990</v>
      </c>
      <c r="AH1234" s="14">
        <f t="shared" si="85"/>
        <v>11</v>
      </c>
      <c r="AI1234" s="17">
        <f t="shared" si="86"/>
        <v>14</v>
      </c>
      <c r="AJ1234" s="17"/>
      <c r="AK1234" s="17" t="s">
        <v>56</v>
      </c>
      <c r="AL1234" s="16" t="s">
        <v>1671</v>
      </c>
      <c r="AM1234" s="17">
        <v>2019</v>
      </c>
      <c r="AN1234" s="15" t="s">
        <v>493</v>
      </c>
      <c r="AO1234" s="15" t="s">
        <v>56</v>
      </c>
      <c r="AP1234" s="15"/>
      <c r="AQ1234" s="15" t="s">
        <v>56</v>
      </c>
      <c r="AR1234" s="15" t="s">
        <v>58</v>
      </c>
      <c r="AS1234" s="15" t="s">
        <v>62</v>
      </c>
      <c r="AT1234" s="15"/>
      <c r="AU1234" s="45"/>
      <c r="AV1234" s="15"/>
      <c r="AW1234" s="12" t="str">
        <f>B1234&amp;C1234&amp;L1234&amp;M1234&amp;O1234&amp;U1234&amp;AL1234&amp;AM1234</f>
        <v>MexicoReserve El PalmarStrongylura marinadensity0Palacios-Sánchez2019</v>
      </c>
    </row>
    <row r="1235" spans="1:49" ht="14.25" customHeight="1" x14ac:dyDescent="0.35">
      <c r="A1235" s="12">
        <v>1234</v>
      </c>
      <c r="B1235" s="12" t="s">
        <v>254</v>
      </c>
      <c r="C1235" s="15" t="s">
        <v>1669</v>
      </c>
      <c r="D1235" s="12" t="s">
        <v>1669</v>
      </c>
      <c r="E1235" s="15" t="s">
        <v>68</v>
      </c>
      <c r="F1235" s="13" t="s">
        <v>274</v>
      </c>
      <c r="G1235" s="13" t="s">
        <v>51</v>
      </c>
      <c r="H1235" s="16" t="s">
        <v>108</v>
      </c>
      <c r="I1235" s="16" t="s">
        <v>156</v>
      </c>
      <c r="J1235" s="17"/>
      <c r="K1235" s="17">
        <v>95</v>
      </c>
      <c r="L1235" s="17" t="s">
        <v>1032</v>
      </c>
      <c r="M1235" s="17"/>
      <c r="N1235" s="14" t="s">
        <v>85</v>
      </c>
      <c r="O1235" s="17" t="s">
        <v>86</v>
      </c>
      <c r="P1235" s="17"/>
      <c r="Q1235" s="17"/>
      <c r="R1235" s="17"/>
      <c r="S1235" s="17">
        <v>0.03</v>
      </c>
      <c r="T1235" s="17">
        <v>0</v>
      </c>
      <c r="U1235" s="20">
        <f t="shared" si="84"/>
        <v>0</v>
      </c>
      <c r="V1235" s="41">
        <f t="shared" si="87"/>
        <v>-100</v>
      </c>
      <c r="W1235" s="17"/>
      <c r="X1235" s="17" t="s">
        <v>56</v>
      </c>
      <c r="Z1235" s="17" t="s">
        <v>58</v>
      </c>
      <c r="AA1235" s="17" t="s">
        <v>58</v>
      </c>
      <c r="AB1235" s="17" t="s">
        <v>57</v>
      </c>
      <c r="AC1235" s="17">
        <v>2001</v>
      </c>
      <c r="AD1235" s="17">
        <v>3</v>
      </c>
      <c r="AE1235" s="17"/>
      <c r="AF1235" s="17"/>
      <c r="AG1235" s="17">
        <v>1990</v>
      </c>
      <c r="AH1235" s="14">
        <f t="shared" si="85"/>
        <v>11</v>
      </c>
      <c r="AI1235" s="17">
        <f t="shared" si="86"/>
        <v>14</v>
      </c>
      <c r="AJ1235" s="17"/>
      <c r="AK1235" s="17" t="s">
        <v>56</v>
      </c>
      <c r="AL1235" s="16" t="s">
        <v>1671</v>
      </c>
      <c r="AM1235" s="17">
        <v>2019</v>
      </c>
      <c r="AN1235" s="15" t="s">
        <v>493</v>
      </c>
      <c r="AO1235" s="15" t="s">
        <v>56</v>
      </c>
      <c r="AP1235" s="15"/>
      <c r="AQ1235" s="15" t="s">
        <v>56</v>
      </c>
      <c r="AR1235" s="15" t="s">
        <v>58</v>
      </c>
      <c r="AS1235" s="15" t="s">
        <v>62</v>
      </c>
      <c r="AT1235" s="15"/>
      <c r="AU1235" s="45"/>
      <c r="AV1235" s="15"/>
      <c r="AW1235" s="12" t="str">
        <f>B1235&amp;C1235&amp;L1235&amp;M1235&amp;O1235&amp;U1235&amp;AL1235&amp;AM1235</f>
        <v>MexicoReserve El PalmarAchirus lineatusdensity0Palacios-Sánchez2019</v>
      </c>
    </row>
    <row r="1236" spans="1:49" ht="14.25" customHeight="1" x14ac:dyDescent="0.35">
      <c r="A1236" s="12">
        <v>1235</v>
      </c>
      <c r="B1236" s="15" t="s">
        <v>254</v>
      </c>
      <c r="C1236" s="15" t="s">
        <v>1669</v>
      </c>
      <c r="D1236" s="12" t="s">
        <v>1669</v>
      </c>
      <c r="E1236" s="15" t="s">
        <v>68</v>
      </c>
      <c r="F1236" s="13" t="s">
        <v>274</v>
      </c>
      <c r="G1236" s="13" t="s">
        <v>51</v>
      </c>
      <c r="H1236" s="16" t="s">
        <v>108</v>
      </c>
      <c r="I1236" s="16" t="s">
        <v>156</v>
      </c>
      <c r="J1236" s="17"/>
      <c r="K1236" s="17">
        <v>95</v>
      </c>
      <c r="L1236" s="17" t="s">
        <v>642</v>
      </c>
      <c r="M1236" s="17" t="s">
        <v>643</v>
      </c>
      <c r="N1236" s="14" t="s">
        <v>85</v>
      </c>
      <c r="O1236" s="17" t="s">
        <v>86</v>
      </c>
      <c r="P1236" s="17"/>
      <c r="Q1236" s="17"/>
      <c r="R1236" s="17"/>
      <c r="S1236" s="17">
        <v>0.03</v>
      </c>
      <c r="T1236" s="17">
        <v>0</v>
      </c>
      <c r="U1236" s="20">
        <f t="shared" si="84"/>
        <v>0</v>
      </c>
      <c r="V1236" s="41">
        <f t="shared" si="87"/>
        <v>-100</v>
      </c>
      <c r="W1236" s="17"/>
      <c r="X1236" s="17" t="s">
        <v>56</v>
      </c>
      <c r="Y1236" s="17"/>
      <c r="Z1236" s="17" t="s">
        <v>58</v>
      </c>
      <c r="AA1236" s="17" t="s">
        <v>58</v>
      </c>
      <c r="AB1236" s="17" t="s">
        <v>57</v>
      </c>
      <c r="AC1236" s="17">
        <v>2001</v>
      </c>
      <c r="AD1236" s="17">
        <v>3</v>
      </c>
      <c r="AE1236" s="17"/>
      <c r="AF1236" s="17"/>
      <c r="AG1236" s="17">
        <v>1990</v>
      </c>
      <c r="AH1236" s="14">
        <f t="shared" si="85"/>
        <v>11</v>
      </c>
      <c r="AI1236" s="17">
        <f t="shared" si="86"/>
        <v>14</v>
      </c>
      <c r="AJ1236" s="17"/>
      <c r="AK1236" s="17" t="s">
        <v>56</v>
      </c>
      <c r="AL1236" s="16" t="s">
        <v>1671</v>
      </c>
      <c r="AM1236" s="17">
        <v>2019</v>
      </c>
      <c r="AN1236" s="15" t="s">
        <v>493</v>
      </c>
      <c r="AO1236" s="15" t="s">
        <v>56</v>
      </c>
      <c r="AP1236" s="15"/>
      <c r="AQ1236" s="15" t="s">
        <v>56</v>
      </c>
      <c r="AR1236" s="15" t="s">
        <v>58</v>
      </c>
      <c r="AS1236" s="15" t="s">
        <v>62</v>
      </c>
      <c r="AT1236" s="15"/>
      <c r="AU1236" s="45"/>
      <c r="AV1236" s="15"/>
      <c r="AW1236" s="12" t="str">
        <f>B1236&amp;C1236&amp;L1236&amp;M1236&amp;O1236&amp;U1236&amp;AL1236&amp;AM1236</f>
        <v>MexicoReserve El PalmarAetobatus narinarieagle raysdensity0Palacios-Sánchez2019</v>
      </c>
    </row>
    <row r="1237" spans="1:49" ht="14.25" customHeight="1" x14ac:dyDescent="0.35">
      <c r="A1237" s="12">
        <v>1236</v>
      </c>
      <c r="B1237" s="15" t="s">
        <v>254</v>
      </c>
      <c r="C1237" s="15" t="s">
        <v>1669</v>
      </c>
      <c r="D1237" s="12" t="s">
        <v>1669</v>
      </c>
      <c r="E1237" s="15" t="s">
        <v>68</v>
      </c>
      <c r="F1237" s="13" t="s">
        <v>274</v>
      </c>
      <c r="G1237" s="13" t="s">
        <v>51</v>
      </c>
      <c r="H1237" s="16" t="s">
        <v>108</v>
      </c>
      <c r="I1237" s="16" t="s">
        <v>156</v>
      </c>
      <c r="J1237" s="17"/>
      <c r="K1237" s="17">
        <v>95</v>
      </c>
      <c r="L1237" s="17" t="s">
        <v>1689</v>
      </c>
      <c r="M1237" s="17"/>
      <c r="N1237" s="14" t="s">
        <v>85</v>
      </c>
      <c r="O1237" s="17" t="s">
        <v>86</v>
      </c>
      <c r="P1237" s="17"/>
      <c r="Q1237" s="17"/>
      <c r="R1237" s="17"/>
      <c r="S1237" s="17">
        <v>0.27</v>
      </c>
      <c r="T1237" s="17">
        <v>0.12</v>
      </c>
      <c r="U1237" s="20">
        <f t="shared" si="84"/>
        <v>0.44444444444444442</v>
      </c>
      <c r="V1237" s="41">
        <f t="shared" si="87"/>
        <v>-55.555555555555557</v>
      </c>
      <c r="W1237" s="17"/>
      <c r="X1237" s="17" t="s">
        <v>56</v>
      </c>
      <c r="Y1237" s="17"/>
      <c r="Z1237" s="17" t="s">
        <v>58</v>
      </c>
      <c r="AA1237" s="17" t="s">
        <v>58</v>
      </c>
      <c r="AB1237" s="17" t="s">
        <v>57</v>
      </c>
      <c r="AC1237" s="17">
        <v>2001</v>
      </c>
      <c r="AD1237" s="17">
        <v>3</v>
      </c>
      <c r="AE1237" s="17"/>
      <c r="AF1237" s="17"/>
      <c r="AG1237" s="17">
        <v>1990</v>
      </c>
      <c r="AH1237" s="14">
        <f t="shared" si="85"/>
        <v>11</v>
      </c>
      <c r="AI1237" s="17">
        <f t="shared" si="86"/>
        <v>14</v>
      </c>
      <c r="AJ1237" s="17"/>
      <c r="AK1237" s="17" t="s">
        <v>56</v>
      </c>
      <c r="AL1237" s="16" t="s">
        <v>1671</v>
      </c>
      <c r="AM1237" s="17">
        <v>2019</v>
      </c>
      <c r="AN1237" s="15" t="s">
        <v>493</v>
      </c>
      <c r="AO1237" s="15" t="s">
        <v>56</v>
      </c>
      <c r="AP1237" s="15"/>
      <c r="AQ1237" s="15" t="s">
        <v>56</v>
      </c>
      <c r="AR1237" s="15" t="s">
        <v>58</v>
      </c>
      <c r="AS1237" s="15" t="s">
        <v>62</v>
      </c>
      <c r="AT1237" s="15"/>
      <c r="AU1237" s="45"/>
      <c r="AV1237" s="15"/>
      <c r="AW1237" s="12" t="str">
        <f>B1237&amp;C1237&amp;L1237&amp;M1237&amp;O1237&amp;U1237&amp;AL1237&amp;AM1237</f>
        <v>MexicoReserve El PalmarAlbula vulpesdensity0.444444444444444Palacios-Sánchez2019</v>
      </c>
    </row>
    <row r="1238" spans="1:49" ht="14.25" customHeight="1" x14ac:dyDescent="0.35">
      <c r="A1238" s="12">
        <v>1237</v>
      </c>
      <c r="B1238" s="15" t="s">
        <v>254</v>
      </c>
      <c r="C1238" s="15" t="s">
        <v>1669</v>
      </c>
      <c r="D1238" s="12" t="s">
        <v>1669</v>
      </c>
      <c r="E1238" s="15" t="s">
        <v>68</v>
      </c>
      <c r="F1238" s="13" t="s">
        <v>274</v>
      </c>
      <c r="G1238" s="13" t="s">
        <v>51</v>
      </c>
      <c r="H1238" s="16" t="s">
        <v>108</v>
      </c>
      <c r="I1238" s="16" t="s">
        <v>156</v>
      </c>
      <c r="J1238" s="17"/>
      <c r="K1238" s="17">
        <v>95</v>
      </c>
      <c r="L1238" s="17" t="s">
        <v>1690</v>
      </c>
      <c r="M1238" s="17"/>
      <c r="N1238" s="14" t="s">
        <v>85</v>
      </c>
      <c r="O1238" s="17" t="s">
        <v>86</v>
      </c>
      <c r="P1238" s="17"/>
      <c r="Q1238" s="17"/>
      <c r="R1238" s="17"/>
      <c r="S1238" s="17">
        <v>1.6667000000000001E-2</v>
      </c>
      <c r="T1238" s="17">
        <v>0</v>
      </c>
      <c r="U1238" s="20">
        <f t="shared" si="84"/>
        <v>0</v>
      </c>
      <c r="V1238" s="41">
        <f t="shared" si="87"/>
        <v>-100</v>
      </c>
      <c r="W1238" s="17"/>
      <c r="X1238" s="17" t="s">
        <v>56</v>
      </c>
      <c r="Y1238" s="17"/>
      <c r="Z1238" s="17" t="s">
        <v>58</v>
      </c>
      <c r="AA1238" s="17" t="s">
        <v>58</v>
      </c>
      <c r="AB1238" s="17" t="s">
        <v>57</v>
      </c>
      <c r="AC1238" s="17">
        <v>2001</v>
      </c>
      <c r="AD1238" s="17">
        <v>3</v>
      </c>
      <c r="AE1238" s="17"/>
      <c r="AF1238" s="17"/>
      <c r="AG1238" s="17">
        <v>1990</v>
      </c>
      <c r="AH1238" s="14">
        <f t="shared" si="85"/>
        <v>11</v>
      </c>
      <c r="AI1238" s="17">
        <f t="shared" si="86"/>
        <v>14</v>
      </c>
      <c r="AJ1238" s="17"/>
      <c r="AK1238" s="17" t="s">
        <v>56</v>
      </c>
      <c r="AL1238" s="16" t="s">
        <v>1671</v>
      </c>
      <c r="AM1238" s="17">
        <v>2019</v>
      </c>
      <c r="AN1238" s="15" t="s">
        <v>493</v>
      </c>
      <c r="AO1238" s="15" t="s">
        <v>56</v>
      </c>
      <c r="AP1238" s="15"/>
      <c r="AQ1238" s="15" t="s">
        <v>56</v>
      </c>
      <c r="AR1238" s="15" t="s">
        <v>58</v>
      </c>
      <c r="AS1238" s="15" t="s">
        <v>62</v>
      </c>
      <c r="AT1238" s="15"/>
      <c r="AU1238" s="45"/>
      <c r="AV1238" s="15"/>
      <c r="AW1238" s="12" t="str">
        <f>B1238&amp;C1238&amp;L1238&amp;M1238&amp;O1238&amp;U1238&amp;AL1238&amp;AM1238</f>
        <v>MexicoReserve El PalmarHistrio histriodensity0Palacios-Sánchez2019</v>
      </c>
    </row>
    <row r="1239" spans="1:49" ht="14.25" customHeight="1" x14ac:dyDescent="0.35">
      <c r="A1239" s="12">
        <v>1238</v>
      </c>
      <c r="B1239" s="15" t="s">
        <v>254</v>
      </c>
      <c r="C1239" s="15" t="s">
        <v>1669</v>
      </c>
      <c r="D1239" s="12" t="s">
        <v>1669</v>
      </c>
      <c r="E1239" s="15" t="s">
        <v>68</v>
      </c>
      <c r="F1239" s="13" t="s">
        <v>274</v>
      </c>
      <c r="G1239" s="13" t="s">
        <v>51</v>
      </c>
      <c r="H1239" s="16" t="s">
        <v>108</v>
      </c>
      <c r="I1239" s="16" t="s">
        <v>156</v>
      </c>
      <c r="J1239" s="17"/>
      <c r="K1239" s="17">
        <v>95</v>
      </c>
      <c r="L1239" s="17" t="s">
        <v>1040</v>
      </c>
      <c r="M1239" s="17"/>
      <c r="N1239" s="14" t="s">
        <v>85</v>
      </c>
      <c r="O1239" s="17" t="s">
        <v>86</v>
      </c>
      <c r="P1239" s="17"/>
      <c r="Q1239" s="17"/>
      <c r="R1239" s="17"/>
      <c r="S1239" s="17">
        <v>34.666670000000003</v>
      </c>
      <c r="T1239" s="17">
        <v>3.94</v>
      </c>
      <c r="U1239" s="20">
        <f t="shared" si="84"/>
        <v>0.11365383522559275</v>
      </c>
      <c r="V1239" s="41">
        <f t="shared" si="87"/>
        <v>-88.63461647744073</v>
      </c>
      <c r="W1239" s="17"/>
      <c r="X1239" s="17" t="s">
        <v>56</v>
      </c>
      <c r="Y1239" s="17"/>
      <c r="Z1239" s="17" t="s">
        <v>58</v>
      </c>
      <c r="AA1239" s="17" t="s">
        <v>58</v>
      </c>
      <c r="AB1239" s="17" t="s">
        <v>57</v>
      </c>
      <c r="AC1239" s="17">
        <v>2001</v>
      </c>
      <c r="AD1239" s="17">
        <v>3</v>
      </c>
      <c r="AE1239" s="17"/>
      <c r="AF1239" s="17"/>
      <c r="AG1239" s="17">
        <v>1990</v>
      </c>
      <c r="AH1239" s="14">
        <f t="shared" si="85"/>
        <v>11</v>
      </c>
      <c r="AI1239" s="17">
        <f t="shared" si="86"/>
        <v>14</v>
      </c>
      <c r="AJ1239" s="17"/>
      <c r="AK1239" s="17" t="s">
        <v>56</v>
      </c>
      <c r="AL1239" s="16" t="s">
        <v>1671</v>
      </c>
      <c r="AM1239" s="17">
        <v>2019</v>
      </c>
      <c r="AN1239" s="15" t="s">
        <v>493</v>
      </c>
      <c r="AO1239" s="15" t="s">
        <v>56</v>
      </c>
      <c r="AP1239" s="15"/>
      <c r="AQ1239" s="15" t="s">
        <v>56</v>
      </c>
      <c r="AR1239" s="15" t="s">
        <v>58</v>
      </c>
      <c r="AS1239" s="15" t="s">
        <v>62</v>
      </c>
      <c r="AT1239" s="15"/>
      <c r="AU1239" s="45"/>
      <c r="AV1239" s="15"/>
      <c r="AW1239" s="12" t="str">
        <f>B1239&amp;C1239&amp;L1239&amp;M1239&amp;O1239&amp;U1239&amp;AL1239&amp;AM1239</f>
        <v>MexicoReserve El PalmarAriopsis felisdensity0.113653835225593Palacios-Sánchez2019</v>
      </c>
    </row>
    <row r="1240" spans="1:49" ht="14.25" customHeight="1" x14ac:dyDescent="0.35">
      <c r="A1240" s="12">
        <v>1239</v>
      </c>
      <c r="B1240" s="15" t="s">
        <v>254</v>
      </c>
      <c r="C1240" s="15" t="s">
        <v>1669</v>
      </c>
      <c r="D1240" s="15" t="s">
        <v>1669</v>
      </c>
      <c r="E1240" s="15" t="s">
        <v>68</v>
      </c>
      <c r="F1240" s="16" t="s">
        <v>274</v>
      </c>
      <c r="G1240" s="16" t="s">
        <v>51</v>
      </c>
      <c r="H1240" s="16" t="s">
        <v>108</v>
      </c>
      <c r="I1240" s="16" t="s">
        <v>156</v>
      </c>
      <c r="J1240" s="17"/>
      <c r="K1240" s="17">
        <v>95</v>
      </c>
      <c r="L1240" s="17" t="s">
        <v>1691</v>
      </c>
      <c r="M1240" s="17"/>
      <c r="N1240" s="14" t="s">
        <v>85</v>
      </c>
      <c r="O1240" s="17" t="s">
        <v>86</v>
      </c>
      <c r="P1240" s="17"/>
      <c r="Q1240" s="17"/>
      <c r="R1240" s="17"/>
      <c r="S1240" s="17">
        <v>0.26333299999999998</v>
      </c>
      <c r="T1240" s="17">
        <v>0.2</v>
      </c>
      <c r="U1240" s="20">
        <f t="shared" si="84"/>
        <v>0.75949463227168645</v>
      </c>
      <c r="V1240" s="41">
        <f t="shared" si="87"/>
        <v>-24.050536772831354</v>
      </c>
      <c r="W1240" s="17"/>
      <c r="X1240" s="17" t="s">
        <v>56</v>
      </c>
      <c r="Z1240" s="17" t="s">
        <v>58</v>
      </c>
      <c r="AA1240" s="17" t="s">
        <v>58</v>
      </c>
      <c r="AB1240" s="17" t="s">
        <v>57</v>
      </c>
      <c r="AC1240" s="17">
        <v>2001</v>
      </c>
      <c r="AD1240" s="17">
        <v>3</v>
      </c>
      <c r="AE1240" s="17"/>
      <c r="AF1240" s="17"/>
      <c r="AG1240" s="17">
        <v>1990</v>
      </c>
      <c r="AH1240" s="14">
        <f t="shared" si="85"/>
        <v>11</v>
      </c>
      <c r="AI1240" s="17">
        <f t="shared" si="86"/>
        <v>14</v>
      </c>
      <c r="AJ1240" s="17"/>
      <c r="AK1240" s="17" t="s">
        <v>56</v>
      </c>
      <c r="AL1240" s="16" t="s">
        <v>1671</v>
      </c>
      <c r="AM1240" s="17">
        <v>2019</v>
      </c>
      <c r="AN1240" s="15" t="s">
        <v>493</v>
      </c>
      <c r="AO1240" s="15" t="s">
        <v>56</v>
      </c>
      <c r="AP1240" s="15"/>
      <c r="AQ1240" s="15" t="s">
        <v>56</v>
      </c>
      <c r="AR1240" s="15" t="s">
        <v>58</v>
      </c>
      <c r="AS1240" s="15" t="s">
        <v>62</v>
      </c>
      <c r="AT1240" s="15"/>
      <c r="AU1240" s="45"/>
      <c r="AV1240" s="15"/>
      <c r="AW1240" s="12" t="str">
        <f>B1240&amp;C1240&amp;L1240&amp;M1240&amp;O1240&amp;U1240&amp;AL1240&amp;AM1240</f>
        <v>MexicoReserve El PalmarBagre marinusdensity0.759494632271686Palacios-Sánchez2019</v>
      </c>
    </row>
    <row r="1241" spans="1:49" ht="14.25" customHeight="1" x14ac:dyDescent="0.35">
      <c r="A1241" s="12">
        <v>1240</v>
      </c>
      <c r="B1241" s="15" t="s">
        <v>254</v>
      </c>
      <c r="C1241" s="15" t="s">
        <v>1669</v>
      </c>
      <c r="D1241" s="15" t="s">
        <v>1669</v>
      </c>
      <c r="E1241" s="15" t="s">
        <v>68</v>
      </c>
      <c r="F1241" s="16" t="s">
        <v>274</v>
      </c>
      <c r="G1241" s="16" t="s">
        <v>51</v>
      </c>
      <c r="H1241" s="16" t="s">
        <v>108</v>
      </c>
      <c r="I1241" s="16" t="s">
        <v>156</v>
      </c>
      <c r="J1241" s="17"/>
      <c r="K1241" s="17">
        <v>95</v>
      </c>
      <c r="L1241" s="17" t="s">
        <v>1692</v>
      </c>
      <c r="M1241" s="17"/>
      <c r="N1241" s="14" t="s">
        <v>85</v>
      </c>
      <c r="O1241" s="17" t="s">
        <v>86</v>
      </c>
      <c r="P1241" s="17"/>
      <c r="Q1241" s="17"/>
      <c r="R1241" s="17"/>
      <c r="S1241" s="17">
        <v>0.37333300000000003</v>
      </c>
      <c r="T1241" s="17">
        <v>0.03</v>
      </c>
      <c r="U1241" s="20">
        <f t="shared" si="84"/>
        <v>8.0357214604655891E-2</v>
      </c>
      <c r="V1241" s="41">
        <f t="shared" si="87"/>
        <v>-91.964278539534419</v>
      </c>
      <c r="W1241" s="17"/>
      <c r="X1241" s="17" t="s">
        <v>56</v>
      </c>
      <c r="Z1241" s="17" t="s">
        <v>58</v>
      </c>
      <c r="AA1241" s="17" t="s">
        <v>58</v>
      </c>
      <c r="AB1241" s="17" t="s">
        <v>57</v>
      </c>
      <c r="AC1241" s="17">
        <v>2001</v>
      </c>
      <c r="AD1241" s="17">
        <v>3</v>
      </c>
      <c r="AE1241" s="17"/>
      <c r="AF1241" s="17"/>
      <c r="AG1241" s="17">
        <v>1990</v>
      </c>
      <c r="AH1241" s="14">
        <f t="shared" si="85"/>
        <v>11</v>
      </c>
      <c r="AI1241" s="17">
        <f t="shared" si="86"/>
        <v>14</v>
      </c>
      <c r="AJ1241" s="17"/>
      <c r="AK1241" s="17" t="s">
        <v>56</v>
      </c>
      <c r="AL1241" s="16" t="s">
        <v>1671</v>
      </c>
      <c r="AM1241" s="17">
        <v>2019</v>
      </c>
      <c r="AN1241" s="15" t="s">
        <v>493</v>
      </c>
      <c r="AO1241" s="15" t="s">
        <v>56</v>
      </c>
      <c r="AP1241" s="15"/>
      <c r="AQ1241" s="15" t="s">
        <v>56</v>
      </c>
      <c r="AR1241" s="15" t="s">
        <v>58</v>
      </c>
      <c r="AS1241" s="15" t="s">
        <v>62</v>
      </c>
      <c r="AT1241" s="15"/>
      <c r="AU1241" s="45"/>
      <c r="AV1241" s="15"/>
      <c r="AW1241" s="12" t="str">
        <f>B1241&amp;C1241&amp;L1241&amp;M1241&amp;O1241&amp;U1241&amp;AL1241&amp;AM1241</f>
        <v>MexicoReserve El PalmarOpsanus betadensity0.0803572146046559Palacios-Sánchez2019</v>
      </c>
    </row>
    <row r="1242" spans="1:49" ht="14.25" customHeight="1" x14ac:dyDescent="0.35">
      <c r="A1242" s="12">
        <v>1241</v>
      </c>
      <c r="B1242" s="15" t="s">
        <v>254</v>
      </c>
      <c r="C1242" s="15" t="s">
        <v>1669</v>
      </c>
      <c r="D1242" s="15" t="s">
        <v>1669</v>
      </c>
      <c r="E1242" s="15" t="s">
        <v>68</v>
      </c>
      <c r="F1242" s="16" t="s">
        <v>274</v>
      </c>
      <c r="G1242" s="16" t="s">
        <v>51</v>
      </c>
      <c r="H1242" s="16" t="s">
        <v>108</v>
      </c>
      <c r="I1242" s="16" t="s">
        <v>156</v>
      </c>
      <c r="J1242" s="17"/>
      <c r="K1242" s="17">
        <v>95</v>
      </c>
      <c r="L1242" s="17" t="s">
        <v>1693</v>
      </c>
      <c r="M1242" s="17"/>
      <c r="N1242" s="14" t="s">
        <v>85</v>
      </c>
      <c r="O1242" s="17" t="s">
        <v>86</v>
      </c>
      <c r="P1242" s="17"/>
      <c r="Q1242" s="17"/>
      <c r="R1242" s="17"/>
      <c r="S1242" s="17">
        <v>8.1733329999999995</v>
      </c>
      <c r="T1242" s="17">
        <v>4.18</v>
      </c>
      <c r="U1242" s="20">
        <f t="shared" si="84"/>
        <v>0.51141927044939928</v>
      </c>
      <c r="V1242" s="41">
        <f t="shared" si="87"/>
        <v>-48.858072955060074</v>
      </c>
      <c r="W1242" s="17"/>
      <c r="X1242" s="17" t="s">
        <v>56</v>
      </c>
      <c r="Z1242" s="17" t="s">
        <v>58</v>
      </c>
      <c r="AA1242" s="17" t="s">
        <v>58</v>
      </c>
      <c r="AB1242" s="17" t="s">
        <v>57</v>
      </c>
      <c r="AC1242" s="17">
        <v>2001</v>
      </c>
      <c r="AD1242" s="17">
        <v>3</v>
      </c>
      <c r="AE1242" s="17"/>
      <c r="AF1242" s="17"/>
      <c r="AG1242" s="17">
        <v>1990</v>
      </c>
      <c r="AH1242" s="14">
        <f t="shared" si="85"/>
        <v>11</v>
      </c>
      <c r="AI1242" s="17">
        <f t="shared" si="86"/>
        <v>14</v>
      </c>
      <c r="AJ1242" s="17"/>
      <c r="AK1242" s="17" t="s">
        <v>56</v>
      </c>
      <c r="AL1242" s="16" t="s">
        <v>1671</v>
      </c>
      <c r="AM1242" s="17">
        <v>2019</v>
      </c>
      <c r="AN1242" s="15" t="s">
        <v>493</v>
      </c>
      <c r="AO1242" s="15" t="s">
        <v>56</v>
      </c>
      <c r="AP1242" s="15"/>
      <c r="AQ1242" s="15" t="s">
        <v>56</v>
      </c>
      <c r="AR1242" s="15" t="s">
        <v>58</v>
      </c>
      <c r="AS1242" s="15" t="s">
        <v>62</v>
      </c>
      <c r="AT1242" s="15"/>
      <c r="AU1242" s="45"/>
      <c r="AV1242" s="15"/>
      <c r="AW1242" s="12" t="str">
        <f>B1242&amp;C1242&amp;L1242&amp;M1242&amp;O1242&amp;U1242&amp;AL1242&amp;AM1242</f>
        <v>MexicoReserve El PalmarTrachinotus falcatusdensity0.511419270449399Palacios-Sánchez2019</v>
      </c>
    </row>
    <row r="1243" spans="1:49" ht="14.25" customHeight="1" x14ac:dyDescent="0.35">
      <c r="A1243" s="12">
        <v>1242</v>
      </c>
      <c r="B1243" s="15" t="s">
        <v>254</v>
      </c>
      <c r="C1243" s="15" t="s">
        <v>1669</v>
      </c>
      <c r="D1243" s="15" t="s">
        <v>1669</v>
      </c>
      <c r="E1243" s="15" t="s">
        <v>68</v>
      </c>
      <c r="F1243" s="13" t="s">
        <v>274</v>
      </c>
      <c r="G1243" s="13" t="s">
        <v>51</v>
      </c>
      <c r="H1243" s="16" t="s">
        <v>108</v>
      </c>
      <c r="I1243" s="16" t="s">
        <v>156</v>
      </c>
      <c r="J1243" s="17"/>
      <c r="K1243" s="17">
        <v>95</v>
      </c>
      <c r="L1243" s="17" t="s">
        <v>1694</v>
      </c>
      <c r="M1243" s="17"/>
      <c r="N1243" s="14" t="s">
        <v>85</v>
      </c>
      <c r="O1243" s="17" t="s">
        <v>86</v>
      </c>
      <c r="P1243" s="17"/>
      <c r="Q1243" s="17"/>
      <c r="R1243" s="17"/>
      <c r="S1243" s="17">
        <v>1.413333</v>
      </c>
      <c r="T1243" s="17">
        <v>2.12</v>
      </c>
      <c r="U1243" s="20">
        <f t="shared" si="84"/>
        <v>1.5000003537736684</v>
      </c>
      <c r="V1243" s="41">
        <f t="shared" si="87"/>
        <v>50.000035377366835</v>
      </c>
      <c r="W1243" s="17"/>
      <c r="X1243" s="17" t="s">
        <v>56</v>
      </c>
      <c r="Z1243" s="17" t="s">
        <v>58</v>
      </c>
      <c r="AA1243" s="17" t="s">
        <v>58</v>
      </c>
      <c r="AB1243" s="17" t="s">
        <v>57</v>
      </c>
      <c r="AC1243" s="17">
        <v>2001</v>
      </c>
      <c r="AD1243" s="17">
        <v>3</v>
      </c>
      <c r="AE1243" s="17"/>
      <c r="AF1243" s="17"/>
      <c r="AG1243" s="17">
        <v>1990</v>
      </c>
      <c r="AH1243" s="14">
        <f t="shared" si="85"/>
        <v>11</v>
      </c>
      <c r="AI1243" s="17">
        <f t="shared" si="86"/>
        <v>14</v>
      </c>
      <c r="AJ1243" s="17"/>
      <c r="AK1243" s="17" t="s">
        <v>56</v>
      </c>
      <c r="AL1243" s="16" t="s">
        <v>1671</v>
      </c>
      <c r="AM1243" s="17">
        <v>2019</v>
      </c>
      <c r="AN1243" s="15" t="s">
        <v>493</v>
      </c>
      <c r="AO1243" s="15" t="s">
        <v>56</v>
      </c>
      <c r="AP1243" s="15"/>
      <c r="AQ1243" s="15" t="s">
        <v>56</v>
      </c>
      <c r="AR1243" s="15" t="s">
        <v>58</v>
      </c>
      <c r="AS1243" s="15" t="s">
        <v>62</v>
      </c>
      <c r="AT1243" s="15"/>
      <c r="AU1243" s="45"/>
      <c r="AV1243" s="15"/>
      <c r="AW1243" s="12" t="str">
        <f>B1243&amp;C1243&amp;L1243&amp;M1243&amp;O1243&amp;U1243&amp;AL1243&amp;AM1243</f>
        <v>MexicoReserve El PalmarTrachinotus carolinusdensity1.50000035377367Palacios-Sánchez2019</v>
      </c>
    </row>
    <row r="1244" spans="1:49" ht="14.25" customHeight="1" x14ac:dyDescent="0.35">
      <c r="A1244" s="12">
        <v>1243</v>
      </c>
      <c r="B1244" s="15" t="s">
        <v>254</v>
      </c>
      <c r="C1244" s="15" t="s">
        <v>1669</v>
      </c>
      <c r="D1244" s="15" t="s">
        <v>1669</v>
      </c>
      <c r="E1244" s="15" t="s">
        <v>68</v>
      </c>
      <c r="F1244" s="13" t="s">
        <v>274</v>
      </c>
      <c r="G1244" s="13" t="s">
        <v>51</v>
      </c>
      <c r="H1244" s="16" t="s">
        <v>108</v>
      </c>
      <c r="I1244" s="16" t="s">
        <v>156</v>
      </c>
      <c r="J1244" s="17"/>
      <c r="K1244" s="17">
        <v>95</v>
      </c>
      <c r="L1244" s="17" t="s">
        <v>1025</v>
      </c>
      <c r="M1244" s="17"/>
      <c r="N1244" s="14" t="s">
        <v>85</v>
      </c>
      <c r="O1244" s="17" t="s">
        <v>86</v>
      </c>
      <c r="P1244" s="17"/>
      <c r="Q1244" s="17"/>
      <c r="R1244" s="17"/>
      <c r="S1244" s="17">
        <v>0.06</v>
      </c>
      <c r="T1244" s="17">
        <v>0.03</v>
      </c>
      <c r="U1244" s="20">
        <f t="shared" si="84"/>
        <v>0.5</v>
      </c>
      <c r="V1244" s="41">
        <f t="shared" si="87"/>
        <v>-50</v>
      </c>
      <c r="W1244" s="17"/>
      <c r="X1244" s="17" t="s">
        <v>56</v>
      </c>
      <c r="Z1244" s="17" t="s">
        <v>58</v>
      </c>
      <c r="AA1244" s="17" t="s">
        <v>58</v>
      </c>
      <c r="AB1244" s="17" t="s">
        <v>57</v>
      </c>
      <c r="AC1244" s="17">
        <v>2001</v>
      </c>
      <c r="AD1244" s="17">
        <v>3</v>
      </c>
      <c r="AE1244" s="17"/>
      <c r="AF1244" s="17"/>
      <c r="AG1244" s="17">
        <v>1990</v>
      </c>
      <c r="AH1244" s="14">
        <f t="shared" si="85"/>
        <v>11</v>
      </c>
      <c r="AI1244" s="17">
        <f t="shared" si="86"/>
        <v>14</v>
      </c>
      <c r="AJ1244" s="17"/>
      <c r="AK1244" s="17" t="s">
        <v>56</v>
      </c>
      <c r="AL1244" s="16" t="s">
        <v>1671</v>
      </c>
      <c r="AM1244" s="17">
        <v>2019</v>
      </c>
      <c r="AN1244" s="15" t="s">
        <v>493</v>
      </c>
      <c r="AO1244" s="15" t="s">
        <v>56</v>
      </c>
      <c r="AP1244" s="15"/>
      <c r="AQ1244" s="15" t="s">
        <v>56</v>
      </c>
      <c r="AR1244" s="15" t="s">
        <v>58</v>
      </c>
      <c r="AS1244" s="15" t="s">
        <v>62</v>
      </c>
      <c r="AT1244" s="15"/>
      <c r="AU1244" s="45"/>
      <c r="AV1244" s="15"/>
      <c r="AW1244" s="12" t="str">
        <f>B1244&amp;C1244&amp;L1244&amp;M1244&amp;O1244&amp;U1244&amp;AL1244&amp;AM1244</f>
        <v>MexicoReserve El PalmarCaranx hipposdensity0.5Palacios-Sánchez2019</v>
      </c>
    </row>
    <row r="1245" spans="1:49" ht="14.25" customHeight="1" x14ac:dyDescent="0.35">
      <c r="A1245" s="12">
        <v>1244</v>
      </c>
      <c r="B1245" s="15" t="s">
        <v>254</v>
      </c>
      <c r="C1245" s="15" t="s">
        <v>1669</v>
      </c>
      <c r="D1245" s="15" t="s">
        <v>1669</v>
      </c>
      <c r="E1245" s="15" t="s">
        <v>68</v>
      </c>
      <c r="F1245" s="13" t="s">
        <v>274</v>
      </c>
      <c r="G1245" s="13" t="s">
        <v>51</v>
      </c>
      <c r="H1245" s="16" t="s">
        <v>108</v>
      </c>
      <c r="I1245" s="16" t="s">
        <v>156</v>
      </c>
      <c r="J1245" s="17"/>
      <c r="K1245" s="17">
        <v>95</v>
      </c>
      <c r="L1245" s="17" t="s">
        <v>1695</v>
      </c>
      <c r="M1245" s="17"/>
      <c r="N1245" s="14" t="s">
        <v>85</v>
      </c>
      <c r="O1245" s="17" t="s">
        <v>86</v>
      </c>
      <c r="P1245" s="17"/>
      <c r="Q1245" s="17"/>
      <c r="R1245" s="17"/>
      <c r="S1245" s="17">
        <v>0.14000000000000001</v>
      </c>
      <c r="T1245" s="17">
        <v>0.11</v>
      </c>
      <c r="U1245" s="20">
        <f t="shared" si="84"/>
        <v>0.7857142857142857</v>
      </c>
      <c r="V1245" s="41">
        <f t="shared" si="87"/>
        <v>-21.428571428571431</v>
      </c>
      <c r="W1245" s="17"/>
      <c r="X1245" s="17" t="s">
        <v>56</v>
      </c>
      <c r="Z1245" s="17" t="s">
        <v>58</v>
      </c>
      <c r="AA1245" s="17" t="s">
        <v>58</v>
      </c>
      <c r="AB1245" s="17" t="s">
        <v>57</v>
      </c>
      <c r="AC1245" s="17">
        <v>2001</v>
      </c>
      <c r="AD1245" s="17">
        <v>3</v>
      </c>
      <c r="AE1245" s="17"/>
      <c r="AF1245" s="17"/>
      <c r="AG1245" s="17">
        <v>1990</v>
      </c>
      <c r="AH1245" s="14">
        <f t="shared" si="85"/>
        <v>11</v>
      </c>
      <c r="AI1245" s="17">
        <f t="shared" si="86"/>
        <v>14</v>
      </c>
      <c r="AJ1245" s="17"/>
      <c r="AK1245" s="17" t="s">
        <v>56</v>
      </c>
      <c r="AL1245" s="16" t="s">
        <v>1671</v>
      </c>
      <c r="AM1245" s="17">
        <v>2019</v>
      </c>
      <c r="AN1245" s="12" t="s">
        <v>493</v>
      </c>
      <c r="AO1245" s="15" t="s">
        <v>56</v>
      </c>
      <c r="AP1245" s="15"/>
      <c r="AQ1245" s="15" t="s">
        <v>56</v>
      </c>
      <c r="AR1245" s="15" t="s">
        <v>58</v>
      </c>
      <c r="AS1245" s="15" t="s">
        <v>62</v>
      </c>
      <c r="AT1245" s="15"/>
      <c r="AU1245" s="45"/>
      <c r="AV1245" s="15"/>
      <c r="AW1245" s="12" t="str">
        <f>B1245&amp;C1245&amp;L1245&amp;M1245&amp;O1245&amp;U1245&amp;AL1245&amp;AM1245</f>
        <v>MexicoReserve El PalmarSelene vomerdensity0.785714285714286Palacios-Sánchez2019</v>
      </c>
    </row>
    <row r="1246" spans="1:49" ht="14.25" customHeight="1" x14ac:dyDescent="0.35">
      <c r="A1246" s="12">
        <v>1245</v>
      </c>
      <c r="B1246" s="15" t="s">
        <v>254</v>
      </c>
      <c r="C1246" s="15" t="s">
        <v>1669</v>
      </c>
      <c r="D1246" s="15" t="s">
        <v>1669</v>
      </c>
      <c r="E1246" s="15" t="s">
        <v>68</v>
      </c>
      <c r="F1246" s="13" t="s">
        <v>274</v>
      </c>
      <c r="G1246" s="13" t="s">
        <v>51</v>
      </c>
      <c r="H1246" s="16" t="s">
        <v>108</v>
      </c>
      <c r="I1246" s="16" t="s">
        <v>156</v>
      </c>
      <c r="J1246" s="17"/>
      <c r="K1246" s="17">
        <v>95</v>
      </c>
      <c r="L1246" s="17" t="s">
        <v>1696</v>
      </c>
      <c r="M1246" s="17"/>
      <c r="N1246" s="14" t="s">
        <v>85</v>
      </c>
      <c r="O1246" s="17" t="s">
        <v>86</v>
      </c>
      <c r="P1246" s="17"/>
      <c r="Q1246" s="17"/>
      <c r="R1246" s="17"/>
      <c r="S1246" s="17">
        <v>0.343333</v>
      </c>
      <c r="T1246" s="17">
        <v>0.04</v>
      </c>
      <c r="U1246" s="20">
        <f t="shared" si="84"/>
        <v>0.11650496748055096</v>
      </c>
      <c r="V1246" s="41">
        <f t="shared" si="87"/>
        <v>-88.34950325194491</v>
      </c>
      <c r="W1246" s="17"/>
      <c r="X1246" s="17" t="s">
        <v>56</v>
      </c>
      <c r="Z1246" s="17" t="s">
        <v>58</v>
      </c>
      <c r="AA1246" s="17" t="s">
        <v>58</v>
      </c>
      <c r="AB1246" s="17" t="s">
        <v>57</v>
      </c>
      <c r="AC1246" s="17">
        <v>2001</v>
      </c>
      <c r="AD1246" s="17">
        <v>3</v>
      </c>
      <c r="AE1246" s="17"/>
      <c r="AF1246" s="17"/>
      <c r="AG1246" s="17">
        <v>1990</v>
      </c>
      <c r="AH1246" s="14">
        <f t="shared" si="85"/>
        <v>11</v>
      </c>
      <c r="AI1246" s="17">
        <f t="shared" si="86"/>
        <v>14</v>
      </c>
      <c r="AJ1246" s="17"/>
      <c r="AK1246" s="17" t="s">
        <v>56</v>
      </c>
      <c r="AL1246" s="16" t="s">
        <v>1671</v>
      </c>
      <c r="AM1246" s="17">
        <v>2019</v>
      </c>
      <c r="AN1246" s="15" t="s">
        <v>493</v>
      </c>
      <c r="AO1246" s="15" t="s">
        <v>56</v>
      </c>
      <c r="AP1246" s="15"/>
      <c r="AQ1246" s="15" t="s">
        <v>56</v>
      </c>
      <c r="AR1246" s="15" t="s">
        <v>58</v>
      </c>
      <c r="AS1246" s="15" t="s">
        <v>62</v>
      </c>
      <c r="AT1246" s="15"/>
      <c r="AU1246" s="45"/>
      <c r="AV1246" s="15"/>
      <c r="AW1246" s="12" t="str">
        <f>B1246&amp;C1246&amp;L1246&amp;M1246&amp;O1246&amp;U1246&amp;AL1246&amp;AM1246</f>
        <v>MexicoReserve El PalmarSymphurus plagiusadensity0.116504967480551Palacios-Sánchez2019</v>
      </c>
    </row>
    <row r="1247" spans="1:49" ht="14.25" customHeight="1" x14ac:dyDescent="0.35">
      <c r="A1247" s="12">
        <v>1246</v>
      </c>
      <c r="B1247" s="15" t="s">
        <v>254</v>
      </c>
      <c r="C1247" s="15" t="s">
        <v>1669</v>
      </c>
      <c r="D1247" s="15" t="s">
        <v>1669</v>
      </c>
      <c r="E1247" s="15" t="s">
        <v>68</v>
      </c>
      <c r="F1247" s="13" t="s">
        <v>274</v>
      </c>
      <c r="G1247" s="13" t="s">
        <v>51</v>
      </c>
      <c r="H1247" s="16" t="s">
        <v>108</v>
      </c>
      <c r="I1247" s="16" t="s">
        <v>156</v>
      </c>
      <c r="J1247" s="17"/>
      <c r="K1247" s="17">
        <v>95</v>
      </c>
      <c r="L1247" s="17" t="s">
        <v>1697</v>
      </c>
      <c r="M1247" s="17"/>
      <c r="N1247" s="14" t="s">
        <v>85</v>
      </c>
      <c r="O1247" s="17" t="s">
        <v>86</v>
      </c>
      <c r="P1247" s="17"/>
      <c r="Q1247" s="17"/>
      <c r="R1247" s="17"/>
      <c r="S1247" s="17">
        <v>7.6666999999999999E-2</v>
      </c>
      <c r="T1247" s="17">
        <v>0</v>
      </c>
      <c r="U1247" s="20">
        <f t="shared" si="84"/>
        <v>0</v>
      </c>
      <c r="V1247" s="41">
        <f t="shared" si="87"/>
        <v>-100</v>
      </c>
      <c r="W1247" s="17"/>
      <c r="X1247" s="17" t="s">
        <v>56</v>
      </c>
      <c r="Z1247" s="17" t="s">
        <v>58</v>
      </c>
      <c r="AA1247" s="17" t="s">
        <v>58</v>
      </c>
      <c r="AB1247" s="17" t="s">
        <v>57</v>
      </c>
      <c r="AC1247" s="17">
        <v>2001</v>
      </c>
      <c r="AD1247" s="17">
        <v>3</v>
      </c>
      <c r="AE1247" s="17"/>
      <c r="AF1247" s="17"/>
      <c r="AG1247" s="17">
        <v>1990</v>
      </c>
      <c r="AH1247" s="14">
        <f t="shared" si="85"/>
        <v>11</v>
      </c>
      <c r="AI1247" s="17">
        <f t="shared" si="86"/>
        <v>14</v>
      </c>
      <c r="AJ1247" s="17"/>
      <c r="AK1247" s="17" t="s">
        <v>56</v>
      </c>
      <c r="AL1247" s="16" t="s">
        <v>1671</v>
      </c>
      <c r="AM1247" s="17">
        <v>2019</v>
      </c>
      <c r="AN1247" s="15" t="s">
        <v>493</v>
      </c>
      <c r="AO1247" s="15" t="s">
        <v>56</v>
      </c>
      <c r="AP1247" s="15"/>
      <c r="AQ1247" s="15" t="s">
        <v>56</v>
      </c>
      <c r="AR1247" s="15" t="s">
        <v>58</v>
      </c>
      <c r="AS1247" s="15" t="s">
        <v>62</v>
      </c>
      <c r="AT1247" s="15"/>
      <c r="AU1247" s="45"/>
      <c r="AV1247" s="15"/>
      <c r="AW1247" s="12" t="str">
        <f>B1247&amp;C1247&amp;L1247&amp;M1247&amp;O1247&amp;U1247&amp;AL1247&amp;AM1247</f>
        <v>MexicoReserve El PalmarHypanus americanusdensity0Palacios-Sánchez2019</v>
      </c>
    </row>
    <row r="1248" spans="1:49" ht="14.25" customHeight="1" x14ac:dyDescent="0.35">
      <c r="A1248" s="12">
        <v>1247</v>
      </c>
      <c r="B1248" s="12" t="s">
        <v>254</v>
      </c>
      <c r="C1248" s="12" t="s">
        <v>1669</v>
      </c>
      <c r="D1248" s="15" t="s">
        <v>1669</v>
      </c>
      <c r="E1248" s="12" t="s">
        <v>68</v>
      </c>
      <c r="F1248" s="13" t="s">
        <v>274</v>
      </c>
      <c r="G1248" s="13" t="s">
        <v>51</v>
      </c>
      <c r="H1248" s="13" t="s">
        <v>108</v>
      </c>
      <c r="I1248" s="13" t="s">
        <v>156</v>
      </c>
      <c r="K1248" s="17">
        <v>95</v>
      </c>
      <c r="L1248" s="14" t="s">
        <v>1698</v>
      </c>
      <c r="M1248" s="14"/>
      <c r="N1248" s="14" t="s">
        <v>85</v>
      </c>
      <c r="O1248" s="17" t="s">
        <v>86</v>
      </c>
      <c r="P1248" s="14"/>
      <c r="Q1248" s="14"/>
      <c r="R1248" s="14"/>
      <c r="S1248" s="14">
        <v>1.6667000000000001E-2</v>
      </c>
      <c r="T1248" s="14">
        <v>0</v>
      </c>
      <c r="U1248" s="19">
        <f t="shared" si="84"/>
        <v>0</v>
      </c>
      <c r="V1248" s="41">
        <f t="shared" si="87"/>
        <v>-100</v>
      </c>
      <c r="W1248" s="14"/>
      <c r="X1248" s="14" t="s">
        <v>56</v>
      </c>
      <c r="Z1248" s="14" t="s">
        <v>58</v>
      </c>
      <c r="AA1248" s="14" t="s">
        <v>58</v>
      </c>
      <c r="AB1248" s="14" t="s">
        <v>57</v>
      </c>
      <c r="AC1248" s="14">
        <v>2001</v>
      </c>
      <c r="AD1248" s="14">
        <v>3</v>
      </c>
      <c r="AE1248" s="14"/>
      <c r="AF1248" s="14"/>
      <c r="AG1248" s="14">
        <v>1990</v>
      </c>
      <c r="AH1248" s="14">
        <f t="shared" si="85"/>
        <v>11</v>
      </c>
      <c r="AI1248" s="17">
        <f t="shared" si="86"/>
        <v>14</v>
      </c>
      <c r="AJ1248" s="14"/>
      <c r="AK1248" s="14" t="s">
        <v>56</v>
      </c>
      <c r="AL1248" s="13" t="s">
        <v>1671</v>
      </c>
      <c r="AM1248" s="14">
        <v>2019</v>
      </c>
      <c r="AN1248" s="12" t="s">
        <v>493</v>
      </c>
      <c r="AO1248" s="12" t="s">
        <v>56</v>
      </c>
      <c r="AP1248" s="12"/>
      <c r="AQ1248" s="12" t="s">
        <v>56</v>
      </c>
      <c r="AR1248" s="12" t="s">
        <v>58</v>
      </c>
      <c r="AS1248" s="12" t="s">
        <v>62</v>
      </c>
      <c r="AT1248" s="12"/>
      <c r="AU1248" s="45"/>
      <c r="AV1248" s="15"/>
      <c r="AW1248" s="12" t="str">
        <f>B1248&amp;C1248&amp;L1248&amp;M1248&amp;O1248&amp;U1248&amp;AL1248&amp;AM1248</f>
        <v>MexicoReserve El PalmarGunterichthys longipenisdensity0Palacios-Sánchez2019</v>
      </c>
    </row>
    <row r="1249" spans="1:49" ht="14.25" customHeight="1" x14ac:dyDescent="0.35">
      <c r="A1249" s="12">
        <v>1248</v>
      </c>
      <c r="B1249" s="12" t="s">
        <v>254</v>
      </c>
      <c r="C1249" s="12" t="s">
        <v>1669</v>
      </c>
      <c r="D1249" s="15" t="s">
        <v>1669</v>
      </c>
      <c r="E1249" s="12" t="s">
        <v>68</v>
      </c>
      <c r="F1249" s="13" t="s">
        <v>274</v>
      </c>
      <c r="G1249" s="13" t="s">
        <v>51</v>
      </c>
      <c r="H1249" s="13" t="s">
        <v>108</v>
      </c>
      <c r="I1249" s="13" t="s">
        <v>156</v>
      </c>
      <c r="K1249" s="14">
        <v>95</v>
      </c>
      <c r="L1249" s="14" t="s">
        <v>1699</v>
      </c>
      <c r="M1249" s="14"/>
      <c r="N1249" s="14" t="s">
        <v>85</v>
      </c>
      <c r="O1249" s="17" t="s">
        <v>86</v>
      </c>
      <c r="P1249" s="14"/>
      <c r="Q1249" s="14"/>
      <c r="R1249" s="14"/>
      <c r="S1249" s="14">
        <v>3.3333000000000002E-2</v>
      </c>
      <c r="T1249" s="14">
        <v>0</v>
      </c>
      <c r="U1249" s="19">
        <f t="shared" si="84"/>
        <v>0</v>
      </c>
      <c r="V1249" s="41">
        <f t="shared" si="87"/>
        <v>-100</v>
      </c>
      <c r="W1249" s="14"/>
      <c r="X1249" s="14" t="s">
        <v>56</v>
      </c>
      <c r="Z1249" s="14" t="s">
        <v>58</v>
      </c>
      <c r="AA1249" s="14" t="s">
        <v>58</v>
      </c>
      <c r="AB1249" s="14" t="s">
        <v>57</v>
      </c>
      <c r="AC1249" s="14">
        <v>2001</v>
      </c>
      <c r="AD1249" s="14">
        <v>3</v>
      </c>
      <c r="AE1249" s="14"/>
      <c r="AF1249" s="14"/>
      <c r="AG1249" s="14">
        <v>1990</v>
      </c>
      <c r="AH1249" s="14">
        <f t="shared" si="85"/>
        <v>11</v>
      </c>
      <c r="AI1249" s="17">
        <f t="shared" si="86"/>
        <v>14</v>
      </c>
      <c r="AJ1249" s="14"/>
      <c r="AK1249" s="14" t="s">
        <v>56</v>
      </c>
      <c r="AL1249" s="13" t="s">
        <v>1671</v>
      </c>
      <c r="AM1249" s="14">
        <v>2019</v>
      </c>
      <c r="AN1249" s="12" t="s">
        <v>493</v>
      </c>
      <c r="AO1249" s="12" t="s">
        <v>56</v>
      </c>
      <c r="AP1249" s="12"/>
      <c r="AQ1249" s="12" t="s">
        <v>56</v>
      </c>
      <c r="AR1249" s="12" t="s">
        <v>58</v>
      </c>
      <c r="AS1249" s="12" t="s">
        <v>62</v>
      </c>
      <c r="AT1249" s="12"/>
      <c r="AU1249" s="45"/>
      <c r="AV1249" s="15"/>
      <c r="AW1249" s="12" t="str">
        <f>B1249&amp;C1249&amp;L1249&amp;M1249&amp;O1249&amp;U1249&amp;AL1249&amp;AM1249</f>
        <v>MexicoReserve El PalmarChilomycterus schoepfiidensity0Palacios-Sánchez2019</v>
      </c>
    </row>
    <row r="1250" spans="1:49" ht="14.25" customHeight="1" x14ac:dyDescent="0.35">
      <c r="A1250" s="12">
        <v>1249</v>
      </c>
      <c r="B1250" s="12" t="s">
        <v>254</v>
      </c>
      <c r="C1250" s="12" t="s">
        <v>1669</v>
      </c>
      <c r="D1250" s="15" t="s">
        <v>1669</v>
      </c>
      <c r="E1250" s="15" t="s">
        <v>68</v>
      </c>
      <c r="F1250" s="13" t="s">
        <v>274</v>
      </c>
      <c r="G1250" s="13" t="s">
        <v>51</v>
      </c>
      <c r="H1250" s="16" t="s">
        <v>108</v>
      </c>
      <c r="I1250" s="16" t="s">
        <v>156</v>
      </c>
      <c r="J1250" s="17"/>
      <c r="K1250" s="14">
        <v>95</v>
      </c>
      <c r="L1250" s="17" t="s">
        <v>1021</v>
      </c>
      <c r="M1250" s="17"/>
      <c r="N1250" s="14" t="s">
        <v>85</v>
      </c>
      <c r="O1250" s="17" t="s">
        <v>86</v>
      </c>
      <c r="P1250" s="17"/>
      <c r="Q1250" s="17"/>
      <c r="R1250" s="17"/>
      <c r="S1250" s="17">
        <v>0.37666699999999997</v>
      </c>
      <c r="T1250" s="17">
        <v>0.14000000000000001</v>
      </c>
      <c r="U1250" s="20">
        <f t="shared" si="84"/>
        <v>0.37168108700788766</v>
      </c>
      <c r="V1250" s="41">
        <f t="shared" si="87"/>
        <v>-62.831891299211229</v>
      </c>
      <c r="W1250" s="17"/>
      <c r="X1250" s="14" t="s">
        <v>56</v>
      </c>
      <c r="Z1250" s="17" t="s">
        <v>58</v>
      </c>
      <c r="AA1250" s="17" t="s">
        <v>58</v>
      </c>
      <c r="AB1250" s="17" t="s">
        <v>57</v>
      </c>
      <c r="AC1250" s="17">
        <v>2001</v>
      </c>
      <c r="AD1250" s="17">
        <v>3</v>
      </c>
      <c r="AE1250" s="17"/>
      <c r="AF1250" s="17"/>
      <c r="AG1250" s="14">
        <v>1990</v>
      </c>
      <c r="AH1250" s="14">
        <f t="shared" si="85"/>
        <v>11</v>
      </c>
      <c r="AI1250" s="17">
        <f t="shared" si="86"/>
        <v>14</v>
      </c>
      <c r="AJ1250" s="17"/>
      <c r="AK1250" s="17" t="s">
        <v>56</v>
      </c>
      <c r="AL1250" s="16" t="s">
        <v>1671</v>
      </c>
      <c r="AM1250" s="17">
        <v>2019</v>
      </c>
      <c r="AN1250" s="15" t="s">
        <v>493</v>
      </c>
      <c r="AO1250" s="15" t="s">
        <v>56</v>
      </c>
      <c r="AP1250" s="15"/>
      <c r="AQ1250" s="15" t="s">
        <v>56</v>
      </c>
      <c r="AR1250" s="15" t="s">
        <v>58</v>
      </c>
      <c r="AS1250" s="15" t="s">
        <v>62</v>
      </c>
      <c r="AT1250" s="15"/>
      <c r="AU1250" s="45"/>
      <c r="AV1250" s="15"/>
      <c r="AW1250" s="12" t="str">
        <f>B1250&amp;C1250&amp;L1250&amp;M1250&amp;O1250&amp;U1250&amp;AL1250&amp;AM1250</f>
        <v>MexicoReserve El PalmarElops saurusdensity0.371681087007888Palacios-Sánchez2019</v>
      </c>
    </row>
    <row r="1251" spans="1:49" ht="14.25" customHeight="1" x14ac:dyDescent="0.35">
      <c r="A1251" s="12">
        <v>1250</v>
      </c>
      <c r="B1251" s="12" t="s">
        <v>254</v>
      </c>
      <c r="C1251" s="12" t="s">
        <v>1669</v>
      </c>
      <c r="D1251" s="15" t="s">
        <v>1669</v>
      </c>
      <c r="E1251" s="15" t="s">
        <v>68</v>
      </c>
      <c r="F1251" s="13" t="s">
        <v>274</v>
      </c>
      <c r="G1251" s="13" t="s">
        <v>51</v>
      </c>
      <c r="H1251" s="16" t="s">
        <v>108</v>
      </c>
      <c r="I1251" s="16" t="s">
        <v>156</v>
      </c>
      <c r="J1251" s="17"/>
      <c r="K1251" s="14">
        <v>95</v>
      </c>
      <c r="L1251" s="17" t="s">
        <v>1700</v>
      </c>
      <c r="M1251" s="17"/>
      <c r="N1251" s="14" t="s">
        <v>85</v>
      </c>
      <c r="O1251" s="17" t="s">
        <v>86</v>
      </c>
      <c r="P1251" s="17"/>
      <c r="Q1251" s="17"/>
      <c r="R1251" s="17"/>
      <c r="S1251" s="17">
        <v>4.95</v>
      </c>
      <c r="T1251" s="17">
        <v>192.56</v>
      </c>
      <c r="U1251" s="20">
        <f t="shared" si="84"/>
        <v>38.901010101010101</v>
      </c>
      <c r="V1251" s="41">
        <f t="shared" si="87"/>
        <v>3790.1010101010102</v>
      </c>
      <c r="W1251" s="17"/>
      <c r="X1251" s="14" t="s">
        <v>56</v>
      </c>
      <c r="Z1251" s="17" t="s">
        <v>58</v>
      </c>
      <c r="AA1251" s="17" t="s">
        <v>58</v>
      </c>
      <c r="AB1251" s="17" t="s">
        <v>57</v>
      </c>
      <c r="AC1251" s="17">
        <v>2001</v>
      </c>
      <c r="AD1251" s="17">
        <v>3</v>
      </c>
      <c r="AE1251" s="17"/>
      <c r="AF1251" s="17"/>
      <c r="AG1251" s="14">
        <v>1990</v>
      </c>
      <c r="AH1251" s="14">
        <f t="shared" si="85"/>
        <v>11</v>
      </c>
      <c r="AI1251" s="17">
        <f t="shared" si="86"/>
        <v>14</v>
      </c>
      <c r="AJ1251" s="17"/>
      <c r="AK1251" s="17" t="s">
        <v>56</v>
      </c>
      <c r="AL1251" s="16" t="s">
        <v>1671</v>
      </c>
      <c r="AM1251" s="17">
        <v>2019</v>
      </c>
      <c r="AN1251" s="15" t="s">
        <v>493</v>
      </c>
      <c r="AO1251" s="15" t="s">
        <v>56</v>
      </c>
      <c r="AP1251" s="15"/>
      <c r="AQ1251" s="15" t="s">
        <v>56</v>
      </c>
      <c r="AR1251" s="15" t="s">
        <v>58</v>
      </c>
      <c r="AS1251" s="15" t="s">
        <v>62</v>
      </c>
      <c r="AT1251" s="15"/>
      <c r="AU1251" s="45"/>
      <c r="AV1251" s="15"/>
      <c r="AW1251" s="12" t="str">
        <f>B1251&amp;C1251&amp;L1251&amp;M1251&amp;O1251&amp;U1251&amp;AL1251&amp;AM1251</f>
        <v>MexicoReserve El PalmarAnchoa hepsetusdensity38.9010101010101Palacios-Sánchez2019</v>
      </c>
    </row>
    <row r="1252" spans="1:49" ht="14.25" customHeight="1" x14ac:dyDescent="0.35">
      <c r="A1252" s="12">
        <v>1251</v>
      </c>
      <c r="B1252" s="15" t="s">
        <v>254</v>
      </c>
      <c r="C1252" s="12" t="s">
        <v>1669</v>
      </c>
      <c r="D1252" s="15" t="s">
        <v>1669</v>
      </c>
      <c r="E1252" s="15" t="s">
        <v>68</v>
      </c>
      <c r="F1252" s="16" t="s">
        <v>274</v>
      </c>
      <c r="G1252" s="16" t="s">
        <v>51</v>
      </c>
      <c r="H1252" s="16" t="s">
        <v>108</v>
      </c>
      <c r="I1252" s="16" t="s">
        <v>156</v>
      </c>
      <c r="J1252" s="17"/>
      <c r="K1252" s="14">
        <v>95</v>
      </c>
      <c r="L1252" s="17" t="s">
        <v>1701</v>
      </c>
      <c r="M1252" s="17"/>
      <c r="N1252" s="14" t="s">
        <v>85</v>
      </c>
      <c r="O1252" s="17" t="s">
        <v>86</v>
      </c>
      <c r="P1252" s="17"/>
      <c r="Q1252" s="17"/>
      <c r="R1252" s="17"/>
      <c r="S1252" s="17">
        <v>5.4633330000000004</v>
      </c>
      <c r="T1252" s="17">
        <v>2.48</v>
      </c>
      <c r="U1252" s="20">
        <f t="shared" si="84"/>
        <v>0.4539353541144206</v>
      </c>
      <c r="V1252" s="41">
        <f t="shared" si="87"/>
        <v>-54.606464588557934</v>
      </c>
      <c r="W1252" s="17"/>
      <c r="X1252" s="14" t="s">
        <v>56</v>
      </c>
      <c r="Z1252" s="17" t="s">
        <v>58</v>
      </c>
      <c r="AA1252" s="17" t="s">
        <v>58</v>
      </c>
      <c r="AB1252" s="17" t="s">
        <v>57</v>
      </c>
      <c r="AC1252" s="17">
        <v>2001</v>
      </c>
      <c r="AD1252" s="17">
        <v>3</v>
      </c>
      <c r="AE1252" s="17"/>
      <c r="AF1252" s="17"/>
      <c r="AG1252" s="14">
        <v>1990</v>
      </c>
      <c r="AH1252" s="14">
        <f t="shared" si="85"/>
        <v>11</v>
      </c>
      <c r="AI1252" s="17">
        <f t="shared" si="86"/>
        <v>14</v>
      </c>
      <c r="AJ1252" s="17"/>
      <c r="AK1252" s="17" t="s">
        <v>56</v>
      </c>
      <c r="AL1252" s="16" t="s">
        <v>1671</v>
      </c>
      <c r="AM1252" s="17">
        <v>2019</v>
      </c>
      <c r="AN1252" s="15" t="s">
        <v>493</v>
      </c>
      <c r="AO1252" s="15" t="s">
        <v>56</v>
      </c>
      <c r="AP1252" s="15"/>
      <c r="AQ1252" s="15" t="s">
        <v>56</v>
      </c>
      <c r="AR1252" s="15" t="s">
        <v>58</v>
      </c>
      <c r="AS1252" s="15" t="s">
        <v>62</v>
      </c>
      <c r="AT1252" s="15"/>
      <c r="AU1252" s="45"/>
      <c r="AV1252" s="15"/>
      <c r="AW1252" s="12" t="str">
        <f>B1252&amp;C1252&amp;L1252&amp;M1252&amp;O1252&amp;U1252&amp;AL1252&amp;AM1252</f>
        <v>MexicoReserve El PalmarEucinostomus argenteusdensity0.453935354114421Palacios-Sánchez2019</v>
      </c>
    </row>
    <row r="1253" spans="1:49" ht="14.25" customHeight="1" x14ac:dyDescent="0.35">
      <c r="A1253" s="12">
        <v>1252</v>
      </c>
      <c r="B1253" s="15" t="s">
        <v>254</v>
      </c>
      <c r="C1253" s="12" t="s">
        <v>1669</v>
      </c>
      <c r="D1253" s="15" t="s">
        <v>1669</v>
      </c>
      <c r="E1253" s="15" t="s">
        <v>68</v>
      </c>
      <c r="F1253" s="16" t="s">
        <v>274</v>
      </c>
      <c r="G1253" s="16" t="s">
        <v>51</v>
      </c>
      <c r="H1253" s="16" t="s">
        <v>108</v>
      </c>
      <c r="I1253" s="16" t="s">
        <v>156</v>
      </c>
      <c r="J1253" s="17"/>
      <c r="K1253" s="14">
        <v>95</v>
      </c>
      <c r="L1253" s="17" t="s">
        <v>1038</v>
      </c>
      <c r="M1253" s="17"/>
      <c r="N1253" s="14" t="s">
        <v>85</v>
      </c>
      <c r="O1253" s="17" t="s">
        <v>86</v>
      </c>
      <c r="P1253" s="17"/>
      <c r="Q1253" s="17"/>
      <c r="R1253" s="17"/>
      <c r="S1253" s="17">
        <v>7.3866670000000001</v>
      </c>
      <c r="T1253" s="17">
        <v>0.75</v>
      </c>
      <c r="U1253" s="20">
        <f t="shared" si="84"/>
        <v>0.10153429144700851</v>
      </c>
      <c r="V1253" s="41">
        <f t="shared" si="87"/>
        <v>-89.846570855299149</v>
      </c>
      <c r="W1253" s="17"/>
      <c r="X1253" s="14" t="s">
        <v>56</v>
      </c>
      <c r="Z1253" s="17" t="s">
        <v>58</v>
      </c>
      <c r="AA1253" s="17" t="s">
        <v>58</v>
      </c>
      <c r="AB1253" s="17" t="s">
        <v>57</v>
      </c>
      <c r="AC1253" s="17">
        <v>2001</v>
      </c>
      <c r="AD1253" s="17">
        <v>3</v>
      </c>
      <c r="AE1253" s="17"/>
      <c r="AF1253" s="17"/>
      <c r="AG1253" s="14">
        <v>1990</v>
      </c>
      <c r="AH1253" s="14">
        <f t="shared" si="85"/>
        <v>11</v>
      </c>
      <c r="AI1253" s="17">
        <f t="shared" si="86"/>
        <v>14</v>
      </c>
      <c r="AJ1253" s="17"/>
      <c r="AK1253" s="17" t="s">
        <v>56</v>
      </c>
      <c r="AL1253" s="16" t="s">
        <v>1671</v>
      </c>
      <c r="AM1253" s="17">
        <v>2019</v>
      </c>
      <c r="AN1253" s="15" t="s">
        <v>493</v>
      </c>
      <c r="AO1253" s="15" t="s">
        <v>56</v>
      </c>
      <c r="AP1253" s="15"/>
      <c r="AQ1253" s="15" t="s">
        <v>56</v>
      </c>
      <c r="AR1253" s="15" t="s">
        <v>58</v>
      </c>
      <c r="AS1253" s="15" t="s">
        <v>62</v>
      </c>
      <c r="AT1253" s="15"/>
      <c r="AU1253" s="45"/>
      <c r="AV1253" s="15"/>
      <c r="AW1253" s="12" t="str">
        <f>B1253&amp;C1253&amp;L1253&amp;M1253&amp;O1253&amp;U1253&amp;AL1253&amp;AM1253</f>
        <v>MexicoReserve El PalmarEucinostomus guladensity0.101534291447009Palacios-Sánchez2019</v>
      </c>
    </row>
    <row r="1254" spans="1:49" ht="14.25" customHeight="1" x14ac:dyDescent="0.35">
      <c r="A1254" s="12">
        <v>1253</v>
      </c>
      <c r="B1254" s="15" t="s">
        <v>254</v>
      </c>
      <c r="C1254" s="12" t="s">
        <v>1669</v>
      </c>
      <c r="D1254" s="15" t="s">
        <v>1669</v>
      </c>
      <c r="E1254" s="15" t="s">
        <v>68</v>
      </c>
      <c r="F1254" s="16" t="s">
        <v>274</v>
      </c>
      <c r="G1254" s="16" t="s">
        <v>51</v>
      </c>
      <c r="H1254" s="16" t="s">
        <v>108</v>
      </c>
      <c r="I1254" s="16" t="s">
        <v>156</v>
      </c>
      <c r="J1254" s="17"/>
      <c r="K1254" s="14">
        <v>95</v>
      </c>
      <c r="L1254" s="17" t="s">
        <v>1042</v>
      </c>
      <c r="M1254" s="17"/>
      <c r="N1254" s="14" t="s">
        <v>85</v>
      </c>
      <c r="O1254" s="17" t="s">
        <v>86</v>
      </c>
      <c r="P1254" s="17"/>
      <c r="Q1254" s="17"/>
      <c r="R1254" s="17"/>
      <c r="S1254" s="17">
        <v>0.26333299999999998</v>
      </c>
      <c r="T1254" s="17">
        <v>0.2</v>
      </c>
      <c r="U1254" s="20">
        <f t="shared" si="84"/>
        <v>0.75949463227168645</v>
      </c>
      <c r="V1254" s="41">
        <f t="shared" si="87"/>
        <v>-24.050536772831354</v>
      </c>
      <c r="W1254" s="17"/>
      <c r="X1254" s="14" t="s">
        <v>56</v>
      </c>
      <c r="Z1254" s="17" t="s">
        <v>58</v>
      </c>
      <c r="AA1254" s="17" t="s">
        <v>58</v>
      </c>
      <c r="AB1254" s="17" t="s">
        <v>57</v>
      </c>
      <c r="AC1254" s="17">
        <v>2001</v>
      </c>
      <c r="AD1254" s="17">
        <v>3</v>
      </c>
      <c r="AE1254" s="17"/>
      <c r="AF1254" s="17"/>
      <c r="AG1254" s="14">
        <v>1990</v>
      </c>
      <c r="AH1254" s="14">
        <f t="shared" si="85"/>
        <v>11</v>
      </c>
      <c r="AI1254" s="17">
        <f t="shared" si="86"/>
        <v>14</v>
      </c>
      <c r="AJ1254" s="17"/>
      <c r="AK1254" s="17" t="s">
        <v>56</v>
      </c>
      <c r="AL1254" s="16" t="s">
        <v>1671</v>
      </c>
      <c r="AM1254" s="17">
        <v>2019</v>
      </c>
      <c r="AN1254" s="15" t="s">
        <v>493</v>
      </c>
      <c r="AO1254" s="15" t="s">
        <v>56</v>
      </c>
      <c r="AP1254" s="15"/>
      <c r="AQ1254" s="15" t="s">
        <v>56</v>
      </c>
      <c r="AR1254" s="15" t="s">
        <v>58</v>
      </c>
      <c r="AS1254" s="15" t="s">
        <v>62</v>
      </c>
      <c r="AT1254" s="15"/>
      <c r="AU1254" s="45"/>
      <c r="AV1254" s="15"/>
      <c r="AW1254" s="12" t="str">
        <f>B1254&amp;C1254&amp;L1254&amp;M1254&amp;O1254&amp;U1254&amp;AL1254&amp;AM1254</f>
        <v>MexicoReserve El PalmarEucinostomus harengulusdensity0.759494632271686Palacios-Sánchez2019</v>
      </c>
    </row>
    <row r="1255" spans="1:49" ht="14.25" customHeight="1" x14ac:dyDescent="0.35">
      <c r="A1255" s="12">
        <v>1254</v>
      </c>
      <c r="B1255" s="15" t="s">
        <v>254</v>
      </c>
      <c r="C1255" s="12" t="s">
        <v>1669</v>
      </c>
      <c r="D1255" s="15" t="s">
        <v>1669</v>
      </c>
      <c r="E1255" s="15" t="s">
        <v>68</v>
      </c>
      <c r="F1255" s="16" t="s">
        <v>274</v>
      </c>
      <c r="G1255" s="16" t="s">
        <v>51</v>
      </c>
      <c r="H1255" s="16" t="s">
        <v>108</v>
      </c>
      <c r="I1255" s="16" t="s">
        <v>156</v>
      </c>
      <c r="J1255" s="17"/>
      <c r="K1255" s="14">
        <v>95</v>
      </c>
      <c r="L1255" s="17" t="s">
        <v>1702</v>
      </c>
      <c r="M1255" s="17"/>
      <c r="N1255" s="14" t="s">
        <v>85</v>
      </c>
      <c r="O1255" s="17" t="s">
        <v>86</v>
      </c>
      <c r="P1255" s="17"/>
      <c r="Q1255" s="17"/>
      <c r="R1255" s="17"/>
      <c r="S1255" s="17">
        <v>0.73333300000000001</v>
      </c>
      <c r="T1255" s="17">
        <v>1.17</v>
      </c>
      <c r="U1255" s="20">
        <f t="shared" si="84"/>
        <v>1.5954552706614866</v>
      </c>
      <c r="V1255" s="41">
        <f t="shared" si="87"/>
        <v>59.545527066148665</v>
      </c>
      <c r="W1255" s="17"/>
      <c r="X1255" s="14" t="s">
        <v>56</v>
      </c>
      <c r="Z1255" s="17" t="s">
        <v>58</v>
      </c>
      <c r="AA1255" s="17" t="s">
        <v>58</v>
      </c>
      <c r="AB1255" s="17" t="s">
        <v>57</v>
      </c>
      <c r="AC1255" s="17">
        <v>2001</v>
      </c>
      <c r="AD1255" s="17">
        <v>3</v>
      </c>
      <c r="AE1255" s="17"/>
      <c r="AF1255" s="17"/>
      <c r="AG1255" s="14">
        <v>1990</v>
      </c>
      <c r="AH1255" s="14">
        <f t="shared" si="85"/>
        <v>11</v>
      </c>
      <c r="AI1255" s="17">
        <f t="shared" si="86"/>
        <v>14</v>
      </c>
      <c r="AJ1255" s="17"/>
      <c r="AK1255" s="17" t="s">
        <v>56</v>
      </c>
      <c r="AL1255" s="16" t="s">
        <v>1671</v>
      </c>
      <c r="AM1255" s="17">
        <v>2019</v>
      </c>
      <c r="AN1255" s="15" t="s">
        <v>493</v>
      </c>
      <c r="AO1255" s="15" t="s">
        <v>56</v>
      </c>
      <c r="AP1255" s="15"/>
      <c r="AQ1255" s="15" t="s">
        <v>56</v>
      </c>
      <c r="AR1255" s="15" t="s">
        <v>58</v>
      </c>
      <c r="AS1255" s="15" t="s">
        <v>62</v>
      </c>
      <c r="AT1255" s="15"/>
      <c r="AU1255" s="45"/>
      <c r="AV1255" s="15"/>
      <c r="AW1255" s="12" t="str">
        <f>B1255&amp;C1255&amp;L1255&amp;M1255&amp;O1255&amp;U1255&amp;AL1255&amp;AM1255</f>
        <v>MexicoReserve El PalmarGymnura micruradensity1.59545527066149Palacios-Sánchez2019</v>
      </c>
    </row>
    <row r="1256" spans="1:49" ht="14.25" customHeight="1" x14ac:dyDescent="0.35">
      <c r="A1256" s="12">
        <v>1255</v>
      </c>
      <c r="B1256" s="15" t="s">
        <v>254</v>
      </c>
      <c r="C1256" s="12" t="s">
        <v>1669</v>
      </c>
      <c r="D1256" s="15" t="s">
        <v>1669</v>
      </c>
      <c r="E1256" s="15" t="s">
        <v>68</v>
      </c>
      <c r="F1256" s="16" t="s">
        <v>274</v>
      </c>
      <c r="G1256" s="16" t="s">
        <v>51</v>
      </c>
      <c r="H1256" s="16" t="s">
        <v>108</v>
      </c>
      <c r="I1256" s="16" t="s">
        <v>156</v>
      </c>
      <c r="J1256" s="17"/>
      <c r="K1256" s="14">
        <v>95</v>
      </c>
      <c r="L1256" s="17" t="s">
        <v>1031</v>
      </c>
      <c r="M1256" s="17"/>
      <c r="N1256" s="14" t="s">
        <v>85</v>
      </c>
      <c r="O1256" s="17" t="s">
        <v>86</v>
      </c>
      <c r="P1256" s="17"/>
      <c r="Q1256" s="17"/>
      <c r="R1256" s="17"/>
      <c r="S1256" s="17">
        <v>0.23333300000000001</v>
      </c>
      <c r="T1256" s="17">
        <v>0.04</v>
      </c>
      <c r="U1256" s="20">
        <f t="shared" si="84"/>
        <v>0.17142881632688045</v>
      </c>
      <c r="V1256" s="41">
        <f t="shared" si="87"/>
        <v>-82.857118367311955</v>
      </c>
      <c r="W1256" s="17"/>
      <c r="X1256" s="14" t="s">
        <v>56</v>
      </c>
      <c r="Z1256" s="17" t="s">
        <v>58</v>
      </c>
      <c r="AA1256" s="17" t="s">
        <v>58</v>
      </c>
      <c r="AB1256" s="17" t="s">
        <v>57</v>
      </c>
      <c r="AC1256" s="17">
        <v>2001</v>
      </c>
      <c r="AD1256" s="17">
        <v>3</v>
      </c>
      <c r="AE1256" s="17"/>
      <c r="AF1256" s="17"/>
      <c r="AG1256" s="14">
        <v>1990</v>
      </c>
      <c r="AH1256" s="14">
        <f t="shared" si="85"/>
        <v>11</v>
      </c>
      <c r="AI1256" s="17">
        <f t="shared" si="86"/>
        <v>14</v>
      </c>
      <c r="AJ1256" s="17"/>
      <c r="AK1256" s="17" t="s">
        <v>56</v>
      </c>
      <c r="AL1256" s="16" t="s">
        <v>1671</v>
      </c>
      <c r="AM1256" s="17">
        <v>2019</v>
      </c>
      <c r="AN1256" s="15" t="s">
        <v>493</v>
      </c>
      <c r="AO1256" s="15" t="s">
        <v>56</v>
      </c>
      <c r="AP1256" s="15"/>
      <c r="AQ1256" s="15" t="s">
        <v>56</v>
      </c>
      <c r="AR1256" s="15" t="s">
        <v>58</v>
      </c>
      <c r="AS1256" s="15" t="s">
        <v>62</v>
      </c>
      <c r="AT1256" s="15"/>
      <c r="AU1256" s="45"/>
      <c r="AV1256" s="15"/>
      <c r="AW1256" s="12" t="str">
        <f>B1256&amp;C1256&amp;L1256&amp;M1256&amp;O1256&amp;U1256&amp;AL1256&amp;AM1256</f>
        <v>MexicoReserve El PalmarOrthopristis chrysopteradensity0.17142881632688Palacios-Sánchez2019</v>
      </c>
    </row>
    <row r="1257" spans="1:49" ht="14.25" customHeight="1" x14ac:dyDescent="0.35">
      <c r="A1257" s="12">
        <v>1256</v>
      </c>
      <c r="B1257" s="12" t="s">
        <v>254</v>
      </c>
      <c r="C1257" s="15" t="s">
        <v>1669</v>
      </c>
      <c r="D1257" s="15" t="s">
        <v>1669</v>
      </c>
      <c r="E1257" s="15" t="s">
        <v>68</v>
      </c>
      <c r="F1257" s="13" t="s">
        <v>274</v>
      </c>
      <c r="G1257" s="13" t="s">
        <v>51</v>
      </c>
      <c r="H1257" s="16" t="s">
        <v>108</v>
      </c>
      <c r="I1257" s="16" t="s">
        <v>156</v>
      </c>
      <c r="J1257" s="17"/>
      <c r="K1257" s="17">
        <v>95</v>
      </c>
      <c r="L1257" s="17" t="s">
        <v>1009</v>
      </c>
      <c r="M1257" s="17"/>
      <c r="N1257" s="14" t="s">
        <v>85</v>
      </c>
      <c r="O1257" s="17" t="s">
        <v>86</v>
      </c>
      <c r="P1257" s="17"/>
      <c r="Q1257" s="17"/>
      <c r="R1257" s="17"/>
      <c r="S1257" s="17">
        <v>2.3333E-2</v>
      </c>
      <c r="T1257" s="17">
        <v>0</v>
      </c>
      <c r="U1257" s="20">
        <f t="shared" si="84"/>
        <v>0</v>
      </c>
      <c r="V1257" s="41">
        <f t="shared" si="87"/>
        <v>-100</v>
      </c>
      <c r="W1257" s="17"/>
      <c r="X1257" s="17" t="s">
        <v>56</v>
      </c>
      <c r="Z1257" s="17" t="s">
        <v>58</v>
      </c>
      <c r="AA1257" s="17" t="s">
        <v>58</v>
      </c>
      <c r="AB1257" s="17" t="s">
        <v>57</v>
      </c>
      <c r="AC1257" s="17">
        <v>2001</v>
      </c>
      <c r="AD1257" s="17">
        <v>3</v>
      </c>
      <c r="AE1257" s="17"/>
      <c r="AF1257" s="17"/>
      <c r="AG1257" s="17">
        <v>1990</v>
      </c>
      <c r="AH1257" s="14">
        <f t="shared" si="85"/>
        <v>11</v>
      </c>
      <c r="AI1257" s="17">
        <f t="shared" si="86"/>
        <v>14</v>
      </c>
      <c r="AJ1257" s="17"/>
      <c r="AK1257" s="17" t="s">
        <v>56</v>
      </c>
      <c r="AL1257" s="16" t="s">
        <v>1671</v>
      </c>
      <c r="AM1257" s="17">
        <v>2019</v>
      </c>
      <c r="AN1257" s="15" t="s">
        <v>493</v>
      </c>
      <c r="AO1257" s="15" t="s">
        <v>56</v>
      </c>
      <c r="AP1257" s="15"/>
      <c r="AQ1257" s="15" t="s">
        <v>56</v>
      </c>
      <c r="AR1257" s="15" t="s">
        <v>58</v>
      </c>
      <c r="AS1257" s="15" t="s">
        <v>62</v>
      </c>
      <c r="AT1257" s="15"/>
      <c r="AU1257" s="45"/>
      <c r="AV1257" s="15"/>
      <c r="AW1257" s="12" t="str">
        <f>B1257&amp;C1257&amp;L1257&amp;M1257&amp;O1257&amp;U1257&amp;AL1257&amp;AM1257</f>
        <v>MexicoReserve El PalmarAnisotremus virginicusdensity0Palacios-Sánchez2019</v>
      </c>
    </row>
    <row r="1258" spans="1:49" ht="14.25" customHeight="1" x14ac:dyDescent="0.35">
      <c r="A1258" s="12">
        <v>1257</v>
      </c>
      <c r="B1258" s="12" t="s">
        <v>254</v>
      </c>
      <c r="C1258" s="15" t="s">
        <v>1669</v>
      </c>
      <c r="D1258" s="15" t="s">
        <v>1669</v>
      </c>
      <c r="E1258" s="15" t="s">
        <v>68</v>
      </c>
      <c r="F1258" s="16" t="s">
        <v>274</v>
      </c>
      <c r="G1258" s="16" t="s">
        <v>51</v>
      </c>
      <c r="H1258" s="16" t="s">
        <v>108</v>
      </c>
      <c r="I1258" s="16" t="s">
        <v>156</v>
      </c>
      <c r="J1258" s="17"/>
      <c r="K1258" s="17">
        <v>95</v>
      </c>
      <c r="L1258" s="17" t="s">
        <v>1703</v>
      </c>
      <c r="M1258" s="17"/>
      <c r="N1258" s="14" t="s">
        <v>85</v>
      </c>
      <c r="O1258" s="17" t="s">
        <v>86</v>
      </c>
      <c r="P1258" s="17"/>
      <c r="Q1258" s="17"/>
      <c r="R1258" s="17"/>
      <c r="S1258" s="17">
        <v>2.3333E-2</v>
      </c>
      <c r="T1258" s="17">
        <v>0.02</v>
      </c>
      <c r="U1258" s="20">
        <f t="shared" si="84"/>
        <v>0.85715510221574598</v>
      </c>
      <c r="V1258" s="41">
        <f t="shared" si="87"/>
        <v>-14.284489778425403</v>
      </c>
      <c r="W1258" s="17"/>
      <c r="X1258" s="17" t="s">
        <v>56</v>
      </c>
      <c r="Z1258" s="17" t="s">
        <v>58</v>
      </c>
      <c r="AA1258" s="17" t="s">
        <v>58</v>
      </c>
      <c r="AB1258" s="17" t="s">
        <v>57</v>
      </c>
      <c r="AC1258" s="17">
        <v>2001</v>
      </c>
      <c r="AD1258" s="17">
        <v>3</v>
      </c>
      <c r="AE1258" s="17"/>
      <c r="AF1258" s="17"/>
      <c r="AG1258" s="17">
        <v>1990</v>
      </c>
      <c r="AH1258" s="14">
        <f t="shared" si="85"/>
        <v>11</v>
      </c>
      <c r="AI1258" s="17">
        <f t="shared" si="86"/>
        <v>14</v>
      </c>
      <c r="AJ1258" s="17"/>
      <c r="AK1258" s="17" t="s">
        <v>56</v>
      </c>
      <c r="AL1258" s="16" t="s">
        <v>1671</v>
      </c>
      <c r="AM1258" s="17">
        <v>2019</v>
      </c>
      <c r="AN1258" s="15" t="s">
        <v>493</v>
      </c>
      <c r="AO1258" s="15" t="s">
        <v>56</v>
      </c>
      <c r="AP1258" s="15"/>
      <c r="AQ1258" s="15" t="s">
        <v>56</v>
      </c>
      <c r="AR1258" s="15" t="s">
        <v>58</v>
      </c>
      <c r="AS1258" s="15" t="s">
        <v>62</v>
      </c>
      <c r="AT1258" s="15"/>
      <c r="AU1258" s="45"/>
      <c r="AV1258" s="15"/>
      <c r="AW1258" s="12" t="str">
        <f>B1258&amp;C1258&amp;L1258&amp;M1258&amp;O1258&amp;U1258&amp;AL1258&amp;AM1258</f>
        <v>MexicoReserve El PalmarHaemulon plumieriidensity0.857155102215746Palacios-Sánchez2019</v>
      </c>
    </row>
    <row r="1259" spans="1:49" ht="14.25" customHeight="1" x14ac:dyDescent="0.35">
      <c r="A1259" s="12">
        <v>1258</v>
      </c>
      <c r="B1259" s="12" t="s">
        <v>254</v>
      </c>
      <c r="C1259" s="15" t="s">
        <v>1669</v>
      </c>
      <c r="D1259" s="15" t="s">
        <v>1669</v>
      </c>
      <c r="E1259" s="15" t="s">
        <v>68</v>
      </c>
      <c r="F1259" s="13" t="s">
        <v>274</v>
      </c>
      <c r="G1259" s="13" t="s">
        <v>51</v>
      </c>
      <c r="H1259" s="16" t="s">
        <v>108</v>
      </c>
      <c r="I1259" s="16" t="s">
        <v>156</v>
      </c>
      <c r="J1259" s="17"/>
      <c r="K1259" s="17">
        <v>95</v>
      </c>
      <c r="L1259" s="17" t="s">
        <v>1704</v>
      </c>
      <c r="M1259" s="17"/>
      <c r="N1259" s="14" t="s">
        <v>85</v>
      </c>
      <c r="O1259" s="17" t="s">
        <v>86</v>
      </c>
      <c r="P1259" s="17"/>
      <c r="Q1259" s="17"/>
      <c r="R1259" s="17"/>
      <c r="S1259" s="17">
        <v>0</v>
      </c>
      <c r="T1259" s="17">
        <v>0.04</v>
      </c>
      <c r="U1259" s="20" t="str">
        <f t="shared" si="84"/>
        <v>N/A</v>
      </c>
      <c r="V1259" s="41" t="str">
        <f t="shared" si="87"/>
        <v>N/A</v>
      </c>
      <c r="W1259" s="17"/>
      <c r="X1259" s="17" t="s">
        <v>56</v>
      </c>
      <c r="Z1259" s="17" t="s">
        <v>58</v>
      </c>
      <c r="AA1259" s="17" t="s">
        <v>58</v>
      </c>
      <c r="AB1259" s="17" t="s">
        <v>57</v>
      </c>
      <c r="AC1259" s="17">
        <v>2001</v>
      </c>
      <c r="AD1259" s="17">
        <v>3</v>
      </c>
      <c r="AE1259" s="17"/>
      <c r="AF1259" s="17"/>
      <c r="AG1259" s="17">
        <v>1990</v>
      </c>
      <c r="AH1259" s="14">
        <f t="shared" si="85"/>
        <v>11</v>
      </c>
      <c r="AI1259" s="17">
        <f t="shared" si="86"/>
        <v>14</v>
      </c>
      <c r="AJ1259" s="17"/>
      <c r="AK1259" s="17" t="s">
        <v>56</v>
      </c>
      <c r="AL1259" s="16" t="s">
        <v>1671</v>
      </c>
      <c r="AM1259" s="17">
        <v>2019</v>
      </c>
      <c r="AN1259" s="15" t="s">
        <v>493</v>
      </c>
      <c r="AO1259" s="15" t="s">
        <v>56</v>
      </c>
      <c r="AP1259" s="15"/>
      <c r="AQ1259" s="15" t="s">
        <v>56</v>
      </c>
      <c r="AR1259" s="15" t="s">
        <v>58</v>
      </c>
      <c r="AS1259" s="15" t="s">
        <v>62</v>
      </c>
      <c r="AT1259" s="15"/>
      <c r="AU1259" s="45"/>
      <c r="AV1259" s="15"/>
      <c r="AW1259" s="12" t="str">
        <f>B1259&amp;C1259&amp;L1259&amp;M1259&amp;O1259&amp;U1259&amp;AL1259&amp;AM1259</f>
        <v>MexicoReserve El PalmarHaemulon flavolineatumdensityN/APalacios-Sánchez2019</v>
      </c>
    </row>
    <row r="1260" spans="1:49" ht="14.25" customHeight="1" x14ac:dyDescent="0.35">
      <c r="A1260" s="12">
        <v>1259</v>
      </c>
      <c r="B1260" s="15" t="s">
        <v>254</v>
      </c>
      <c r="C1260" s="15" t="s">
        <v>1669</v>
      </c>
      <c r="D1260" s="15" t="s">
        <v>1669</v>
      </c>
      <c r="E1260" s="15" t="s">
        <v>68</v>
      </c>
      <c r="F1260" s="16" t="s">
        <v>274</v>
      </c>
      <c r="G1260" s="16" t="s">
        <v>51</v>
      </c>
      <c r="H1260" s="16" t="s">
        <v>108</v>
      </c>
      <c r="I1260" s="16" t="s">
        <v>156</v>
      </c>
      <c r="J1260" s="17"/>
      <c r="K1260" s="17">
        <v>95</v>
      </c>
      <c r="L1260" s="17" t="s">
        <v>1705</v>
      </c>
      <c r="M1260" s="17"/>
      <c r="N1260" s="14" t="s">
        <v>85</v>
      </c>
      <c r="O1260" s="17" t="s">
        <v>86</v>
      </c>
      <c r="P1260" s="17"/>
      <c r="Q1260" s="17"/>
      <c r="R1260" s="17"/>
      <c r="S1260" s="17">
        <v>2.3333E-2</v>
      </c>
      <c r="T1260" s="17">
        <v>0</v>
      </c>
      <c r="U1260" s="20">
        <f t="shared" si="84"/>
        <v>0</v>
      </c>
      <c r="V1260" s="41">
        <f t="shared" si="87"/>
        <v>-100</v>
      </c>
      <c r="W1260" s="17"/>
      <c r="X1260" s="17" t="s">
        <v>56</v>
      </c>
      <c r="Z1260" s="17" t="s">
        <v>58</v>
      </c>
      <c r="AA1260" s="17" t="s">
        <v>58</v>
      </c>
      <c r="AB1260" s="17" t="s">
        <v>57</v>
      </c>
      <c r="AC1260" s="17">
        <v>2001</v>
      </c>
      <c r="AD1260" s="17">
        <v>3</v>
      </c>
      <c r="AE1260" s="17"/>
      <c r="AF1260" s="17"/>
      <c r="AG1260" s="17">
        <v>1990</v>
      </c>
      <c r="AH1260" s="14">
        <f t="shared" si="85"/>
        <v>11</v>
      </c>
      <c r="AI1260" s="17">
        <f t="shared" si="86"/>
        <v>14</v>
      </c>
      <c r="AJ1260" s="17"/>
      <c r="AK1260" s="17" t="s">
        <v>56</v>
      </c>
      <c r="AL1260" s="16" t="s">
        <v>1671</v>
      </c>
      <c r="AM1260" s="17">
        <v>2019</v>
      </c>
      <c r="AN1260" s="15" t="s">
        <v>493</v>
      </c>
      <c r="AO1260" s="15" t="s">
        <v>56</v>
      </c>
      <c r="AP1260" s="15"/>
      <c r="AQ1260" s="15" t="s">
        <v>56</v>
      </c>
      <c r="AR1260" s="15" t="s">
        <v>58</v>
      </c>
      <c r="AS1260" s="15" t="s">
        <v>62</v>
      </c>
      <c r="AT1260" s="15"/>
      <c r="AU1260" s="45"/>
      <c r="AV1260" s="15"/>
      <c r="AW1260" s="12" t="str">
        <f>B1260&amp;C1260&amp;L1260&amp;M1260&amp;O1260&amp;U1260&amp;AL1260&amp;AM1260</f>
        <v>MexicoReserve El PalmarLutjanus analisdensity0Palacios-Sánchez2019</v>
      </c>
    </row>
    <row r="1261" spans="1:49" ht="14.25" customHeight="1" x14ac:dyDescent="0.35">
      <c r="A1261" s="12">
        <v>1260</v>
      </c>
      <c r="B1261" s="15" t="s">
        <v>254</v>
      </c>
      <c r="C1261" s="15" t="s">
        <v>1669</v>
      </c>
      <c r="D1261" s="15" t="s">
        <v>1669</v>
      </c>
      <c r="E1261" s="15" t="s">
        <v>68</v>
      </c>
      <c r="F1261" s="16" t="s">
        <v>274</v>
      </c>
      <c r="G1261" s="16" t="s">
        <v>51</v>
      </c>
      <c r="H1261" s="16" t="s">
        <v>108</v>
      </c>
      <c r="I1261" s="16" t="s">
        <v>156</v>
      </c>
      <c r="J1261" s="17"/>
      <c r="K1261" s="17">
        <v>95</v>
      </c>
      <c r="L1261" s="17" t="s">
        <v>781</v>
      </c>
      <c r="M1261" s="17"/>
      <c r="N1261" s="14" t="s">
        <v>85</v>
      </c>
      <c r="O1261" s="17" t="s">
        <v>86</v>
      </c>
      <c r="P1261" s="17"/>
      <c r="Q1261" s="17"/>
      <c r="R1261" s="17"/>
      <c r="S1261" s="17">
        <v>0.43333300000000002</v>
      </c>
      <c r="T1261" s="17">
        <v>0.55000000000000004</v>
      </c>
      <c r="U1261" s="20">
        <f t="shared" si="84"/>
        <v>1.2692317455628812</v>
      </c>
      <c r="V1261" s="41">
        <f t="shared" si="87"/>
        <v>26.923174556288121</v>
      </c>
      <c r="W1261" s="17"/>
      <c r="X1261" s="17" t="s">
        <v>56</v>
      </c>
      <c r="Z1261" s="17" t="s">
        <v>58</v>
      </c>
      <c r="AA1261" s="17" t="s">
        <v>58</v>
      </c>
      <c r="AB1261" s="17" t="s">
        <v>57</v>
      </c>
      <c r="AC1261" s="17">
        <v>2001</v>
      </c>
      <c r="AD1261" s="17">
        <v>3</v>
      </c>
      <c r="AE1261" s="17"/>
      <c r="AF1261" s="17"/>
      <c r="AG1261" s="17">
        <v>1990</v>
      </c>
      <c r="AH1261" s="14">
        <f t="shared" si="85"/>
        <v>11</v>
      </c>
      <c r="AI1261" s="17">
        <f t="shared" si="86"/>
        <v>14</v>
      </c>
      <c r="AJ1261" s="17"/>
      <c r="AK1261" s="17" t="s">
        <v>56</v>
      </c>
      <c r="AL1261" s="16" t="s">
        <v>1671</v>
      </c>
      <c r="AM1261" s="17">
        <v>2019</v>
      </c>
      <c r="AN1261" s="15" t="s">
        <v>493</v>
      </c>
      <c r="AO1261" s="15" t="s">
        <v>56</v>
      </c>
      <c r="AP1261" s="15"/>
      <c r="AQ1261" s="15" t="s">
        <v>56</v>
      </c>
      <c r="AR1261" s="15" t="s">
        <v>58</v>
      </c>
      <c r="AS1261" s="15" t="s">
        <v>62</v>
      </c>
      <c r="AT1261" s="15"/>
      <c r="AU1261" s="45"/>
      <c r="AV1261" s="15"/>
      <c r="AW1261" s="12" t="str">
        <f>B1261&amp;C1261&amp;L1261&amp;M1261&amp;O1261&amp;U1261&amp;AL1261&amp;AM1261</f>
        <v>MexicoReserve El PalmarLutjanus griseusdensity1.26923174556288Palacios-Sánchez2019</v>
      </c>
    </row>
    <row r="1262" spans="1:49" ht="14.25" customHeight="1" x14ac:dyDescent="0.35">
      <c r="A1262" s="12">
        <v>1261</v>
      </c>
      <c r="B1262" s="12" t="s">
        <v>254</v>
      </c>
      <c r="C1262" s="12" t="s">
        <v>1669</v>
      </c>
      <c r="D1262" s="12" t="s">
        <v>1669</v>
      </c>
      <c r="E1262" s="12" t="s">
        <v>68</v>
      </c>
      <c r="F1262" s="13" t="s">
        <v>274</v>
      </c>
      <c r="G1262" s="13" t="s">
        <v>51</v>
      </c>
      <c r="H1262" s="13" t="s">
        <v>108</v>
      </c>
      <c r="I1262" s="13" t="s">
        <v>156</v>
      </c>
      <c r="J1262" s="17"/>
      <c r="K1262" s="17">
        <v>95</v>
      </c>
      <c r="L1262" s="14" t="s">
        <v>1706</v>
      </c>
      <c r="M1262" s="14"/>
      <c r="N1262" s="14" t="s">
        <v>85</v>
      </c>
      <c r="O1262" s="17" t="s">
        <v>86</v>
      </c>
      <c r="P1262" s="14"/>
      <c r="Q1262" s="14"/>
      <c r="R1262" s="14"/>
      <c r="S1262" s="14">
        <v>0.03</v>
      </c>
      <c r="T1262" s="14">
        <v>0</v>
      </c>
      <c r="U1262" s="19">
        <f t="shared" si="84"/>
        <v>0</v>
      </c>
      <c r="V1262" s="41">
        <f t="shared" si="87"/>
        <v>-100</v>
      </c>
      <c r="W1262" s="14"/>
      <c r="X1262" s="14" t="s">
        <v>56</v>
      </c>
      <c r="Z1262" s="14" t="s">
        <v>58</v>
      </c>
      <c r="AA1262" s="14" t="s">
        <v>58</v>
      </c>
      <c r="AB1262" s="14" t="s">
        <v>57</v>
      </c>
      <c r="AC1262" s="14">
        <v>2001</v>
      </c>
      <c r="AD1262" s="14">
        <v>3</v>
      </c>
      <c r="AE1262" s="14"/>
      <c r="AF1262" s="14"/>
      <c r="AG1262" s="14">
        <v>1990</v>
      </c>
      <c r="AH1262" s="14">
        <f t="shared" si="85"/>
        <v>11</v>
      </c>
      <c r="AI1262" s="17">
        <f t="shared" si="86"/>
        <v>14</v>
      </c>
      <c r="AJ1262" s="14"/>
      <c r="AK1262" s="14" t="s">
        <v>56</v>
      </c>
      <c r="AL1262" s="13" t="s">
        <v>1671</v>
      </c>
      <c r="AM1262" s="14">
        <v>2019</v>
      </c>
      <c r="AN1262" s="12" t="s">
        <v>493</v>
      </c>
      <c r="AO1262" s="12" t="s">
        <v>56</v>
      </c>
      <c r="AP1262" s="12"/>
      <c r="AQ1262" s="12" t="s">
        <v>56</v>
      </c>
      <c r="AR1262" s="12" t="s">
        <v>58</v>
      </c>
      <c r="AS1262" s="12" t="s">
        <v>62</v>
      </c>
      <c r="AT1262" s="12"/>
      <c r="AU1262" s="45"/>
      <c r="AV1262" s="15"/>
      <c r="AW1262" s="12" t="str">
        <f>B1262&amp;C1262&amp;L1262&amp;M1262&amp;O1262&amp;U1262&amp;AL1262&amp;AM1262</f>
        <v>MexicoReserve El PalmarStephanolepis hispidusdensity0Palacios-Sánchez2019</v>
      </c>
    </row>
    <row r="1263" spans="1:49" ht="14.25" customHeight="1" x14ac:dyDescent="0.35">
      <c r="A1263" s="12">
        <v>1262</v>
      </c>
      <c r="B1263" s="12" t="s">
        <v>254</v>
      </c>
      <c r="C1263" s="12" t="s">
        <v>1669</v>
      </c>
      <c r="D1263" s="12" t="s">
        <v>1669</v>
      </c>
      <c r="E1263" s="12" t="s">
        <v>68</v>
      </c>
      <c r="F1263" s="13" t="s">
        <v>274</v>
      </c>
      <c r="G1263" s="13" t="s">
        <v>51</v>
      </c>
      <c r="H1263" s="13" t="s">
        <v>108</v>
      </c>
      <c r="I1263" s="13" t="s">
        <v>156</v>
      </c>
      <c r="J1263" s="17"/>
      <c r="K1263" s="17">
        <v>95</v>
      </c>
      <c r="L1263" s="14" t="s">
        <v>1707</v>
      </c>
      <c r="M1263" s="14"/>
      <c r="N1263" s="14" t="s">
        <v>85</v>
      </c>
      <c r="O1263" s="17" t="s">
        <v>86</v>
      </c>
      <c r="P1263" s="14"/>
      <c r="Q1263" s="14"/>
      <c r="R1263" s="14"/>
      <c r="S1263" s="14">
        <v>0</v>
      </c>
      <c r="T1263" s="14">
        <v>0.02</v>
      </c>
      <c r="U1263" s="19" t="str">
        <f t="shared" si="84"/>
        <v>N/A</v>
      </c>
      <c r="V1263" s="41" t="str">
        <f t="shared" si="87"/>
        <v>N/A</v>
      </c>
      <c r="W1263" s="14"/>
      <c r="X1263" s="14" t="s">
        <v>56</v>
      </c>
      <c r="Z1263" s="14" t="s">
        <v>58</v>
      </c>
      <c r="AA1263" s="14" t="s">
        <v>58</v>
      </c>
      <c r="AB1263" s="14" t="s">
        <v>57</v>
      </c>
      <c r="AC1263" s="14">
        <v>2001</v>
      </c>
      <c r="AD1263" s="14">
        <v>3</v>
      </c>
      <c r="AE1263" s="14"/>
      <c r="AF1263" s="14"/>
      <c r="AG1263" s="14">
        <v>1990</v>
      </c>
      <c r="AH1263" s="14">
        <f t="shared" si="85"/>
        <v>11</v>
      </c>
      <c r="AI1263" s="17">
        <f t="shared" si="86"/>
        <v>14</v>
      </c>
      <c r="AJ1263" s="14"/>
      <c r="AK1263" s="14" t="s">
        <v>56</v>
      </c>
      <c r="AL1263" s="13" t="s">
        <v>1671</v>
      </c>
      <c r="AM1263" s="14">
        <v>2019</v>
      </c>
      <c r="AN1263" s="12" t="s">
        <v>493</v>
      </c>
      <c r="AO1263" s="12" t="s">
        <v>56</v>
      </c>
      <c r="AP1263" s="12"/>
      <c r="AQ1263" s="12" t="s">
        <v>56</v>
      </c>
      <c r="AR1263" s="12" t="s">
        <v>58</v>
      </c>
      <c r="AS1263" s="12" t="s">
        <v>62</v>
      </c>
      <c r="AT1263" s="12"/>
      <c r="AU1263" s="45"/>
      <c r="AV1263" s="15"/>
      <c r="AW1263" s="12" t="str">
        <f>B1263&amp;C1263&amp;L1263&amp;M1263&amp;O1263&amp;U1263&amp;AL1263&amp;AM1263</f>
        <v>MexicoReserve El PalmarNarcine brasiliensisdensityN/APalacios-Sánchez2019</v>
      </c>
    </row>
    <row r="1264" spans="1:49" ht="14.25" customHeight="1" x14ac:dyDescent="0.35">
      <c r="A1264" s="12">
        <v>1263</v>
      </c>
      <c r="B1264" s="12" t="s">
        <v>254</v>
      </c>
      <c r="C1264" s="12" t="s">
        <v>1669</v>
      </c>
      <c r="D1264" s="12" t="s">
        <v>1669</v>
      </c>
      <c r="E1264" s="12" t="s">
        <v>68</v>
      </c>
      <c r="F1264" s="13" t="s">
        <v>274</v>
      </c>
      <c r="G1264" s="13" t="s">
        <v>51</v>
      </c>
      <c r="H1264" s="13" t="s">
        <v>108</v>
      </c>
      <c r="I1264" s="13" t="s">
        <v>156</v>
      </c>
      <c r="J1264" s="17"/>
      <c r="K1264" s="17">
        <v>95</v>
      </c>
      <c r="L1264" s="14" t="s">
        <v>1708</v>
      </c>
      <c r="M1264" s="14"/>
      <c r="N1264" s="14" t="s">
        <v>85</v>
      </c>
      <c r="O1264" s="17" t="s">
        <v>86</v>
      </c>
      <c r="P1264" s="14"/>
      <c r="Q1264" s="14"/>
      <c r="R1264" s="14"/>
      <c r="S1264" s="14">
        <v>2.3333E-2</v>
      </c>
      <c r="T1264" s="14">
        <v>0</v>
      </c>
      <c r="U1264" s="19">
        <f t="shared" si="84"/>
        <v>0</v>
      </c>
      <c r="V1264" s="41">
        <f t="shared" si="87"/>
        <v>-100</v>
      </c>
      <c r="W1264" s="14"/>
      <c r="X1264" s="14" t="s">
        <v>56</v>
      </c>
      <c r="Z1264" s="14" t="s">
        <v>58</v>
      </c>
      <c r="AA1264" s="14" t="s">
        <v>58</v>
      </c>
      <c r="AB1264" s="14" t="s">
        <v>57</v>
      </c>
      <c r="AC1264" s="14">
        <v>2001</v>
      </c>
      <c r="AD1264" s="14">
        <v>3</v>
      </c>
      <c r="AE1264" s="14"/>
      <c r="AF1264" s="14"/>
      <c r="AG1264" s="14">
        <v>1990</v>
      </c>
      <c r="AH1264" s="14">
        <f t="shared" si="85"/>
        <v>11</v>
      </c>
      <c r="AI1264" s="17">
        <f t="shared" si="86"/>
        <v>14</v>
      </c>
      <c r="AJ1264" s="14"/>
      <c r="AK1264" s="14" t="s">
        <v>56</v>
      </c>
      <c r="AL1264" s="13" t="s">
        <v>1671</v>
      </c>
      <c r="AM1264" s="14">
        <v>2019</v>
      </c>
      <c r="AN1264" s="12" t="s">
        <v>493</v>
      </c>
      <c r="AO1264" s="12" t="s">
        <v>56</v>
      </c>
      <c r="AP1264" s="12"/>
      <c r="AQ1264" s="12" t="s">
        <v>56</v>
      </c>
      <c r="AR1264" s="12" t="s">
        <v>58</v>
      </c>
      <c r="AS1264" s="12" t="s">
        <v>62</v>
      </c>
      <c r="AT1264" s="12"/>
      <c r="AU1264" s="45"/>
      <c r="AV1264" s="15"/>
      <c r="AW1264" s="12" t="str">
        <f>B1264&amp;C1264&amp;L1264&amp;M1264&amp;O1264&amp;U1264&amp;AL1264&amp;AM1264</f>
        <v>MexicoReserve El PalmarOgcocephalus cubifronsdensity0Palacios-Sánchez2019</v>
      </c>
    </row>
    <row r="1265" spans="1:49" ht="14.25" customHeight="1" x14ac:dyDescent="0.35">
      <c r="A1265" s="12">
        <v>1264</v>
      </c>
      <c r="B1265" s="12" t="s">
        <v>254</v>
      </c>
      <c r="C1265" s="15" t="s">
        <v>1669</v>
      </c>
      <c r="D1265" s="15" t="s">
        <v>1669</v>
      </c>
      <c r="E1265" s="15" t="s">
        <v>68</v>
      </c>
      <c r="F1265" s="13" t="s">
        <v>274</v>
      </c>
      <c r="G1265" s="13" t="s">
        <v>51</v>
      </c>
      <c r="H1265" s="16" t="s">
        <v>108</v>
      </c>
      <c r="I1265" s="16" t="s">
        <v>156</v>
      </c>
      <c r="J1265" s="17"/>
      <c r="K1265" s="17">
        <v>95</v>
      </c>
      <c r="L1265" s="17" t="s">
        <v>1709</v>
      </c>
      <c r="M1265" s="17"/>
      <c r="N1265" s="14" t="s">
        <v>85</v>
      </c>
      <c r="O1265" s="17" t="s">
        <v>86</v>
      </c>
      <c r="P1265" s="17"/>
      <c r="Q1265" s="17"/>
      <c r="R1265" s="17"/>
      <c r="S1265" s="17">
        <v>8.3333000000000004E-2</v>
      </c>
      <c r="T1265" s="17">
        <v>0.49</v>
      </c>
      <c r="U1265" s="20">
        <f t="shared" si="84"/>
        <v>5.8800235200940802</v>
      </c>
      <c r="V1265" s="41">
        <f t="shared" si="87"/>
        <v>488.00235200940801</v>
      </c>
      <c r="W1265" s="17"/>
      <c r="X1265" s="17" t="s">
        <v>56</v>
      </c>
      <c r="Z1265" s="17" t="s">
        <v>58</v>
      </c>
      <c r="AA1265" s="17" t="s">
        <v>58</v>
      </c>
      <c r="AB1265" s="17" t="s">
        <v>57</v>
      </c>
      <c r="AC1265" s="17">
        <v>2001</v>
      </c>
      <c r="AD1265" s="17">
        <v>3</v>
      </c>
      <c r="AE1265" s="17"/>
      <c r="AF1265" s="17"/>
      <c r="AG1265" s="17">
        <v>1990</v>
      </c>
      <c r="AH1265" s="14">
        <f t="shared" si="85"/>
        <v>11</v>
      </c>
      <c r="AI1265" s="17">
        <f t="shared" si="86"/>
        <v>14</v>
      </c>
      <c r="AJ1265" s="17"/>
      <c r="AK1265" s="17" t="s">
        <v>56</v>
      </c>
      <c r="AL1265" s="16" t="s">
        <v>1671</v>
      </c>
      <c r="AM1265" s="17">
        <v>2019</v>
      </c>
      <c r="AN1265" s="15" t="s">
        <v>493</v>
      </c>
      <c r="AO1265" s="15" t="s">
        <v>56</v>
      </c>
      <c r="AP1265" s="15"/>
      <c r="AQ1265" s="15" t="s">
        <v>56</v>
      </c>
      <c r="AR1265" s="15" t="s">
        <v>58</v>
      </c>
      <c r="AS1265" s="15" t="s">
        <v>62</v>
      </c>
      <c r="AT1265" s="15"/>
      <c r="AU1265" s="45"/>
      <c r="AV1265" s="15"/>
      <c r="AW1265" s="12" t="str">
        <f>B1265&amp;C1265&amp;L1265&amp;M1265&amp;O1265&amp;U1265&amp;AL1265&amp;AM1265</f>
        <v>MexicoReserve El PalmarAcanthostracion quadricornisdensity5.88002352009408Palacios-Sánchez2019</v>
      </c>
    </row>
    <row r="1266" spans="1:49" ht="14.25" customHeight="1" x14ac:dyDescent="0.35">
      <c r="A1266" s="12">
        <v>1265</v>
      </c>
      <c r="B1266" s="15" t="s">
        <v>254</v>
      </c>
      <c r="C1266" s="15" t="s">
        <v>1669</v>
      </c>
      <c r="D1266" s="15" t="s">
        <v>1669</v>
      </c>
      <c r="E1266" s="15" t="s">
        <v>68</v>
      </c>
      <c r="F1266" s="13" t="s">
        <v>274</v>
      </c>
      <c r="G1266" s="13" t="s">
        <v>51</v>
      </c>
      <c r="H1266" s="16" t="s">
        <v>108</v>
      </c>
      <c r="I1266" s="16" t="s">
        <v>156</v>
      </c>
      <c r="J1266" s="17"/>
      <c r="K1266" s="17">
        <v>95</v>
      </c>
      <c r="L1266" s="17" t="s">
        <v>1710</v>
      </c>
      <c r="M1266" s="17"/>
      <c r="N1266" s="14" t="s">
        <v>85</v>
      </c>
      <c r="O1266" s="17" t="s">
        <v>86</v>
      </c>
      <c r="P1266" s="17"/>
      <c r="Q1266" s="17"/>
      <c r="R1266" s="17"/>
      <c r="S1266" s="17">
        <v>0.16666700000000001</v>
      </c>
      <c r="T1266" s="17">
        <v>0.04</v>
      </c>
      <c r="U1266" s="20">
        <f t="shared" si="84"/>
        <v>0.23999952000095998</v>
      </c>
      <c r="V1266" s="41">
        <f t="shared" si="87"/>
        <v>-76.000047999904012</v>
      </c>
      <c r="W1266" s="17"/>
      <c r="X1266" s="17" t="s">
        <v>56</v>
      </c>
      <c r="Z1266" s="17" t="s">
        <v>58</v>
      </c>
      <c r="AA1266" s="17" t="s">
        <v>58</v>
      </c>
      <c r="AB1266" s="17" t="s">
        <v>57</v>
      </c>
      <c r="AC1266" s="17">
        <v>2001</v>
      </c>
      <c r="AD1266" s="17">
        <v>3</v>
      </c>
      <c r="AE1266" s="17"/>
      <c r="AF1266" s="17"/>
      <c r="AG1266" s="17">
        <v>1990</v>
      </c>
      <c r="AH1266" s="14">
        <f t="shared" si="85"/>
        <v>11</v>
      </c>
      <c r="AI1266" s="17">
        <f t="shared" si="86"/>
        <v>14</v>
      </c>
      <c r="AJ1266" s="17"/>
      <c r="AK1266" s="17" t="s">
        <v>56</v>
      </c>
      <c r="AL1266" s="16" t="s">
        <v>1671</v>
      </c>
      <c r="AM1266" s="17">
        <v>2019</v>
      </c>
      <c r="AN1266" s="15" t="s">
        <v>493</v>
      </c>
      <c r="AO1266" s="15" t="s">
        <v>56</v>
      </c>
      <c r="AP1266" s="15"/>
      <c r="AQ1266" s="15" t="s">
        <v>56</v>
      </c>
      <c r="AR1266" s="15" t="s">
        <v>58</v>
      </c>
      <c r="AS1266" s="15" t="s">
        <v>62</v>
      </c>
      <c r="AT1266" s="15"/>
      <c r="AU1266" s="45"/>
      <c r="AV1266" s="15"/>
      <c r="AW1266" s="12" t="str">
        <f>B1266&amp;C1266&amp;L1266&amp;M1266&amp;O1266&amp;U1266&amp;AL1266&amp;AM1266</f>
        <v>MexicoReserve El PalmarCitharichthys macropsdensity0.23999952000096Palacios-Sánchez2019</v>
      </c>
    </row>
    <row r="1267" spans="1:49" ht="14.25" customHeight="1" x14ac:dyDescent="0.35">
      <c r="A1267" s="12">
        <v>1266</v>
      </c>
      <c r="B1267" s="15" t="s">
        <v>254</v>
      </c>
      <c r="C1267" s="15" t="s">
        <v>1669</v>
      </c>
      <c r="D1267" s="15" t="s">
        <v>1669</v>
      </c>
      <c r="E1267" s="15" t="s">
        <v>68</v>
      </c>
      <c r="F1267" s="16" t="s">
        <v>274</v>
      </c>
      <c r="G1267" s="16" t="s">
        <v>51</v>
      </c>
      <c r="H1267" s="16" t="s">
        <v>108</v>
      </c>
      <c r="I1267" s="16" t="s">
        <v>156</v>
      </c>
      <c r="J1267" s="17"/>
      <c r="K1267" s="17">
        <v>95</v>
      </c>
      <c r="L1267" s="17" t="s">
        <v>1711</v>
      </c>
      <c r="M1267" s="17"/>
      <c r="N1267" s="14" t="s">
        <v>85</v>
      </c>
      <c r="O1267" s="17" t="s">
        <v>86</v>
      </c>
      <c r="P1267" s="17"/>
      <c r="Q1267" s="17"/>
      <c r="R1267" s="17"/>
      <c r="S1267" s="17">
        <v>2.3333E-2</v>
      </c>
      <c r="T1267" s="17">
        <v>0.03</v>
      </c>
      <c r="U1267" s="20">
        <f t="shared" si="84"/>
        <v>1.2857326533236189</v>
      </c>
      <c r="V1267" s="41">
        <f t="shared" si="87"/>
        <v>28.573265332361885</v>
      </c>
      <c r="W1267" s="17"/>
      <c r="X1267" s="17" t="s">
        <v>56</v>
      </c>
      <c r="Z1267" s="17" t="s">
        <v>58</v>
      </c>
      <c r="AA1267" s="17" t="s">
        <v>58</v>
      </c>
      <c r="AB1267" s="17" t="s">
        <v>57</v>
      </c>
      <c r="AC1267" s="17">
        <v>2001</v>
      </c>
      <c r="AD1267" s="17">
        <v>3</v>
      </c>
      <c r="AE1267" s="17"/>
      <c r="AF1267" s="17"/>
      <c r="AG1267" s="17">
        <v>1990</v>
      </c>
      <c r="AH1267" s="14">
        <f t="shared" si="85"/>
        <v>11</v>
      </c>
      <c r="AI1267" s="17">
        <f t="shared" si="86"/>
        <v>14</v>
      </c>
      <c r="AJ1267" s="17"/>
      <c r="AK1267" s="17" t="s">
        <v>56</v>
      </c>
      <c r="AL1267" s="16" t="s">
        <v>1671</v>
      </c>
      <c r="AM1267" s="17">
        <v>2019</v>
      </c>
      <c r="AN1267" s="15" t="s">
        <v>493</v>
      </c>
      <c r="AO1267" s="15" t="s">
        <v>56</v>
      </c>
      <c r="AP1267" s="15"/>
      <c r="AQ1267" s="15" t="s">
        <v>56</v>
      </c>
      <c r="AR1267" s="15" t="s">
        <v>58</v>
      </c>
      <c r="AS1267" s="15" t="s">
        <v>62</v>
      </c>
      <c r="AT1267" s="15"/>
      <c r="AU1267" s="45"/>
      <c r="AV1267" s="15"/>
      <c r="AW1267" s="12" t="str">
        <f>B1267&amp;C1267&amp;L1267&amp;M1267&amp;O1267&amp;U1267&amp;AL1267&amp;AM1267</f>
        <v>MexicoReserve El PalmarParalichthys albiguttadensity1.28573265332362Palacios-Sánchez2019</v>
      </c>
    </row>
    <row r="1268" spans="1:49" ht="14.25" customHeight="1" x14ac:dyDescent="0.35">
      <c r="A1268" s="12">
        <v>1267</v>
      </c>
      <c r="B1268" s="15" t="s">
        <v>254</v>
      </c>
      <c r="C1268" s="15" t="s">
        <v>1669</v>
      </c>
      <c r="D1268" s="15" t="s">
        <v>1669</v>
      </c>
      <c r="E1268" s="15" t="s">
        <v>68</v>
      </c>
      <c r="F1268" s="16" t="s">
        <v>274</v>
      </c>
      <c r="G1268" s="16" t="s">
        <v>51</v>
      </c>
      <c r="H1268" s="16" t="s">
        <v>108</v>
      </c>
      <c r="I1268" s="16" t="s">
        <v>156</v>
      </c>
      <c r="J1268" s="17"/>
      <c r="K1268" s="17">
        <v>95</v>
      </c>
      <c r="L1268" s="17" t="s">
        <v>1712</v>
      </c>
      <c r="M1268" s="17"/>
      <c r="N1268" s="14" t="s">
        <v>85</v>
      </c>
      <c r="O1268" s="17" t="s">
        <v>86</v>
      </c>
      <c r="P1268" s="17"/>
      <c r="Q1268" s="17"/>
      <c r="R1268" s="17"/>
      <c r="S1268" s="17">
        <v>9.3332999999999999E-2</v>
      </c>
      <c r="T1268" s="17">
        <v>0.04</v>
      </c>
      <c r="U1268" s="20">
        <f t="shared" si="84"/>
        <v>0.42857295918913996</v>
      </c>
      <c r="V1268" s="41">
        <f t="shared" si="87"/>
        <v>-57.142704081086002</v>
      </c>
      <c r="W1268" s="17"/>
      <c r="X1268" s="17" t="s">
        <v>56</v>
      </c>
      <c r="Z1268" s="17" t="s">
        <v>58</v>
      </c>
      <c r="AA1268" s="17" t="s">
        <v>58</v>
      </c>
      <c r="AB1268" s="17" t="s">
        <v>57</v>
      </c>
      <c r="AC1268" s="17">
        <v>2001</v>
      </c>
      <c r="AD1268" s="17">
        <v>3</v>
      </c>
      <c r="AE1268" s="17"/>
      <c r="AF1268" s="17"/>
      <c r="AG1268" s="17">
        <v>1990</v>
      </c>
      <c r="AH1268" s="14">
        <f t="shared" si="85"/>
        <v>11</v>
      </c>
      <c r="AI1268" s="17">
        <f t="shared" si="86"/>
        <v>14</v>
      </c>
      <c r="AJ1268" s="17"/>
      <c r="AK1268" s="17" t="s">
        <v>56</v>
      </c>
      <c r="AL1268" s="16" t="s">
        <v>1671</v>
      </c>
      <c r="AM1268" s="17">
        <v>2019</v>
      </c>
      <c r="AN1268" s="15" t="s">
        <v>493</v>
      </c>
      <c r="AO1268" s="15" t="s">
        <v>56</v>
      </c>
      <c r="AP1268" s="15"/>
      <c r="AQ1268" s="15" t="s">
        <v>56</v>
      </c>
      <c r="AR1268" s="15" t="s">
        <v>58</v>
      </c>
      <c r="AS1268" s="15" t="s">
        <v>62</v>
      </c>
      <c r="AT1268" s="15"/>
      <c r="AU1268" s="45"/>
      <c r="AV1268" s="15"/>
      <c r="AW1268" s="12" t="str">
        <f>B1268&amp;C1268&amp;L1268&amp;M1268&amp;O1268&amp;U1268&amp;AL1268&amp;AM1268</f>
        <v>MexicoReserve El PalmarPolydactylus virginicusdensity0.42857295918914Palacios-Sánchez2019</v>
      </c>
    </row>
    <row r="1269" spans="1:49" ht="14.25" customHeight="1" x14ac:dyDescent="0.35">
      <c r="A1269" s="12">
        <v>1268</v>
      </c>
      <c r="B1269" s="12" t="s">
        <v>254</v>
      </c>
      <c r="C1269" s="12" t="s">
        <v>1669</v>
      </c>
      <c r="D1269" s="12" t="s">
        <v>1669</v>
      </c>
      <c r="E1269" s="12" t="s">
        <v>68</v>
      </c>
      <c r="F1269" s="16" t="s">
        <v>274</v>
      </c>
      <c r="G1269" s="16" t="s">
        <v>51</v>
      </c>
      <c r="H1269" s="13" t="s">
        <v>108</v>
      </c>
      <c r="I1269" s="13" t="s">
        <v>156</v>
      </c>
      <c r="J1269" s="17"/>
      <c r="K1269" s="17">
        <v>95</v>
      </c>
      <c r="L1269" s="14" t="s">
        <v>1713</v>
      </c>
      <c r="M1269" s="14"/>
      <c r="N1269" s="14" t="s">
        <v>85</v>
      </c>
      <c r="O1269" s="17" t="s">
        <v>86</v>
      </c>
      <c r="P1269" s="14"/>
      <c r="Q1269" s="14"/>
      <c r="R1269" s="14"/>
      <c r="S1269" s="14">
        <v>0.28666700000000001</v>
      </c>
      <c r="T1269" s="14">
        <v>0</v>
      </c>
      <c r="U1269" s="19">
        <f t="shared" si="84"/>
        <v>0</v>
      </c>
      <c r="V1269" s="41">
        <f t="shared" si="87"/>
        <v>-100</v>
      </c>
      <c r="W1269" s="14"/>
      <c r="X1269" s="14" t="s">
        <v>56</v>
      </c>
      <c r="Z1269" s="14" t="s">
        <v>58</v>
      </c>
      <c r="AA1269" s="14" t="s">
        <v>58</v>
      </c>
      <c r="AB1269" s="14" t="s">
        <v>57</v>
      </c>
      <c r="AC1269" s="14">
        <v>2001</v>
      </c>
      <c r="AD1269" s="14">
        <v>3</v>
      </c>
      <c r="AE1269" s="14"/>
      <c r="AF1269" s="14"/>
      <c r="AG1269" s="14">
        <v>1990</v>
      </c>
      <c r="AH1269" s="14">
        <f t="shared" si="85"/>
        <v>11</v>
      </c>
      <c r="AI1269" s="17">
        <f t="shared" si="86"/>
        <v>14</v>
      </c>
      <c r="AJ1269" s="14"/>
      <c r="AK1269" s="14" t="s">
        <v>56</v>
      </c>
      <c r="AL1269" s="13" t="s">
        <v>1671</v>
      </c>
      <c r="AM1269" s="14">
        <v>2019</v>
      </c>
      <c r="AN1269" s="12" t="s">
        <v>493</v>
      </c>
      <c r="AO1269" s="12" t="s">
        <v>56</v>
      </c>
      <c r="AP1269" s="12"/>
      <c r="AQ1269" s="12" t="s">
        <v>56</v>
      </c>
      <c r="AR1269" s="12" t="s">
        <v>58</v>
      </c>
      <c r="AS1269" s="12" t="s">
        <v>62</v>
      </c>
      <c r="AT1269" s="12"/>
      <c r="AU1269" s="45"/>
      <c r="AV1269" s="15"/>
      <c r="AW1269" s="12" t="str">
        <f>B1269&amp;C1269&amp;L1269&amp;M1269&amp;O1269&amp;U1269&amp;AL1269&amp;AM1269</f>
        <v>MexicoReserve El PalmarPseudobatos lentiginosusdensity0Palacios-Sánchez2019</v>
      </c>
    </row>
    <row r="1270" spans="1:49" ht="14.25" customHeight="1" x14ac:dyDescent="0.35">
      <c r="A1270" s="12">
        <v>1269</v>
      </c>
      <c r="B1270" s="15" t="s">
        <v>254</v>
      </c>
      <c r="C1270" s="15" t="s">
        <v>1669</v>
      </c>
      <c r="D1270" s="15" t="s">
        <v>1669</v>
      </c>
      <c r="E1270" s="15" t="s">
        <v>68</v>
      </c>
      <c r="F1270" s="13" t="s">
        <v>274</v>
      </c>
      <c r="G1270" s="13" t="s">
        <v>51</v>
      </c>
      <c r="H1270" s="16" t="s">
        <v>108</v>
      </c>
      <c r="I1270" s="16" t="s">
        <v>156</v>
      </c>
      <c r="J1270" s="17"/>
      <c r="K1270" s="17">
        <v>95</v>
      </c>
      <c r="L1270" s="17" t="s">
        <v>1714</v>
      </c>
      <c r="M1270" s="17"/>
      <c r="N1270" s="14" t="s">
        <v>85</v>
      </c>
      <c r="O1270" s="17" t="s">
        <v>86</v>
      </c>
      <c r="P1270" s="17"/>
      <c r="Q1270" s="17"/>
      <c r="R1270" s="17"/>
      <c r="S1270" s="17">
        <v>2.3333E-2</v>
      </c>
      <c r="T1270" s="17">
        <v>0</v>
      </c>
      <c r="U1270" s="20">
        <f t="shared" si="84"/>
        <v>0</v>
      </c>
      <c r="V1270" s="41">
        <f t="shared" si="87"/>
        <v>-100</v>
      </c>
      <c r="W1270" s="17"/>
      <c r="X1270" s="17" t="s">
        <v>56</v>
      </c>
      <c r="Z1270" s="17" t="s">
        <v>58</v>
      </c>
      <c r="AA1270" s="17" t="s">
        <v>58</v>
      </c>
      <c r="AB1270" s="17" t="s">
        <v>57</v>
      </c>
      <c r="AC1270" s="17">
        <v>2001</v>
      </c>
      <c r="AD1270" s="17">
        <v>3</v>
      </c>
      <c r="AE1270" s="17"/>
      <c r="AF1270" s="17"/>
      <c r="AG1270" s="17">
        <v>1990</v>
      </c>
      <c r="AH1270" s="14">
        <f t="shared" si="85"/>
        <v>11</v>
      </c>
      <c r="AI1270" s="17">
        <f t="shared" si="86"/>
        <v>14</v>
      </c>
      <c r="AJ1270" s="17"/>
      <c r="AK1270" s="17" t="s">
        <v>56</v>
      </c>
      <c r="AL1270" s="16" t="s">
        <v>1671</v>
      </c>
      <c r="AM1270" s="17">
        <v>2019</v>
      </c>
      <c r="AN1270" s="15" t="s">
        <v>493</v>
      </c>
      <c r="AO1270" s="15" t="s">
        <v>56</v>
      </c>
      <c r="AP1270" s="15"/>
      <c r="AQ1270" s="15" t="s">
        <v>56</v>
      </c>
      <c r="AR1270" s="15" t="s">
        <v>58</v>
      </c>
      <c r="AS1270" s="15" t="s">
        <v>62</v>
      </c>
      <c r="AT1270" s="15"/>
      <c r="AU1270" s="45"/>
      <c r="AV1270" s="15"/>
      <c r="AW1270" s="12" t="str">
        <f>B1270&amp;C1270&amp;L1270&amp;M1270&amp;O1270&amp;U1270&amp;AL1270&amp;AM1270</f>
        <v>MexicoReserve El PalmarDiplectrum bivittatumdensity0Palacios-Sánchez2019</v>
      </c>
    </row>
    <row r="1271" spans="1:49" ht="14.25" customHeight="1" x14ac:dyDescent="0.35">
      <c r="A1271" s="12">
        <v>1270</v>
      </c>
      <c r="B1271" s="15" t="s">
        <v>254</v>
      </c>
      <c r="C1271" s="15" t="s">
        <v>1669</v>
      </c>
      <c r="D1271" s="15" t="s">
        <v>1669</v>
      </c>
      <c r="E1271" s="15" t="s">
        <v>68</v>
      </c>
      <c r="F1271" s="13" t="s">
        <v>274</v>
      </c>
      <c r="G1271" s="13" t="s">
        <v>51</v>
      </c>
      <c r="H1271" s="16" t="s">
        <v>108</v>
      </c>
      <c r="I1271" s="16" t="s">
        <v>156</v>
      </c>
      <c r="J1271" s="17"/>
      <c r="K1271" s="17">
        <v>95</v>
      </c>
      <c r="L1271" s="17" t="s">
        <v>1715</v>
      </c>
      <c r="M1271" s="17"/>
      <c r="N1271" s="14" t="s">
        <v>85</v>
      </c>
      <c r="O1271" s="17" t="s">
        <v>86</v>
      </c>
      <c r="P1271" s="17"/>
      <c r="Q1271" s="17"/>
      <c r="R1271" s="17"/>
      <c r="S1271" s="17">
        <v>0.17</v>
      </c>
      <c r="T1271" s="17">
        <v>0</v>
      </c>
      <c r="U1271" s="20">
        <f t="shared" si="84"/>
        <v>0</v>
      </c>
      <c r="V1271" s="41">
        <f t="shared" si="87"/>
        <v>-100</v>
      </c>
      <c r="W1271" s="17"/>
      <c r="X1271" s="17" t="s">
        <v>56</v>
      </c>
      <c r="Z1271" s="17" t="s">
        <v>58</v>
      </c>
      <c r="AA1271" s="17" t="s">
        <v>58</v>
      </c>
      <c r="AB1271" s="17" t="s">
        <v>57</v>
      </c>
      <c r="AC1271" s="17">
        <v>2001</v>
      </c>
      <c r="AD1271" s="17">
        <v>3</v>
      </c>
      <c r="AE1271" s="17"/>
      <c r="AF1271" s="17"/>
      <c r="AG1271" s="17">
        <v>1990</v>
      </c>
      <c r="AH1271" s="14">
        <f t="shared" si="85"/>
        <v>11</v>
      </c>
      <c r="AI1271" s="17">
        <f t="shared" si="86"/>
        <v>14</v>
      </c>
      <c r="AJ1271" s="17"/>
      <c r="AK1271" s="17" t="s">
        <v>56</v>
      </c>
      <c r="AL1271" s="16" t="s">
        <v>1671</v>
      </c>
      <c r="AM1271" s="17">
        <v>2019</v>
      </c>
      <c r="AN1271" s="15" t="s">
        <v>493</v>
      </c>
      <c r="AO1271" s="15" t="s">
        <v>56</v>
      </c>
      <c r="AP1271" s="15"/>
      <c r="AQ1271" s="15" t="s">
        <v>56</v>
      </c>
      <c r="AR1271" s="15" t="s">
        <v>58</v>
      </c>
      <c r="AS1271" s="15" t="s">
        <v>62</v>
      </c>
      <c r="AT1271" s="15"/>
      <c r="AU1271" s="45"/>
      <c r="AV1271" s="15"/>
      <c r="AW1271" s="12" t="str">
        <f>B1271&amp;C1271&amp;L1271&amp;M1271&amp;O1271&amp;U1271&amp;AL1271&amp;AM1271</f>
        <v>MexicoReserve El PalmarRypticus maculatusdensity0Palacios-Sánchez2019</v>
      </c>
    </row>
    <row r="1272" spans="1:49" ht="14.25" customHeight="1" x14ac:dyDescent="0.35">
      <c r="A1272" s="12">
        <v>1271</v>
      </c>
      <c r="B1272" s="15" t="s">
        <v>254</v>
      </c>
      <c r="C1272" s="15" t="s">
        <v>1669</v>
      </c>
      <c r="D1272" s="15" t="s">
        <v>1669</v>
      </c>
      <c r="E1272" s="15" t="s">
        <v>68</v>
      </c>
      <c r="F1272" s="13" t="s">
        <v>274</v>
      </c>
      <c r="G1272" s="13" t="s">
        <v>51</v>
      </c>
      <c r="H1272" s="16" t="s">
        <v>108</v>
      </c>
      <c r="I1272" s="16" t="s">
        <v>156</v>
      </c>
      <c r="J1272" s="17"/>
      <c r="K1272" s="17">
        <v>95</v>
      </c>
      <c r="L1272" s="17" t="s">
        <v>1043</v>
      </c>
      <c r="M1272" s="17"/>
      <c r="N1272" s="14" t="s">
        <v>85</v>
      </c>
      <c r="O1272" s="17" t="s">
        <v>86</v>
      </c>
      <c r="P1272" s="17"/>
      <c r="Q1272" s="17"/>
      <c r="R1272" s="17"/>
      <c r="S1272" s="17">
        <v>1.3033330000000001</v>
      </c>
      <c r="T1272" s="17">
        <v>1.59</v>
      </c>
      <c r="U1272" s="20">
        <f t="shared" si="84"/>
        <v>1.2199491611123174</v>
      </c>
      <c r="V1272" s="41">
        <f t="shared" si="87"/>
        <v>21.994916111231746</v>
      </c>
      <c r="W1272" s="17"/>
      <c r="X1272" s="17" t="s">
        <v>56</v>
      </c>
      <c r="Z1272" s="17" t="s">
        <v>58</v>
      </c>
      <c r="AA1272" s="17" t="s">
        <v>58</v>
      </c>
      <c r="AB1272" s="17" t="s">
        <v>57</v>
      </c>
      <c r="AC1272" s="17">
        <v>2001</v>
      </c>
      <c r="AD1272" s="17">
        <v>3</v>
      </c>
      <c r="AE1272" s="17"/>
      <c r="AF1272" s="17"/>
      <c r="AG1272" s="17">
        <v>1990</v>
      </c>
      <c r="AH1272" s="14">
        <f t="shared" si="85"/>
        <v>11</v>
      </c>
      <c r="AI1272" s="17">
        <f t="shared" si="86"/>
        <v>14</v>
      </c>
      <c r="AJ1272" s="17"/>
      <c r="AK1272" s="17" t="s">
        <v>56</v>
      </c>
      <c r="AL1272" s="16" t="s">
        <v>1671</v>
      </c>
      <c r="AM1272" s="17">
        <v>2019</v>
      </c>
      <c r="AN1272" s="15" t="s">
        <v>493</v>
      </c>
      <c r="AO1272" s="15" t="s">
        <v>56</v>
      </c>
      <c r="AP1272" s="15"/>
      <c r="AQ1272" s="15" t="s">
        <v>56</v>
      </c>
      <c r="AR1272" s="15" t="s">
        <v>58</v>
      </c>
      <c r="AS1272" s="15" t="s">
        <v>62</v>
      </c>
      <c r="AT1272" s="15"/>
      <c r="AU1272" s="45"/>
      <c r="AV1272" s="15"/>
      <c r="AW1272" s="12" t="str">
        <f>B1272&amp;C1272&amp;L1272&amp;M1272&amp;O1272&amp;U1272&amp;AL1272&amp;AM1272</f>
        <v>MexicoReserve El PalmarBairdiella chrysouradensity1.21994916111232Palacios-Sánchez2019</v>
      </c>
    </row>
    <row r="1273" spans="1:49" ht="14.25" customHeight="1" x14ac:dyDescent="0.35">
      <c r="A1273" s="12">
        <v>1272</v>
      </c>
      <c r="B1273" s="15" t="s">
        <v>254</v>
      </c>
      <c r="C1273" s="15" t="s">
        <v>1669</v>
      </c>
      <c r="D1273" s="15" t="s">
        <v>1669</v>
      </c>
      <c r="E1273" s="15" t="s">
        <v>68</v>
      </c>
      <c r="F1273" s="13" t="s">
        <v>274</v>
      </c>
      <c r="G1273" s="13" t="s">
        <v>51</v>
      </c>
      <c r="H1273" s="16" t="s">
        <v>108</v>
      </c>
      <c r="I1273" s="16" t="s">
        <v>156</v>
      </c>
      <c r="J1273" s="17"/>
      <c r="K1273" s="17">
        <v>95</v>
      </c>
      <c r="L1273" s="17" t="s">
        <v>1716</v>
      </c>
      <c r="M1273" s="17"/>
      <c r="N1273" s="14" t="s">
        <v>85</v>
      </c>
      <c r="O1273" s="17" t="s">
        <v>86</v>
      </c>
      <c r="P1273" s="17"/>
      <c r="Q1273" s="17"/>
      <c r="R1273" s="17"/>
      <c r="S1273" s="17">
        <v>0</v>
      </c>
      <c r="T1273" s="17">
        <v>0.06</v>
      </c>
      <c r="U1273" s="20" t="str">
        <f t="shared" si="84"/>
        <v>N/A</v>
      </c>
      <c r="V1273" s="41" t="str">
        <f t="shared" si="87"/>
        <v>N/A</v>
      </c>
      <c r="W1273" s="17"/>
      <c r="X1273" s="17" t="s">
        <v>56</v>
      </c>
      <c r="Z1273" s="17" t="s">
        <v>58</v>
      </c>
      <c r="AA1273" s="17" t="s">
        <v>58</v>
      </c>
      <c r="AB1273" s="17" t="s">
        <v>57</v>
      </c>
      <c r="AC1273" s="17">
        <v>2001</v>
      </c>
      <c r="AD1273" s="17">
        <v>3</v>
      </c>
      <c r="AE1273" s="17"/>
      <c r="AF1273" s="17"/>
      <c r="AG1273" s="17">
        <v>1990</v>
      </c>
      <c r="AH1273" s="14">
        <f t="shared" si="85"/>
        <v>11</v>
      </c>
      <c r="AI1273" s="17">
        <f t="shared" si="86"/>
        <v>14</v>
      </c>
      <c r="AJ1273" s="17"/>
      <c r="AK1273" s="17" t="s">
        <v>56</v>
      </c>
      <c r="AL1273" s="16" t="s">
        <v>1671</v>
      </c>
      <c r="AM1273" s="17">
        <v>2019</v>
      </c>
      <c r="AN1273" s="15" t="s">
        <v>493</v>
      </c>
      <c r="AO1273" s="15" t="s">
        <v>56</v>
      </c>
      <c r="AP1273" s="15"/>
      <c r="AQ1273" s="15" t="s">
        <v>56</v>
      </c>
      <c r="AR1273" s="15" t="s">
        <v>58</v>
      </c>
      <c r="AS1273" s="15" t="s">
        <v>62</v>
      </c>
      <c r="AT1273" s="15"/>
      <c r="AU1273" s="45"/>
      <c r="AV1273" s="15"/>
      <c r="AW1273" s="12" t="str">
        <f>B1273&amp;C1273&amp;L1273&amp;M1273&amp;O1273&amp;U1273&amp;AL1273&amp;AM1273</f>
        <v>MexicoReserve El PalmarBairdiella ronchusdensityN/APalacios-Sánchez2019</v>
      </c>
    </row>
    <row r="1274" spans="1:49" ht="14.25" customHeight="1" x14ac:dyDescent="0.35">
      <c r="A1274" s="12">
        <v>1273</v>
      </c>
      <c r="B1274" s="12" t="s">
        <v>254</v>
      </c>
      <c r="C1274" s="15" t="s">
        <v>1669</v>
      </c>
      <c r="D1274" s="15" t="s">
        <v>1669</v>
      </c>
      <c r="E1274" s="12" t="s">
        <v>68</v>
      </c>
      <c r="F1274" s="13" t="s">
        <v>274</v>
      </c>
      <c r="G1274" s="13" t="s">
        <v>51</v>
      </c>
      <c r="H1274" s="13" t="s">
        <v>108</v>
      </c>
      <c r="I1274" s="13" t="s">
        <v>156</v>
      </c>
      <c r="K1274" s="17">
        <v>95</v>
      </c>
      <c r="L1274" s="14" t="s">
        <v>1717</v>
      </c>
      <c r="M1274" s="14"/>
      <c r="N1274" s="14" t="s">
        <v>85</v>
      </c>
      <c r="O1274" s="17" t="s">
        <v>86</v>
      </c>
      <c r="P1274" s="14"/>
      <c r="Q1274" s="14"/>
      <c r="R1274" s="14"/>
      <c r="S1274" s="14">
        <v>0.1</v>
      </c>
      <c r="T1274" s="14">
        <v>0.28999999999999998</v>
      </c>
      <c r="U1274" s="19">
        <f t="shared" si="84"/>
        <v>2.8999999999999995</v>
      </c>
      <c r="V1274" s="41">
        <f t="shared" si="87"/>
        <v>189.99999999999994</v>
      </c>
      <c r="W1274" s="14"/>
      <c r="X1274" s="14" t="s">
        <v>56</v>
      </c>
      <c r="Z1274" s="14" t="s">
        <v>58</v>
      </c>
      <c r="AA1274" s="14" t="s">
        <v>58</v>
      </c>
      <c r="AB1274" s="14" t="s">
        <v>57</v>
      </c>
      <c r="AC1274" s="14">
        <v>2001</v>
      </c>
      <c r="AD1274" s="14">
        <v>3</v>
      </c>
      <c r="AE1274" s="14"/>
      <c r="AF1274" s="14"/>
      <c r="AG1274" s="14">
        <v>1990</v>
      </c>
      <c r="AH1274" s="14">
        <f t="shared" si="85"/>
        <v>11</v>
      </c>
      <c r="AI1274" s="17">
        <f t="shared" si="86"/>
        <v>14</v>
      </c>
      <c r="AJ1274" s="14"/>
      <c r="AK1274" s="14" t="s">
        <v>56</v>
      </c>
      <c r="AL1274" s="13" t="s">
        <v>1671</v>
      </c>
      <c r="AM1274" s="14">
        <v>2019</v>
      </c>
      <c r="AN1274" s="12" t="s">
        <v>493</v>
      </c>
      <c r="AO1274" s="12" t="s">
        <v>56</v>
      </c>
      <c r="AP1274" s="12"/>
      <c r="AQ1274" s="12" t="s">
        <v>56</v>
      </c>
      <c r="AR1274" s="12" t="s">
        <v>58</v>
      </c>
      <c r="AS1274" s="12" t="s">
        <v>62</v>
      </c>
      <c r="AT1274" s="12"/>
      <c r="AU1274" s="45"/>
      <c r="AV1274" s="15"/>
      <c r="AW1274" s="12" t="str">
        <f>B1274&amp;C1274&amp;L1274&amp;M1274&amp;O1274&amp;U1274&amp;AL1274&amp;AM1274</f>
        <v>MexicoReserve El PalmarCorvula santaeluciaedensity2.9Palacios-Sánchez2019</v>
      </c>
    </row>
    <row r="1275" spans="1:49" ht="14.25" customHeight="1" x14ac:dyDescent="0.35">
      <c r="A1275" s="12">
        <v>1274</v>
      </c>
      <c r="B1275" s="15" t="s">
        <v>254</v>
      </c>
      <c r="C1275" s="15" t="s">
        <v>1669</v>
      </c>
      <c r="D1275" s="15" t="s">
        <v>1669</v>
      </c>
      <c r="E1275" s="12" t="s">
        <v>68</v>
      </c>
      <c r="F1275" s="13" t="s">
        <v>274</v>
      </c>
      <c r="G1275" s="13" t="s">
        <v>51</v>
      </c>
      <c r="H1275" s="16" t="s">
        <v>108</v>
      </c>
      <c r="I1275" s="16" t="s">
        <v>156</v>
      </c>
      <c r="J1275" s="17"/>
      <c r="K1275" s="17">
        <v>95</v>
      </c>
      <c r="L1275" s="17" t="s">
        <v>1034</v>
      </c>
      <c r="M1275" s="17"/>
      <c r="N1275" s="14" t="s">
        <v>85</v>
      </c>
      <c r="O1275" s="17" t="s">
        <v>86</v>
      </c>
      <c r="P1275" s="17"/>
      <c r="Q1275" s="17"/>
      <c r="R1275" s="17"/>
      <c r="S1275" s="17">
        <v>0.08</v>
      </c>
      <c r="T1275" s="17">
        <v>0.08</v>
      </c>
      <c r="U1275" s="19">
        <f t="shared" si="84"/>
        <v>1</v>
      </c>
      <c r="V1275" s="41">
        <f t="shared" si="87"/>
        <v>0</v>
      </c>
      <c r="W1275" s="14"/>
      <c r="X1275" s="17" t="s">
        <v>56</v>
      </c>
      <c r="Z1275" s="17" t="s">
        <v>58</v>
      </c>
      <c r="AA1275" s="17" t="s">
        <v>58</v>
      </c>
      <c r="AB1275" s="17" t="s">
        <v>57</v>
      </c>
      <c r="AC1275" s="17">
        <v>2001</v>
      </c>
      <c r="AD1275" s="17">
        <v>3</v>
      </c>
      <c r="AE1275" s="17"/>
      <c r="AF1275" s="17"/>
      <c r="AG1275" s="17">
        <v>1990</v>
      </c>
      <c r="AH1275" s="14">
        <f t="shared" si="85"/>
        <v>11</v>
      </c>
      <c r="AI1275" s="17">
        <f t="shared" si="86"/>
        <v>14</v>
      </c>
      <c r="AJ1275" s="17"/>
      <c r="AK1275" s="17" t="s">
        <v>56</v>
      </c>
      <c r="AL1275" s="16" t="s">
        <v>1671</v>
      </c>
      <c r="AM1275" s="17">
        <v>2019</v>
      </c>
      <c r="AN1275" s="12" t="s">
        <v>493</v>
      </c>
      <c r="AO1275" s="15" t="s">
        <v>56</v>
      </c>
      <c r="AP1275" s="15"/>
      <c r="AQ1275" s="15" t="s">
        <v>56</v>
      </c>
      <c r="AR1275" s="15" t="s">
        <v>58</v>
      </c>
      <c r="AS1275" s="15" t="s">
        <v>62</v>
      </c>
      <c r="AT1275" s="12"/>
      <c r="AU1275" s="45"/>
      <c r="AV1275" s="15"/>
      <c r="AW1275" s="12" t="str">
        <f>B1275&amp;C1275&amp;L1275&amp;M1275&amp;O1275&amp;U1275&amp;AL1275&amp;AM1275</f>
        <v>MexicoReserve El PalmarCynoscion nebulosusdensity1Palacios-Sánchez2019</v>
      </c>
    </row>
    <row r="1276" spans="1:49" ht="14.25" customHeight="1" x14ac:dyDescent="0.35">
      <c r="A1276" s="12">
        <v>1275</v>
      </c>
      <c r="B1276" s="15" t="s">
        <v>254</v>
      </c>
      <c r="C1276" s="15" t="s">
        <v>1669</v>
      </c>
      <c r="D1276" s="15" t="s">
        <v>1669</v>
      </c>
      <c r="E1276" s="12" t="s">
        <v>68</v>
      </c>
      <c r="F1276" s="13" t="s">
        <v>274</v>
      </c>
      <c r="G1276" s="13" t="s">
        <v>51</v>
      </c>
      <c r="H1276" s="16" t="s">
        <v>108</v>
      </c>
      <c r="I1276" s="16" t="s">
        <v>156</v>
      </c>
      <c r="J1276" s="17"/>
      <c r="K1276" s="17">
        <v>95</v>
      </c>
      <c r="L1276" s="17" t="s">
        <v>1718</v>
      </c>
      <c r="M1276" s="17"/>
      <c r="N1276" s="14" t="s">
        <v>85</v>
      </c>
      <c r="O1276" s="17" t="s">
        <v>86</v>
      </c>
      <c r="P1276" s="17"/>
      <c r="Q1276" s="17"/>
      <c r="R1276" s="17"/>
      <c r="S1276" s="17">
        <v>1.3333330000000001</v>
      </c>
      <c r="T1276" s="17">
        <v>0.54</v>
      </c>
      <c r="U1276" s="19">
        <f t="shared" si="84"/>
        <v>0.40500010125002534</v>
      </c>
      <c r="V1276" s="41">
        <f t="shared" si="87"/>
        <v>-59.499989874997475</v>
      </c>
      <c r="W1276" s="14"/>
      <c r="X1276" s="17" t="s">
        <v>56</v>
      </c>
      <c r="Z1276" s="17" t="s">
        <v>58</v>
      </c>
      <c r="AA1276" s="17" t="s">
        <v>58</v>
      </c>
      <c r="AB1276" s="17" t="s">
        <v>57</v>
      </c>
      <c r="AC1276" s="17">
        <v>2001</v>
      </c>
      <c r="AD1276" s="17">
        <v>3</v>
      </c>
      <c r="AE1276" s="17"/>
      <c r="AF1276" s="17"/>
      <c r="AG1276" s="17">
        <v>1990</v>
      </c>
      <c r="AH1276" s="14">
        <f t="shared" si="85"/>
        <v>11</v>
      </c>
      <c r="AI1276" s="17">
        <f t="shared" si="86"/>
        <v>14</v>
      </c>
      <c r="AJ1276" s="17"/>
      <c r="AK1276" s="17" t="s">
        <v>56</v>
      </c>
      <c r="AL1276" s="16" t="s">
        <v>1671</v>
      </c>
      <c r="AM1276" s="17">
        <v>2019</v>
      </c>
      <c r="AN1276" s="15" t="s">
        <v>493</v>
      </c>
      <c r="AO1276" s="15" t="s">
        <v>56</v>
      </c>
      <c r="AP1276" s="15"/>
      <c r="AQ1276" s="15" t="s">
        <v>56</v>
      </c>
      <c r="AR1276" s="15" t="s">
        <v>58</v>
      </c>
      <c r="AS1276" s="15" t="s">
        <v>62</v>
      </c>
      <c r="AT1276" s="12"/>
      <c r="AU1276" s="45"/>
      <c r="AV1276" s="15"/>
      <c r="AW1276" s="12" t="str">
        <f>B1276&amp;C1276&amp;L1276&amp;M1276&amp;O1276&amp;U1276&amp;AL1276&amp;AM1276</f>
        <v>MexicoReserve El PalmarMenticirrhus littoralisdensity0.405000101250025Palacios-Sánchez2019</v>
      </c>
    </row>
    <row r="1277" spans="1:49" ht="14.25" customHeight="1" x14ac:dyDescent="0.35">
      <c r="A1277" s="12">
        <v>1276</v>
      </c>
      <c r="B1277" s="15" t="s">
        <v>254</v>
      </c>
      <c r="C1277" s="15" t="s">
        <v>1669</v>
      </c>
      <c r="D1277" s="15" t="s">
        <v>1669</v>
      </c>
      <c r="E1277" s="12" t="s">
        <v>68</v>
      </c>
      <c r="F1277" s="13" t="s">
        <v>274</v>
      </c>
      <c r="G1277" s="13" t="s">
        <v>51</v>
      </c>
      <c r="H1277" s="16" t="s">
        <v>108</v>
      </c>
      <c r="I1277" s="16" t="s">
        <v>156</v>
      </c>
      <c r="J1277" s="17"/>
      <c r="K1277" s="17">
        <v>95</v>
      </c>
      <c r="L1277" s="17" t="s">
        <v>1719</v>
      </c>
      <c r="M1277" s="17"/>
      <c r="N1277" s="14" t="s">
        <v>85</v>
      </c>
      <c r="O1277" s="17" t="s">
        <v>86</v>
      </c>
      <c r="P1277" s="17"/>
      <c r="Q1277" s="17"/>
      <c r="R1277" s="17"/>
      <c r="S1277" s="17">
        <v>0.95666700000000005</v>
      </c>
      <c r="T1277" s="17">
        <v>2.89</v>
      </c>
      <c r="U1277" s="19">
        <f t="shared" si="84"/>
        <v>3.0209048707648534</v>
      </c>
      <c r="V1277" s="41">
        <f t="shared" si="87"/>
        <v>202.09048707648535</v>
      </c>
      <c r="W1277" s="14"/>
      <c r="X1277" s="17" t="s">
        <v>56</v>
      </c>
      <c r="Z1277" s="17" t="s">
        <v>58</v>
      </c>
      <c r="AA1277" s="17" t="s">
        <v>58</v>
      </c>
      <c r="AB1277" s="17" t="s">
        <v>57</v>
      </c>
      <c r="AC1277" s="17">
        <v>2001</v>
      </c>
      <c r="AD1277" s="17">
        <v>3</v>
      </c>
      <c r="AE1277" s="17"/>
      <c r="AF1277" s="17"/>
      <c r="AG1277" s="17">
        <v>1990</v>
      </c>
      <c r="AH1277" s="14">
        <f t="shared" si="85"/>
        <v>11</v>
      </c>
      <c r="AI1277" s="17">
        <f t="shared" si="86"/>
        <v>14</v>
      </c>
      <c r="AJ1277" s="17"/>
      <c r="AK1277" s="17" t="s">
        <v>56</v>
      </c>
      <c r="AL1277" s="16" t="s">
        <v>1671</v>
      </c>
      <c r="AM1277" s="17">
        <v>2019</v>
      </c>
      <c r="AN1277" s="15" t="s">
        <v>493</v>
      </c>
      <c r="AO1277" s="15" t="s">
        <v>56</v>
      </c>
      <c r="AP1277" s="15"/>
      <c r="AQ1277" s="15" t="s">
        <v>56</v>
      </c>
      <c r="AR1277" s="15" t="s">
        <v>58</v>
      </c>
      <c r="AS1277" s="15" t="s">
        <v>62</v>
      </c>
      <c r="AT1277" s="12"/>
      <c r="AU1277" s="45"/>
      <c r="AV1277" s="15"/>
      <c r="AW1277" s="12" t="str">
        <f>B1277&amp;C1277&amp;L1277&amp;M1277&amp;O1277&amp;U1277&amp;AL1277&amp;AM1277</f>
        <v>MexicoReserve El PalmarMenticirrhus americanusdensity3.02090487076485Palacios-Sánchez2019</v>
      </c>
    </row>
    <row r="1278" spans="1:49" ht="14.25" customHeight="1" x14ac:dyDescent="0.35">
      <c r="A1278" s="12">
        <v>1277</v>
      </c>
      <c r="B1278" s="15" t="s">
        <v>254</v>
      </c>
      <c r="C1278" s="15" t="s">
        <v>1669</v>
      </c>
      <c r="D1278" s="15" t="s">
        <v>1669</v>
      </c>
      <c r="E1278" s="12" t="s">
        <v>68</v>
      </c>
      <c r="F1278" s="13" t="s">
        <v>274</v>
      </c>
      <c r="G1278" s="13" t="s">
        <v>51</v>
      </c>
      <c r="H1278" s="16" t="s">
        <v>108</v>
      </c>
      <c r="I1278" s="16" t="s">
        <v>156</v>
      </c>
      <c r="J1278" s="17"/>
      <c r="K1278" s="17">
        <v>95</v>
      </c>
      <c r="L1278" s="17" t="s">
        <v>1720</v>
      </c>
      <c r="M1278" s="17"/>
      <c r="N1278" s="14" t="s">
        <v>85</v>
      </c>
      <c r="O1278" s="17" t="s">
        <v>86</v>
      </c>
      <c r="P1278" s="17"/>
      <c r="Q1278" s="17"/>
      <c r="R1278" s="17"/>
      <c r="S1278" s="17">
        <v>0.88666699999999998</v>
      </c>
      <c r="T1278" s="17">
        <v>1.36</v>
      </c>
      <c r="U1278" s="19">
        <f t="shared" si="84"/>
        <v>1.5338340098368386</v>
      </c>
      <c r="V1278" s="41">
        <f t="shared" si="87"/>
        <v>53.383400983683856</v>
      </c>
      <c r="W1278" s="14"/>
      <c r="X1278" s="17" t="s">
        <v>56</v>
      </c>
      <c r="Z1278" s="17" t="s">
        <v>58</v>
      </c>
      <c r="AA1278" s="17" t="s">
        <v>58</v>
      </c>
      <c r="AB1278" s="17" t="s">
        <v>57</v>
      </c>
      <c r="AC1278" s="17">
        <v>2001</v>
      </c>
      <c r="AD1278" s="17">
        <v>3</v>
      </c>
      <c r="AE1278" s="17"/>
      <c r="AF1278" s="17"/>
      <c r="AG1278" s="17">
        <v>1990</v>
      </c>
      <c r="AH1278" s="14">
        <f t="shared" si="85"/>
        <v>11</v>
      </c>
      <c r="AI1278" s="17">
        <f t="shared" si="86"/>
        <v>14</v>
      </c>
      <c r="AJ1278" s="17"/>
      <c r="AK1278" s="17" t="s">
        <v>56</v>
      </c>
      <c r="AL1278" s="16" t="s">
        <v>1671</v>
      </c>
      <c r="AM1278" s="17">
        <v>2019</v>
      </c>
      <c r="AN1278" s="15" t="s">
        <v>493</v>
      </c>
      <c r="AO1278" s="15" t="s">
        <v>56</v>
      </c>
      <c r="AP1278" s="15"/>
      <c r="AQ1278" s="15" t="s">
        <v>56</v>
      </c>
      <c r="AR1278" s="15" t="s">
        <v>58</v>
      </c>
      <c r="AS1278" s="15" t="s">
        <v>62</v>
      </c>
      <c r="AT1278" s="12"/>
      <c r="AU1278" s="45"/>
      <c r="AV1278" s="15"/>
      <c r="AW1278" s="12" t="str">
        <f>B1278&amp;C1278&amp;L1278&amp;M1278&amp;O1278&amp;U1278&amp;AL1278&amp;AM1278</f>
        <v>MexicoReserve El PalmarMenticirrhus saxatilisdensity1.53383400983684Palacios-Sánchez2019</v>
      </c>
    </row>
    <row r="1279" spans="1:49" ht="14.25" customHeight="1" x14ac:dyDescent="0.35">
      <c r="A1279" s="12">
        <v>1278</v>
      </c>
      <c r="B1279" s="15" t="s">
        <v>254</v>
      </c>
      <c r="C1279" s="15" t="s">
        <v>1669</v>
      </c>
      <c r="D1279" s="15" t="s">
        <v>1669</v>
      </c>
      <c r="E1279" s="12" t="s">
        <v>68</v>
      </c>
      <c r="F1279" s="13" t="s">
        <v>274</v>
      </c>
      <c r="G1279" s="13" t="s">
        <v>51</v>
      </c>
      <c r="H1279" s="16" t="s">
        <v>108</v>
      </c>
      <c r="I1279" s="16" t="s">
        <v>156</v>
      </c>
      <c r="J1279" s="17"/>
      <c r="K1279" s="17">
        <v>95</v>
      </c>
      <c r="L1279" s="17" t="s">
        <v>1721</v>
      </c>
      <c r="M1279" s="17"/>
      <c r="N1279" s="14" t="s">
        <v>85</v>
      </c>
      <c r="O1279" s="17" t="s">
        <v>86</v>
      </c>
      <c r="P1279" s="17"/>
      <c r="Q1279" s="17"/>
      <c r="R1279" s="17"/>
      <c r="S1279" s="17">
        <v>0.04</v>
      </c>
      <c r="T1279" s="17">
        <v>0.03</v>
      </c>
      <c r="U1279" s="19">
        <f t="shared" ref="U1279:U1342" si="88">IFERROR(IF(AND(Q1279="",R1279="",S1279="",T1279=""),"",IF(AND(Q1279&lt;&gt;"",R1279&lt;&gt;"",S1279&lt;&gt;"",T1279&lt;&gt;""),(T1279/R1279)/(S1279/Q1279),IF(AND(Q1279&lt;&gt;"",R1279&lt;&gt;""),R1279/Q1279,IF(AND(S1279&lt;&gt;"",T1279&lt;&gt;""),T1279/S1279,IF(AND(Q1279&lt;&gt;"",S1279&lt;&gt;""),Q1279/S1279,IF(AND(R1279&lt;&gt;"",T1279&lt;&gt;""),T1279/R1279)))))), "N/A")</f>
        <v>0.75</v>
      </c>
      <c r="V1279" s="41">
        <f t="shared" si="87"/>
        <v>-25</v>
      </c>
      <c r="W1279" s="14"/>
      <c r="X1279" s="17" t="s">
        <v>56</v>
      </c>
      <c r="Z1279" s="17" t="s">
        <v>58</v>
      </c>
      <c r="AA1279" s="17" t="s">
        <v>58</v>
      </c>
      <c r="AB1279" s="17" t="s">
        <v>57</v>
      </c>
      <c r="AC1279" s="17">
        <v>2001</v>
      </c>
      <c r="AD1279" s="17">
        <v>3</v>
      </c>
      <c r="AE1279" s="17"/>
      <c r="AF1279" s="17"/>
      <c r="AG1279" s="17">
        <v>1990</v>
      </c>
      <c r="AH1279" s="14">
        <f t="shared" si="85"/>
        <v>11</v>
      </c>
      <c r="AI1279" s="17">
        <f t="shared" si="86"/>
        <v>14</v>
      </c>
      <c r="AJ1279" s="17"/>
      <c r="AK1279" s="17" t="s">
        <v>56</v>
      </c>
      <c r="AL1279" s="16" t="s">
        <v>1671</v>
      </c>
      <c r="AM1279" s="17">
        <v>2019</v>
      </c>
      <c r="AN1279" s="15" t="s">
        <v>493</v>
      </c>
      <c r="AO1279" s="15" t="s">
        <v>56</v>
      </c>
      <c r="AP1279" s="15"/>
      <c r="AQ1279" s="15" t="s">
        <v>56</v>
      </c>
      <c r="AR1279" s="15" t="s">
        <v>58</v>
      </c>
      <c r="AS1279" s="15" t="s">
        <v>62</v>
      </c>
      <c r="AT1279" s="12"/>
      <c r="AU1279" s="45"/>
      <c r="AV1279" s="15"/>
      <c r="AW1279" s="12" t="str">
        <f>B1279&amp;C1279&amp;L1279&amp;M1279&amp;O1279&amp;U1279&amp;AL1279&amp;AM1279</f>
        <v>MexicoReserve El PalmarMicropogonias undulatusdensity0.75Palacios-Sánchez2019</v>
      </c>
    </row>
    <row r="1280" spans="1:49" ht="14.25" customHeight="1" x14ac:dyDescent="0.35">
      <c r="A1280" s="12">
        <v>1279</v>
      </c>
      <c r="B1280" s="15" t="s">
        <v>254</v>
      </c>
      <c r="C1280" s="15" t="s">
        <v>1669</v>
      </c>
      <c r="D1280" s="15" t="s">
        <v>1669</v>
      </c>
      <c r="E1280" s="12" t="s">
        <v>68</v>
      </c>
      <c r="F1280" s="13" t="s">
        <v>274</v>
      </c>
      <c r="G1280" s="13" t="s">
        <v>51</v>
      </c>
      <c r="H1280" s="16" t="s">
        <v>108</v>
      </c>
      <c r="I1280" s="16" t="s">
        <v>156</v>
      </c>
      <c r="J1280" s="17"/>
      <c r="K1280" s="17">
        <v>95</v>
      </c>
      <c r="L1280" s="17" t="s">
        <v>1722</v>
      </c>
      <c r="M1280" s="17"/>
      <c r="N1280" s="14" t="s">
        <v>85</v>
      </c>
      <c r="O1280" s="17" t="s">
        <v>86</v>
      </c>
      <c r="P1280" s="17"/>
      <c r="Q1280" s="17"/>
      <c r="R1280" s="17"/>
      <c r="S1280" s="17">
        <v>0.03</v>
      </c>
      <c r="T1280" s="17">
        <v>0</v>
      </c>
      <c r="U1280" s="19">
        <f t="shared" si="88"/>
        <v>0</v>
      </c>
      <c r="V1280" s="41">
        <f t="shared" si="87"/>
        <v>-100</v>
      </c>
      <c r="W1280" s="14"/>
      <c r="X1280" s="17" t="s">
        <v>56</v>
      </c>
      <c r="Z1280" s="17" t="s">
        <v>58</v>
      </c>
      <c r="AA1280" s="17" t="s">
        <v>58</v>
      </c>
      <c r="AB1280" s="17" t="s">
        <v>57</v>
      </c>
      <c r="AC1280" s="17">
        <v>2001</v>
      </c>
      <c r="AD1280" s="17">
        <v>3</v>
      </c>
      <c r="AE1280" s="17"/>
      <c r="AF1280" s="17"/>
      <c r="AG1280" s="17">
        <v>1990</v>
      </c>
      <c r="AH1280" s="14">
        <f t="shared" ref="AH1280:AH1343" si="89">IF(OR(AG1280="NA",AC1280="NA"),"NA",IF(OR(AC1280="",AG1280=""), "", AC1280-AG1280))</f>
        <v>11</v>
      </c>
      <c r="AI1280" s="17">
        <f t="shared" ref="AI1280:AI1343" si="90">IF(AH1280="NA", "NA",IF(OR(AH1280="",AND(AD1280="",AE1280="")), "",AH1280+AD1280+AE1280/12))</f>
        <v>14</v>
      </c>
      <c r="AJ1280" s="17"/>
      <c r="AK1280" s="17" t="s">
        <v>56</v>
      </c>
      <c r="AL1280" s="16" t="s">
        <v>1671</v>
      </c>
      <c r="AM1280" s="17">
        <v>2019</v>
      </c>
      <c r="AN1280" s="15" t="s">
        <v>493</v>
      </c>
      <c r="AO1280" s="15" t="s">
        <v>56</v>
      </c>
      <c r="AP1280" s="15"/>
      <c r="AQ1280" s="15" t="s">
        <v>56</v>
      </c>
      <c r="AR1280" s="15" t="s">
        <v>58</v>
      </c>
      <c r="AS1280" s="15" t="s">
        <v>62</v>
      </c>
      <c r="AT1280" s="12"/>
      <c r="AU1280" s="45"/>
      <c r="AV1280" s="15"/>
      <c r="AW1280" s="12" t="str">
        <f>B1280&amp;C1280&amp;L1280&amp;M1280&amp;O1280&amp;U1280&amp;AL1280&amp;AM1280</f>
        <v>MexicoReserve El PalmarUmbrina coroidesdensity0Palacios-Sánchez2019</v>
      </c>
    </row>
    <row r="1281" spans="1:49" ht="14.25" customHeight="1" x14ac:dyDescent="0.35">
      <c r="A1281" s="12">
        <v>1280</v>
      </c>
      <c r="B1281" s="15" t="s">
        <v>254</v>
      </c>
      <c r="C1281" s="15" t="s">
        <v>1669</v>
      </c>
      <c r="D1281" s="15" t="s">
        <v>1669</v>
      </c>
      <c r="E1281" s="12" t="s">
        <v>68</v>
      </c>
      <c r="F1281" s="13" t="s">
        <v>274</v>
      </c>
      <c r="G1281" s="13" t="s">
        <v>51</v>
      </c>
      <c r="H1281" s="16" t="s">
        <v>108</v>
      </c>
      <c r="I1281" s="16" t="s">
        <v>156</v>
      </c>
      <c r="J1281" s="17"/>
      <c r="K1281" s="17">
        <v>95</v>
      </c>
      <c r="L1281" s="17" t="s">
        <v>1028</v>
      </c>
      <c r="M1281" s="17"/>
      <c r="N1281" s="14" t="s">
        <v>85</v>
      </c>
      <c r="O1281" s="17" t="s">
        <v>86</v>
      </c>
      <c r="P1281" s="17"/>
      <c r="Q1281" s="17"/>
      <c r="R1281" s="17"/>
      <c r="S1281" s="17">
        <v>1.976667</v>
      </c>
      <c r="T1281" s="17">
        <v>4.6100000000000003</v>
      </c>
      <c r="U1281" s="19">
        <f t="shared" si="88"/>
        <v>2.3322087129496269</v>
      </c>
      <c r="V1281" s="41">
        <f t="shared" si="87"/>
        <v>133.22087129496271</v>
      </c>
      <c r="W1281" s="14"/>
      <c r="X1281" s="17" t="s">
        <v>56</v>
      </c>
      <c r="Z1281" s="17" t="s">
        <v>58</v>
      </c>
      <c r="AA1281" s="17" t="s">
        <v>58</v>
      </c>
      <c r="AB1281" s="17" t="s">
        <v>57</v>
      </c>
      <c r="AC1281" s="17">
        <v>2001</v>
      </c>
      <c r="AD1281" s="17">
        <v>3</v>
      </c>
      <c r="AE1281" s="17"/>
      <c r="AF1281" s="17"/>
      <c r="AG1281" s="17">
        <v>1990</v>
      </c>
      <c r="AH1281" s="14">
        <f t="shared" si="89"/>
        <v>11</v>
      </c>
      <c r="AI1281" s="17">
        <f t="shared" si="90"/>
        <v>14</v>
      </c>
      <c r="AJ1281" s="17"/>
      <c r="AK1281" s="17" t="s">
        <v>56</v>
      </c>
      <c r="AL1281" s="16" t="s">
        <v>1671</v>
      </c>
      <c r="AM1281" s="17">
        <v>2019</v>
      </c>
      <c r="AN1281" s="15" t="s">
        <v>493</v>
      </c>
      <c r="AO1281" s="15" t="s">
        <v>56</v>
      </c>
      <c r="AP1281" s="15"/>
      <c r="AQ1281" s="15" t="s">
        <v>56</v>
      </c>
      <c r="AR1281" s="15" t="s">
        <v>58</v>
      </c>
      <c r="AS1281" s="15" t="s">
        <v>62</v>
      </c>
      <c r="AT1281" s="12"/>
      <c r="AU1281" s="45"/>
      <c r="AV1281" s="15"/>
      <c r="AW1281" s="12" t="str">
        <f>B1281&amp;C1281&amp;L1281&amp;M1281&amp;O1281&amp;U1281&amp;AL1281&amp;AM1281</f>
        <v>MexicoReserve El PalmarLagodon rhomboidesdensity2.33220871294963Palacios-Sánchez2019</v>
      </c>
    </row>
    <row r="1282" spans="1:49" ht="14.25" customHeight="1" x14ac:dyDescent="0.35">
      <c r="A1282" s="12">
        <v>1281</v>
      </c>
      <c r="B1282" s="15" t="s">
        <v>254</v>
      </c>
      <c r="C1282" s="15" t="s">
        <v>1669</v>
      </c>
      <c r="D1282" s="15" t="s">
        <v>1669</v>
      </c>
      <c r="E1282" s="12" t="s">
        <v>68</v>
      </c>
      <c r="F1282" s="13" t="s">
        <v>274</v>
      </c>
      <c r="G1282" s="13" t="s">
        <v>51</v>
      </c>
      <c r="H1282" s="16" t="s">
        <v>108</v>
      </c>
      <c r="I1282" s="16" t="s">
        <v>156</v>
      </c>
      <c r="J1282" s="17"/>
      <c r="K1282" s="17">
        <v>95</v>
      </c>
      <c r="L1282" s="17" t="s">
        <v>1723</v>
      </c>
      <c r="M1282" s="17"/>
      <c r="N1282" s="14" t="s">
        <v>85</v>
      </c>
      <c r="O1282" s="17" t="s">
        <v>86</v>
      </c>
      <c r="P1282" s="17"/>
      <c r="Q1282" s="17"/>
      <c r="R1282" s="17"/>
      <c r="S1282" s="17">
        <v>1.943333</v>
      </c>
      <c r="T1282" s="17">
        <v>1.04</v>
      </c>
      <c r="U1282" s="19">
        <f t="shared" si="88"/>
        <v>0.53516304205197984</v>
      </c>
      <c r="V1282" s="41">
        <f t="shared" ref="V1282:V1345" si="91">IFERROR(IF(U1282 = "", "",(U1282-1)*100),"N/A")</f>
        <v>-46.483695794802017</v>
      </c>
      <c r="W1282" s="14"/>
      <c r="X1282" s="17" t="s">
        <v>56</v>
      </c>
      <c r="Z1282" s="17" t="s">
        <v>58</v>
      </c>
      <c r="AA1282" s="17" t="s">
        <v>58</v>
      </c>
      <c r="AB1282" s="17" t="s">
        <v>57</v>
      </c>
      <c r="AC1282" s="17">
        <v>2001</v>
      </c>
      <c r="AD1282" s="17">
        <v>3</v>
      </c>
      <c r="AE1282" s="17"/>
      <c r="AF1282" s="17"/>
      <c r="AG1282" s="17">
        <v>1990</v>
      </c>
      <c r="AH1282" s="14">
        <f t="shared" si="89"/>
        <v>11</v>
      </c>
      <c r="AI1282" s="17">
        <f t="shared" si="90"/>
        <v>14</v>
      </c>
      <c r="AJ1282" s="17"/>
      <c r="AK1282" s="17" t="s">
        <v>56</v>
      </c>
      <c r="AL1282" s="16" t="s">
        <v>1671</v>
      </c>
      <c r="AM1282" s="17">
        <v>2019</v>
      </c>
      <c r="AN1282" s="15" t="s">
        <v>493</v>
      </c>
      <c r="AO1282" s="15" t="s">
        <v>56</v>
      </c>
      <c r="AP1282" s="15"/>
      <c r="AQ1282" s="15" t="s">
        <v>56</v>
      </c>
      <c r="AR1282" s="15" t="s">
        <v>58</v>
      </c>
      <c r="AS1282" s="15" t="s">
        <v>62</v>
      </c>
      <c r="AT1282" s="12"/>
      <c r="AU1282" s="45"/>
      <c r="AV1282" s="15"/>
      <c r="AW1282" s="12" t="str">
        <f>B1282&amp;C1282&amp;L1282&amp;M1282&amp;O1282&amp;U1282&amp;AL1282&amp;AM1282</f>
        <v>MexicoReserve El PalmarArchosargus rhomboidalisdensity0.53516304205198Palacios-Sánchez2019</v>
      </c>
    </row>
    <row r="1283" spans="1:49" ht="14.25" customHeight="1" x14ac:dyDescent="0.35">
      <c r="A1283" s="12">
        <v>1282</v>
      </c>
      <c r="B1283" s="15" t="s">
        <v>254</v>
      </c>
      <c r="C1283" s="15" t="s">
        <v>1669</v>
      </c>
      <c r="D1283" s="15" t="s">
        <v>1669</v>
      </c>
      <c r="E1283" s="15" t="s">
        <v>68</v>
      </c>
      <c r="F1283" s="16" t="s">
        <v>274</v>
      </c>
      <c r="G1283" s="16" t="s">
        <v>51</v>
      </c>
      <c r="H1283" s="16" t="s">
        <v>108</v>
      </c>
      <c r="I1283" s="16" t="s">
        <v>156</v>
      </c>
      <c r="J1283" s="17"/>
      <c r="K1283" s="17">
        <v>95</v>
      </c>
      <c r="L1283" s="17" t="s">
        <v>1020</v>
      </c>
      <c r="M1283" s="17"/>
      <c r="N1283" s="14" t="s">
        <v>85</v>
      </c>
      <c r="O1283" s="17" t="s">
        <v>86</v>
      </c>
      <c r="P1283" s="17"/>
      <c r="Q1283" s="17"/>
      <c r="R1283" s="17"/>
      <c r="S1283" s="17">
        <v>0.44</v>
      </c>
      <c r="T1283" s="17">
        <v>0</v>
      </c>
      <c r="U1283" s="20">
        <f t="shared" si="88"/>
        <v>0</v>
      </c>
      <c r="V1283" s="41">
        <f t="shared" si="91"/>
        <v>-100</v>
      </c>
      <c r="W1283" s="17"/>
      <c r="X1283" s="17" t="s">
        <v>56</v>
      </c>
      <c r="Z1283" s="17" t="s">
        <v>58</v>
      </c>
      <c r="AA1283" s="17" t="s">
        <v>58</v>
      </c>
      <c r="AB1283" s="17" t="s">
        <v>57</v>
      </c>
      <c r="AC1283" s="17">
        <v>2001</v>
      </c>
      <c r="AD1283" s="17">
        <v>3</v>
      </c>
      <c r="AE1283" s="17"/>
      <c r="AF1283" s="17"/>
      <c r="AG1283" s="17">
        <v>1990</v>
      </c>
      <c r="AH1283" s="14">
        <f t="shared" si="89"/>
        <v>11</v>
      </c>
      <c r="AI1283" s="17">
        <f t="shared" si="90"/>
        <v>14</v>
      </c>
      <c r="AJ1283" s="17"/>
      <c r="AK1283" s="17" t="s">
        <v>56</v>
      </c>
      <c r="AL1283" s="16" t="s">
        <v>1671</v>
      </c>
      <c r="AM1283" s="17">
        <v>2019</v>
      </c>
      <c r="AN1283" s="15" t="s">
        <v>493</v>
      </c>
      <c r="AO1283" s="15" t="s">
        <v>56</v>
      </c>
      <c r="AP1283" s="15"/>
      <c r="AQ1283" s="15" t="s">
        <v>56</v>
      </c>
      <c r="AR1283" s="15" t="s">
        <v>58</v>
      </c>
      <c r="AS1283" s="15" t="s">
        <v>62</v>
      </c>
      <c r="AT1283" s="15"/>
      <c r="AU1283" s="45"/>
      <c r="AV1283" s="15"/>
      <c r="AW1283" s="12" t="str">
        <f>B1283&amp;C1283&amp;L1283&amp;M1283&amp;O1283&amp;U1283&amp;AL1283&amp;AM1283</f>
        <v>MexicoReserve El PalmarArchosargus probatocephalusdensity0Palacios-Sánchez2019</v>
      </c>
    </row>
    <row r="1284" spans="1:49" ht="14.25" customHeight="1" x14ac:dyDescent="0.35">
      <c r="A1284" s="12">
        <v>1283</v>
      </c>
      <c r="B1284" s="15" t="s">
        <v>254</v>
      </c>
      <c r="C1284" s="15" t="s">
        <v>1669</v>
      </c>
      <c r="D1284" s="15" t="s">
        <v>1669</v>
      </c>
      <c r="E1284" s="15" t="s">
        <v>68</v>
      </c>
      <c r="F1284" s="13" t="s">
        <v>274</v>
      </c>
      <c r="G1284" s="13" t="s">
        <v>51</v>
      </c>
      <c r="H1284" s="16" t="s">
        <v>108</v>
      </c>
      <c r="I1284" s="16" t="s">
        <v>156</v>
      </c>
      <c r="J1284" s="17"/>
      <c r="K1284" s="17">
        <v>95</v>
      </c>
      <c r="L1284" s="17" t="s">
        <v>1724</v>
      </c>
      <c r="M1284" s="17"/>
      <c r="N1284" s="14" t="s">
        <v>85</v>
      </c>
      <c r="O1284" s="17" t="s">
        <v>86</v>
      </c>
      <c r="P1284" s="17"/>
      <c r="Q1284" s="17"/>
      <c r="R1284" s="17"/>
      <c r="S1284" s="17">
        <v>1.6667000000000001E-2</v>
      </c>
      <c r="T1284" s="17">
        <v>0</v>
      </c>
      <c r="U1284" s="20">
        <f t="shared" si="88"/>
        <v>0</v>
      </c>
      <c r="V1284" s="41">
        <f t="shared" si="91"/>
        <v>-100</v>
      </c>
      <c r="W1284" s="17"/>
      <c r="X1284" s="17" t="s">
        <v>56</v>
      </c>
      <c r="Z1284" s="17" t="s">
        <v>58</v>
      </c>
      <c r="AA1284" s="17" t="s">
        <v>58</v>
      </c>
      <c r="AB1284" s="17" t="s">
        <v>57</v>
      </c>
      <c r="AC1284" s="17">
        <v>2001</v>
      </c>
      <c r="AD1284" s="17">
        <v>3</v>
      </c>
      <c r="AE1284" s="17"/>
      <c r="AF1284" s="17"/>
      <c r="AG1284" s="17">
        <v>1990</v>
      </c>
      <c r="AH1284" s="14">
        <f t="shared" si="89"/>
        <v>11</v>
      </c>
      <c r="AI1284" s="17">
        <f t="shared" si="90"/>
        <v>14</v>
      </c>
      <c r="AJ1284" s="17"/>
      <c r="AK1284" s="17" t="s">
        <v>56</v>
      </c>
      <c r="AL1284" s="16" t="s">
        <v>1671</v>
      </c>
      <c r="AM1284" s="17">
        <v>2019</v>
      </c>
      <c r="AN1284" s="15" t="s">
        <v>493</v>
      </c>
      <c r="AO1284" s="15" t="s">
        <v>56</v>
      </c>
      <c r="AP1284" s="15"/>
      <c r="AQ1284" s="15" t="s">
        <v>56</v>
      </c>
      <c r="AR1284" s="15" t="s">
        <v>58</v>
      </c>
      <c r="AS1284" s="15" t="s">
        <v>62</v>
      </c>
      <c r="AT1284" s="15"/>
      <c r="AU1284" s="45"/>
      <c r="AV1284" s="15"/>
      <c r="AW1284" s="12" t="str">
        <f>B1284&amp;C1284&amp;L1284&amp;M1284&amp;O1284&amp;U1284&amp;AL1284&amp;AM1284</f>
        <v>MexicoReserve El PalmarSyngnathus floridaedensity0Palacios-Sánchez2019</v>
      </c>
    </row>
    <row r="1285" spans="1:49" ht="14.25" customHeight="1" x14ac:dyDescent="0.35">
      <c r="A1285" s="12">
        <v>1284</v>
      </c>
      <c r="B1285" s="15" t="s">
        <v>254</v>
      </c>
      <c r="C1285" s="15" t="s">
        <v>1669</v>
      </c>
      <c r="D1285" s="15" t="s">
        <v>1669</v>
      </c>
      <c r="E1285" s="12" t="s">
        <v>68</v>
      </c>
      <c r="F1285" s="13" t="s">
        <v>274</v>
      </c>
      <c r="G1285" s="13" t="s">
        <v>51</v>
      </c>
      <c r="H1285" s="16" t="s">
        <v>108</v>
      </c>
      <c r="I1285" s="16" t="s">
        <v>156</v>
      </c>
      <c r="J1285" s="17"/>
      <c r="K1285" s="17">
        <v>95</v>
      </c>
      <c r="L1285" s="17" t="s">
        <v>1725</v>
      </c>
      <c r="M1285" s="17"/>
      <c r="N1285" s="14" t="s">
        <v>85</v>
      </c>
      <c r="O1285" s="17" t="s">
        <v>86</v>
      </c>
      <c r="P1285" s="17"/>
      <c r="Q1285" s="17"/>
      <c r="R1285" s="17"/>
      <c r="S1285" s="17">
        <v>1.236667</v>
      </c>
      <c r="T1285" s="17">
        <v>2.25</v>
      </c>
      <c r="U1285" s="19">
        <f t="shared" si="88"/>
        <v>1.8194065176801839</v>
      </c>
      <c r="V1285" s="41">
        <f t="shared" si="91"/>
        <v>81.940651768018398</v>
      </c>
      <c r="W1285" s="14"/>
      <c r="X1285" s="17" t="s">
        <v>56</v>
      </c>
      <c r="Z1285" s="17" t="s">
        <v>58</v>
      </c>
      <c r="AA1285" s="17" t="s">
        <v>58</v>
      </c>
      <c r="AB1285" s="17" t="s">
        <v>57</v>
      </c>
      <c r="AC1285" s="17">
        <v>2001</v>
      </c>
      <c r="AD1285" s="17">
        <v>3</v>
      </c>
      <c r="AE1285" s="17"/>
      <c r="AF1285" s="17"/>
      <c r="AG1285" s="17">
        <v>1990</v>
      </c>
      <c r="AH1285" s="14">
        <f t="shared" si="89"/>
        <v>11</v>
      </c>
      <c r="AI1285" s="17">
        <f t="shared" si="90"/>
        <v>14</v>
      </c>
      <c r="AJ1285" s="17"/>
      <c r="AK1285" s="17" t="s">
        <v>56</v>
      </c>
      <c r="AL1285" s="16" t="s">
        <v>1671</v>
      </c>
      <c r="AM1285" s="17">
        <v>2019</v>
      </c>
      <c r="AN1285" s="12" t="s">
        <v>493</v>
      </c>
      <c r="AO1285" s="15" t="s">
        <v>56</v>
      </c>
      <c r="AP1285" s="15"/>
      <c r="AQ1285" s="15" t="s">
        <v>56</v>
      </c>
      <c r="AR1285" s="15" t="s">
        <v>58</v>
      </c>
      <c r="AS1285" s="15" t="s">
        <v>62</v>
      </c>
      <c r="AT1285" s="12"/>
      <c r="AU1285" s="45"/>
      <c r="AV1285" s="15"/>
      <c r="AW1285" s="12" t="str">
        <f>B1285&amp;C1285&amp;L1285&amp;M1285&amp;O1285&amp;U1285&amp;AL1285&amp;AM1285</f>
        <v>MexicoReserve El PalmarSphoeroides testudineusdensity1.81940651768018Palacios-Sánchez2019</v>
      </c>
    </row>
    <row r="1286" spans="1:49" ht="14.25" customHeight="1" x14ac:dyDescent="0.35">
      <c r="A1286" s="12">
        <v>1285</v>
      </c>
      <c r="B1286" s="15" t="s">
        <v>254</v>
      </c>
      <c r="C1286" s="15" t="s">
        <v>1669</v>
      </c>
      <c r="D1286" s="15" t="s">
        <v>1669</v>
      </c>
      <c r="E1286" s="15" t="s">
        <v>68</v>
      </c>
      <c r="F1286" s="13" t="s">
        <v>274</v>
      </c>
      <c r="G1286" s="13" t="s">
        <v>51</v>
      </c>
      <c r="H1286" s="16" t="s">
        <v>108</v>
      </c>
      <c r="I1286" s="16" t="s">
        <v>156</v>
      </c>
      <c r="J1286" s="17"/>
      <c r="K1286" s="17">
        <v>95</v>
      </c>
      <c r="L1286" s="17" t="s">
        <v>1726</v>
      </c>
      <c r="M1286" s="17"/>
      <c r="N1286" s="14" t="s">
        <v>85</v>
      </c>
      <c r="O1286" s="17" t="s">
        <v>86</v>
      </c>
      <c r="P1286" s="17"/>
      <c r="Q1286" s="17"/>
      <c r="R1286" s="17"/>
      <c r="S1286" s="17">
        <v>0.37666699999999997</v>
      </c>
      <c r="T1286" s="17">
        <v>7.0000000000000007E-2</v>
      </c>
      <c r="U1286" s="20">
        <f t="shared" si="88"/>
        <v>0.18584054350394383</v>
      </c>
      <c r="V1286" s="41">
        <f t="shared" si="91"/>
        <v>-81.415945649605618</v>
      </c>
      <c r="W1286" s="17"/>
      <c r="X1286" s="17" t="s">
        <v>56</v>
      </c>
      <c r="Z1286" s="17" t="s">
        <v>58</v>
      </c>
      <c r="AA1286" s="17" t="s">
        <v>58</v>
      </c>
      <c r="AB1286" s="17" t="s">
        <v>57</v>
      </c>
      <c r="AC1286" s="17">
        <v>2001</v>
      </c>
      <c r="AD1286" s="17">
        <v>3</v>
      </c>
      <c r="AE1286" s="17"/>
      <c r="AF1286" s="17"/>
      <c r="AG1286" s="17">
        <v>1990</v>
      </c>
      <c r="AH1286" s="14">
        <f t="shared" si="89"/>
        <v>11</v>
      </c>
      <c r="AI1286" s="17">
        <f t="shared" si="90"/>
        <v>14</v>
      </c>
      <c r="AJ1286" s="17"/>
      <c r="AK1286" s="17" t="s">
        <v>56</v>
      </c>
      <c r="AL1286" s="16" t="s">
        <v>1671</v>
      </c>
      <c r="AM1286" s="17">
        <v>2019</v>
      </c>
      <c r="AN1286" s="15" t="s">
        <v>493</v>
      </c>
      <c r="AO1286" s="15" t="s">
        <v>56</v>
      </c>
      <c r="AP1286" s="15"/>
      <c r="AQ1286" s="15" t="s">
        <v>56</v>
      </c>
      <c r="AR1286" s="15" t="s">
        <v>58</v>
      </c>
      <c r="AS1286" s="15" t="s">
        <v>62</v>
      </c>
      <c r="AT1286" s="15"/>
      <c r="AU1286" s="45"/>
      <c r="AV1286" s="15"/>
      <c r="AW1286" s="12" t="str">
        <f>B1286&amp;C1286&amp;L1286&amp;M1286&amp;O1286&amp;U1286&amp;AL1286&amp;AM1286</f>
        <v>MexicoReserve El PalmarSphoeroides spengleridensity0.185840543503944Palacios-Sánchez2019</v>
      </c>
    </row>
    <row r="1287" spans="1:49" ht="14.25" customHeight="1" x14ac:dyDescent="0.35">
      <c r="A1287" s="12">
        <v>1286</v>
      </c>
      <c r="B1287" s="15" t="s">
        <v>254</v>
      </c>
      <c r="C1287" s="15" t="s">
        <v>1669</v>
      </c>
      <c r="D1287" s="15" t="s">
        <v>1669</v>
      </c>
      <c r="E1287" s="15" t="s">
        <v>68</v>
      </c>
      <c r="F1287" s="13" t="s">
        <v>274</v>
      </c>
      <c r="G1287" s="13" t="s">
        <v>51</v>
      </c>
      <c r="H1287" s="16" t="s">
        <v>108</v>
      </c>
      <c r="I1287" s="16" t="s">
        <v>156</v>
      </c>
      <c r="J1287" s="17"/>
      <c r="K1287" s="17">
        <v>95</v>
      </c>
      <c r="L1287" s="17" t="s">
        <v>1727</v>
      </c>
      <c r="M1287" s="17"/>
      <c r="N1287" s="14" t="s">
        <v>85</v>
      </c>
      <c r="O1287" s="17" t="s">
        <v>86</v>
      </c>
      <c r="P1287" s="17"/>
      <c r="Q1287" s="17"/>
      <c r="R1287" s="17"/>
      <c r="S1287" s="17">
        <v>0</v>
      </c>
      <c r="T1287" s="17">
        <v>0.03</v>
      </c>
      <c r="U1287" s="20" t="str">
        <f t="shared" si="88"/>
        <v>N/A</v>
      </c>
      <c r="V1287" s="41" t="str">
        <f t="shared" si="91"/>
        <v>N/A</v>
      </c>
      <c r="W1287" s="17"/>
      <c r="X1287" s="17" t="s">
        <v>56</v>
      </c>
      <c r="Z1287" s="17" t="s">
        <v>58</v>
      </c>
      <c r="AA1287" s="17" t="s">
        <v>58</v>
      </c>
      <c r="AB1287" s="17" t="s">
        <v>57</v>
      </c>
      <c r="AC1287" s="17">
        <v>2001</v>
      </c>
      <c r="AD1287" s="17">
        <v>3</v>
      </c>
      <c r="AE1287" s="17"/>
      <c r="AF1287" s="17"/>
      <c r="AG1287" s="17">
        <v>1990</v>
      </c>
      <c r="AH1287" s="14">
        <f t="shared" si="89"/>
        <v>11</v>
      </c>
      <c r="AI1287" s="17">
        <f t="shared" si="90"/>
        <v>14</v>
      </c>
      <c r="AJ1287" s="17"/>
      <c r="AK1287" s="17" t="s">
        <v>56</v>
      </c>
      <c r="AL1287" s="16" t="s">
        <v>1671</v>
      </c>
      <c r="AM1287" s="17">
        <v>2019</v>
      </c>
      <c r="AN1287" s="15" t="s">
        <v>493</v>
      </c>
      <c r="AO1287" s="15" t="s">
        <v>56</v>
      </c>
      <c r="AP1287" s="15"/>
      <c r="AQ1287" s="15" t="s">
        <v>56</v>
      </c>
      <c r="AR1287" s="15" t="s">
        <v>58</v>
      </c>
      <c r="AS1287" s="15" t="s">
        <v>62</v>
      </c>
      <c r="AT1287" s="15"/>
      <c r="AU1287" s="45"/>
      <c r="AV1287" s="15"/>
      <c r="AW1287" s="12" t="str">
        <f>B1287&amp;C1287&amp;L1287&amp;M1287&amp;O1287&amp;U1287&amp;AL1287&amp;AM1287</f>
        <v>MexicoReserve El PalmarLagocephalus laevigatusdensityN/APalacios-Sánchez2019</v>
      </c>
    </row>
    <row r="1288" spans="1:49" ht="14.25" customHeight="1" x14ac:dyDescent="0.35">
      <c r="A1288" s="12">
        <v>1287</v>
      </c>
      <c r="B1288" s="15" t="s">
        <v>254</v>
      </c>
      <c r="C1288" s="15" t="s">
        <v>1669</v>
      </c>
      <c r="D1288" s="15" t="s">
        <v>1669</v>
      </c>
      <c r="E1288" s="15" t="s">
        <v>68</v>
      </c>
      <c r="F1288" s="13" t="s">
        <v>274</v>
      </c>
      <c r="G1288" s="13" t="s">
        <v>51</v>
      </c>
      <c r="H1288" s="16" t="s">
        <v>108</v>
      </c>
      <c r="I1288" s="16" t="s">
        <v>156</v>
      </c>
      <c r="J1288" s="17"/>
      <c r="K1288" s="17">
        <v>95</v>
      </c>
      <c r="L1288" s="17" t="s">
        <v>1728</v>
      </c>
      <c r="M1288" s="17"/>
      <c r="N1288" s="14" t="s">
        <v>85</v>
      </c>
      <c r="O1288" s="17" t="s">
        <v>86</v>
      </c>
      <c r="P1288" s="17"/>
      <c r="Q1288" s="17"/>
      <c r="R1288" s="17"/>
      <c r="S1288" s="17">
        <v>0.123333</v>
      </c>
      <c r="T1288" s="17">
        <v>0</v>
      </c>
      <c r="U1288" s="20">
        <f t="shared" si="88"/>
        <v>0</v>
      </c>
      <c r="V1288" s="41">
        <f t="shared" si="91"/>
        <v>-100</v>
      </c>
      <c r="W1288" s="17"/>
      <c r="X1288" s="17" t="s">
        <v>56</v>
      </c>
      <c r="Z1288" s="17" t="s">
        <v>58</v>
      </c>
      <c r="AA1288" s="17" t="s">
        <v>58</v>
      </c>
      <c r="AB1288" s="17" t="s">
        <v>57</v>
      </c>
      <c r="AC1288" s="17">
        <v>2001</v>
      </c>
      <c r="AD1288" s="17">
        <v>3</v>
      </c>
      <c r="AE1288" s="17"/>
      <c r="AF1288" s="17"/>
      <c r="AG1288" s="17">
        <v>1990</v>
      </c>
      <c r="AH1288" s="14">
        <f t="shared" si="89"/>
        <v>11</v>
      </c>
      <c r="AI1288" s="17">
        <f t="shared" si="90"/>
        <v>14</v>
      </c>
      <c r="AJ1288" s="17"/>
      <c r="AK1288" s="17" t="s">
        <v>56</v>
      </c>
      <c r="AL1288" s="16" t="s">
        <v>1671</v>
      </c>
      <c r="AM1288" s="17">
        <v>2019</v>
      </c>
      <c r="AN1288" s="15" t="s">
        <v>493</v>
      </c>
      <c r="AO1288" s="15" t="s">
        <v>56</v>
      </c>
      <c r="AP1288" s="15"/>
      <c r="AQ1288" s="15" t="s">
        <v>56</v>
      </c>
      <c r="AR1288" s="15" t="s">
        <v>58</v>
      </c>
      <c r="AS1288" s="15" t="s">
        <v>62</v>
      </c>
      <c r="AT1288" s="15"/>
      <c r="AU1288" s="45"/>
      <c r="AV1288" s="15"/>
      <c r="AW1288" s="12" t="str">
        <f>B1288&amp;C1288&amp;L1288&amp;M1288&amp;O1288&amp;U1288&amp;AL1288&amp;AM1288</f>
        <v>MexicoReserve El PalmarPrionotus scitulusdensity0Palacios-Sánchez2019</v>
      </c>
    </row>
    <row r="1289" spans="1:49" ht="14.25" customHeight="1" x14ac:dyDescent="0.35">
      <c r="A1289" s="12">
        <v>1288</v>
      </c>
      <c r="B1289" s="15" t="s">
        <v>254</v>
      </c>
      <c r="C1289" s="15" t="s">
        <v>1669</v>
      </c>
      <c r="D1289" s="15" t="s">
        <v>1669</v>
      </c>
      <c r="E1289" s="15" t="s">
        <v>68</v>
      </c>
      <c r="F1289" s="13" t="s">
        <v>274</v>
      </c>
      <c r="G1289" s="13" t="s">
        <v>51</v>
      </c>
      <c r="H1289" s="16" t="s">
        <v>108</v>
      </c>
      <c r="I1289" s="16" t="s">
        <v>156</v>
      </c>
      <c r="J1289" s="17"/>
      <c r="K1289" s="17">
        <v>95</v>
      </c>
      <c r="L1289" s="17" t="s">
        <v>1729</v>
      </c>
      <c r="M1289" s="17"/>
      <c r="N1289" s="14" t="s">
        <v>85</v>
      </c>
      <c r="O1289" s="17" t="s">
        <v>86</v>
      </c>
      <c r="P1289" s="17"/>
      <c r="Q1289" s="17"/>
      <c r="R1289" s="17"/>
      <c r="S1289" s="17">
        <v>0.13</v>
      </c>
      <c r="T1289" s="17">
        <v>0.04</v>
      </c>
      <c r="U1289" s="20">
        <f t="shared" si="88"/>
        <v>0.30769230769230771</v>
      </c>
      <c r="V1289" s="41">
        <f t="shared" si="91"/>
        <v>-69.230769230769226</v>
      </c>
      <c r="W1289" s="17"/>
      <c r="X1289" s="17" t="s">
        <v>56</v>
      </c>
      <c r="Z1289" s="17" t="s">
        <v>58</v>
      </c>
      <c r="AA1289" s="17" t="s">
        <v>58</v>
      </c>
      <c r="AB1289" s="17" t="s">
        <v>57</v>
      </c>
      <c r="AC1289" s="17">
        <v>2001</v>
      </c>
      <c r="AD1289" s="17">
        <v>3</v>
      </c>
      <c r="AE1289" s="17"/>
      <c r="AF1289" s="17"/>
      <c r="AG1289" s="17">
        <v>1990</v>
      </c>
      <c r="AH1289" s="14">
        <f t="shared" si="89"/>
        <v>11</v>
      </c>
      <c r="AI1289" s="17">
        <f t="shared" si="90"/>
        <v>14</v>
      </c>
      <c r="AJ1289" s="17"/>
      <c r="AK1289" s="17" t="s">
        <v>56</v>
      </c>
      <c r="AL1289" s="16" t="s">
        <v>1671</v>
      </c>
      <c r="AM1289" s="17">
        <v>2019</v>
      </c>
      <c r="AN1289" s="15" t="s">
        <v>493</v>
      </c>
      <c r="AO1289" s="15" t="s">
        <v>56</v>
      </c>
      <c r="AP1289" s="15"/>
      <c r="AQ1289" s="15" t="s">
        <v>56</v>
      </c>
      <c r="AR1289" s="15" t="s">
        <v>58</v>
      </c>
      <c r="AS1289" s="15" t="s">
        <v>62</v>
      </c>
      <c r="AT1289" s="15"/>
      <c r="AU1289" s="45"/>
      <c r="AV1289" s="15"/>
      <c r="AW1289" s="12" t="str">
        <f>B1289&amp;C1289&amp;L1289&amp;M1289&amp;O1289&amp;U1289&amp;AL1289&amp;AM1289</f>
        <v>MexicoReserve El PalmarPrionotus tribulusdensity0.307692307692308Palacios-Sánchez2019</v>
      </c>
    </row>
    <row r="1290" spans="1:49" ht="14.25" customHeight="1" x14ac:dyDescent="0.35">
      <c r="A1290" s="12">
        <v>1289</v>
      </c>
      <c r="B1290" s="15" t="s">
        <v>254</v>
      </c>
      <c r="C1290" s="15" t="s">
        <v>1669</v>
      </c>
      <c r="D1290" s="15" t="s">
        <v>1669</v>
      </c>
      <c r="E1290" s="15" t="s">
        <v>68</v>
      </c>
      <c r="F1290" s="16" t="s">
        <v>274</v>
      </c>
      <c r="G1290" s="16" t="s">
        <v>51</v>
      </c>
      <c r="H1290" s="16" t="s">
        <v>108</v>
      </c>
      <c r="I1290" s="16" t="s">
        <v>156</v>
      </c>
      <c r="J1290" s="17"/>
      <c r="K1290" s="17">
        <v>95</v>
      </c>
      <c r="L1290" s="17" t="s">
        <v>1730</v>
      </c>
      <c r="M1290" s="17"/>
      <c r="N1290" s="14" t="s">
        <v>85</v>
      </c>
      <c r="O1290" s="17" t="s">
        <v>86</v>
      </c>
      <c r="P1290" s="17"/>
      <c r="Q1290" s="17"/>
      <c r="R1290" s="17"/>
      <c r="S1290" s="17">
        <v>0.14000000000000001</v>
      </c>
      <c r="T1290" s="17">
        <v>0.13</v>
      </c>
      <c r="U1290" s="20">
        <f t="shared" si="88"/>
        <v>0.92857142857142849</v>
      </c>
      <c r="V1290" s="41">
        <f t="shared" si="91"/>
        <v>-7.1428571428571512</v>
      </c>
      <c r="W1290" s="17"/>
      <c r="X1290" s="17" t="s">
        <v>56</v>
      </c>
      <c r="Y1290" s="17"/>
      <c r="Z1290" s="17" t="s">
        <v>58</v>
      </c>
      <c r="AA1290" s="17" t="s">
        <v>58</v>
      </c>
      <c r="AB1290" s="17" t="s">
        <v>57</v>
      </c>
      <c r="AC1290" s="17">
        <v>2001</v>
      </c>
      <c r="AD1290" s="17">
        <v>3</v>
      </c>
      <c r="AE1290" s="17"/>
      <c r="AF1290" s="17"/>
      <c r="AG1290" s="17">
        <v>1990</v>
      </c>
      <c r="AH1290" s="14">
        <f t="shared" si="89"/>
        <v>11</v>
      </c>
      <c r="AI1290" s="17">
        <f t="shared" si="90"/>
        <v>14</v>
      </c>
      <c r="AJ1290" s="17"/>
      <c r="AK1290" s="17" t="s">
        <v>56</v>
      </c>
      <c r="AL1290" s="16" t="s">
        <v>1671</v>
      </c>
      <c r="AM1290" s="17">
        <v>2019</v>
      </c>
      <c r="AN1290" s="15" t="s">
        <v>493</v>
      </c>
      <c r="AO1290" s="15" t="s">
        <v>56</v>
      </c>
      <c r="AP1290" s="15"/>
      <c r="AQ1290" s="15" t="s">
        <v>56</v>
      </c>
      <c r="AR1290" s="15" t="s">
        <v>58</v>
      </c>
      <c r="AS1290" s="15" t="s">
        <v>62</v>
      </c>
      <c r="AT1290" s="15"/>
      <c r="AU1290" s="45"/>
      <c r="AV1290" s="15"/>
      <c r="AW1290" s="12" t="str">
        <f>B1290&amp;C1290&amp;L1290&amp;M1290&amp;O1290&amp;U1290&amp;AL1290&amp;AM1290</f>
        <v>MexicoReserve El PalmarUrobatis jamaicensisdensity0.928571428571428Palacios-Sánchez2019</v>
      </c>
    </row>
    <row r="1291" spans="1:49" ht="14.25" customHeight="1" x14ac:dyDescent="0.35">
      <c r="A1291" s="12">
        <v>1290</v>
      </c>
      <c r="B1291" s="15" t="s">
        <v>254</v>
      </c>
      <c r="C1291" s="15" t="s">
        <v>1669</v>
      </c>
      <c r="D1291" s="15" t="s">
        <v>1669</v>
      </c>
      <c r="E1291" s="15" t="s">
        <v>68</v>
      </c>
      <c r="F1291" s="13" t="s">
        <v>274</v>
      </c>
      <c r="G1291" s="13" t="s">
        <v>51</v>
      </c>
      <c r="H1291" s="16" t="s">
        <v>108</v>
      </c>
      <c r="I1291" s="16" t="s">
        <v>156</v>
      </c>
      <c r="J1291" s="17"/>
      <c r="K1291" s="17">
        <v>95</v>
      </c>
      <c r="L1291" s="17" t="s">
        <v>1731</v>
      </c>
      <c r="M1291" s="17"/>
      <c r="N1291" s="14" t="s">
        <v>85</v>
      </c>
      <c r="O1291" s="17" t="s">
        <v>86</v>
      </c>
      <c r="P1291" s="17"/>
      <c r="Q1291" s="17"/>
      <c r="R1291" s="17"/>
      <c r="S1291" s="17">
        <v>1.6667000000000001E-2</v>
      </c>
      <c r="T1291" s="17">
        <v>0.05</v>
      </c>
      <c r="U1291" s="20">
        <f t="shared" si="88"/>
        <v>2.9999400011999757</v>
      </c>
      <c r="V1291" s="41">
        <f t="shared" si="91"/>
        <v>199.99400011999757</v>
      </c>
      <c r="W1291" s="17"/>
      <c r="X1291" s="17" t="s">
        <v>56</v>
      </c>
      <c r="Z1291" s="17" t="s">
        <v>58</v>
      </c>
      <c r="AA1291" s="17" t="s">
        <v>58</v>
      </c>
      <c r="AB1291" s="17" t="s">
        <v>57</v>
      </c>
      <c r="AC1291" s="17">
        <v>2001</v>
      </c>
      <c r="AD1291" s="17">
        <v>3</v>
      </c>
      <c r="AE1291" s="17"/>
      <c r="AF1291" s="17"/>
      <c r="AG1291" s="17">
        <v>1990</v>
      </c>
      <c r="AH1291" s="14">
        <f t="shared" si="89"/>
        <v>11</v>
      </c>
      <c r="AI1291" s="17">
        <f t="shared" si="90"/>
        <v>14</v>
      </c>
      <c r="AJ1291" s="17"/>
      <c r="AK1291" s="17" t="s">
        <v>56</v>
      </c>
      <c r="AL1291" s="16" t="s">
        <v>1671</v>
      </c>
      <c r="AM1291" s="17">
        <v>2019</v>
      </c>
      <c r="AN1291" s="15" t="s">
        <v>493</v>
      </c>
      <c r="AO1291" s="15" t="s">
        <v>56</v>
      </c>
      <c r="AP1291" s="15"/>
      <c r="AQ1291" s="15" t="s">
        <v>56</v>
      </c>
      <c r="AR1291" s="15" t="s">
        <v>58</v>
      </c>
      <c r="AS1291" s="15" t="s">
        <v>62</v>
      </c>
      <c r="AT1291" s="15"/>
      <c r="AU1291" s="45"/>
      <c r="AV1291" s="15"/>
      <c r="AW1291" s="12" t="str">
        <f>B1291&amp;C1291&amp;L1291&amp;M1291&amp;O1291&amp;U1291&amp;AL1291&amp;AM1291</f>
        <v>MexicoReserve El PalmarFloridichthys polyommusdensity2.99994000119998Palacios-Sánchez2019</v>
      </c>
    </row>
    <row r="1292" spans="1:49" ht="14.25" customHeight="1" x14ac:dyDescent="0.35">
      <c r="A1292" s="12">
        <v>1291</v>
      </c>
      <c r="B1292" s="12" t="s">
        <v>254</v>
      </c>
      <c r="C1292" s="12" t="s">
        <v>1669</v>
      </c>
      <c r="D1292" s="12" t="s">
        <v>1669</v>
      </c>
      <c r="E1292" s="12" t="s">
        <v>68</v>
      </c>
      <c r="F1292" s="13" t="s">
        <v>274</v>
      </c>
      <c r="G1292" s="13" t="s">
        <v>51</v>
      </c>
      <c r="H1292" s="13" t="s">
        <v>108</v>
      </c>
      <c r="I1292" s="13" t="s">
        <v>156</v>
      </c>
      <c r="J1292" s="17"/>
      <c r="K1292" s="17">
        <v>95</v>
      </c>
      <c r="L1292" s="14" t="s">
        <v>1732</v>
      </c>
      <c r="M1292" s="14"/>
      <c r="N1292" s="14" t="s">
        <v>85</v>
      </c>
      <c r="O1292" s="14" t="s">
        <v>86</v>
      </c>
      <c r="P1292" s="14"/>
      <c r="Q1292" s="14"/>
      <c r="R1292" s="14"/>
      <c r="S1292" s="14">
        <v>0.14666699999999999</v>
      </c>
      <c r="T1292" s="14">
        <v>0.09</v>
      </c>
      <c r="U1292" s="19">
        <f t="shared" si="88"/>
        <v>0.61363496901143411</v>
      </c>
      <c r="V1292" s="41">
        <f t="shared" si="91"/>
        <v>-38.636503098856586</v>
      </c>
      <c r="W1292" s="14"/>
      <c r="X1292" s="14" t="s">
        <v>56</v>
      </c>
      <c r="Z1292" s="14" t="s">
        <v>58</v>
      </c>
      <c r="AA1292" s="14" t="s">
        <v>58</v>
      </c>
      <c r="AB1292" s="14" t="s">
        <v>57</v>
      </c>
      <c r="AC1292" s="14">
        <v>2001</v>
      </c>
      <c r="AD1292" s="14">
        <v>3</v>
      </c>
      <c r="AE1292" s="14"/>
      <c r="AF1292" s="14"/>
      <c r="AG1292" s="14">
        <v>1990</v>
      </c>
      <c r="AH1292" s="14">
        <f t="shared" si="89"/>
        <v>11</v>
      </c>
      <c r="AI1292" s="17">
        <f t="shared" si="90"/>
        <v>14</v>
      </c>
      <c r="AJ1292" s="14"/>
      <c r="AK1292" s="14" t="s">
        <v>56</v>
      </c>
      <c r="AL1292" s="13" t="s">
        <v>1671</v>
      </c>
      <c r="AM1292" s="14">
        <v>2019</v>
      </c>
      <c r="AN1292" s="12" t="s">
        <v>493</v>
      </c>
      <c r="AO1292" s="12" t="s">
        <v>56</v>
      </c>
      <c r="AP1292" s="12"/>
      <c r="AQ1292" s="12" t="s">
        <v>56</v>
      </c>
      <c r="AR1292" s="12" t="s">
        <v>58</v>
      </c>
      <c r="AS1292" s="12" t="s">
        <v>62</v>
      </c>
      <c r="AT1292" s="12"/>
      <c r="AU1292" s="45"/>
      <c r="AV1292" s="15"/>
      <c r="AW1292" s="12" t="str">
        <f>B1292&amp;C1292&amp;L1292&amp;M1292&amp;O1292&amp;U1292&amp;AL1292&amp;AM1292</f>
        <v>MexicoReserve El PalmarChaetodipterus faberdensity0.613634969011434Palacios-Sánchez2019</v>
      </c>
    </row>
    <row r="1293" spans="1:49" ht="14.25" customHeight="1" x14ac:dyDescent="0.35">
      <c r="A1293" s="12">
        <v>1292</v>
      </c>
      <c r="B1293" s="12" t="s">
        <v>254</v>
      </c>
      <c r="C1293" s="12" t="s">
        <v>1669</v>
      </c>
      <c r="D1293" s="12" t="s">
        <v>1669</v>
      </c>
      <c r="E1293" s="12" t="s">
        <v>68</v>
      </c>
      <c r="F1293" s="13" t="s">
        <v>274</v>
      </c>
      <c r="G1293" s="13" t="s">
        <v>51</v>
      </c>
      <c r="H1293" s="13" t="s">
        <v>108</v>
      </c>
      <c r="I1293" s="13" t="s">
        <v>156</v>
      </c>
      <c r="J1293" s="17"/>
      <c r="K1293" s="17">
        <v>95</v>
      </c>
      <c r="L1293" s="14" t="s">
        <v>1733</v>
      </c>
      <c r="M1293" s="14"/>
      <c r="N1293" s="14" t="s">
        <v>85</v>
      </c>
      <c r="O1293" s="17" t="s">
        <v>86</v>
      </c>
      <c r="P1293" s="14"/>
      <c r="Q1293" s="14"/>
      <c r="R1293" s="14"/>
      <c r="S1293" s="14">
        <v>3.3333000000000002E-2</v>
      </c>
      <c r="T1293" s="14">
        <v>0.26</v>
      </c>
      <c r="U1293" s="19">
        <f t="shared" si="88"/>
        <v>7.8000780007800081</v>
      </c>
      <c r="V1293" s="41">
        <f t="shared" si="91"/>
        <v>680.00780007800086</v>
      </c>
      <c r="W1293" s="14"/>
      <c r="X1293" s="14" t="s">
        <v>56</v>
      </c>
      <c r="Z1293" s="14" t="s">
        <v>58</v>
      </c>
      <c r="AA1293" s="14" t="s">
        <v>58</v>
      </c>
      <c r="AB1293" s="14" t="s">
        <v>57</v>
      </c>
      <c r="AC1293" s="14">
        <v>2001</v>
      </c>
      <c r="AD1293" s="14">
        <v>3</v>
      </c>
      <c r="AE1293" s="14"/>
      <c r="AF1293" s="14"/>
      <c r="AG1293" s="14">
        <v>1990</v>
      </c>
      <c r="AH1293" s="14">
        <f t="shared" si="89"/>
        <v>11</v>
      </c>
      <c r="AI1293" s="17">
        <f t="shared" si="90"/>
        <v>14</v>
      </c>
      <c r="AJ1293" s="14"/>
      <c r="AK1293" s="14" t="s">
        <v>56</v>
      </c>
      <c r="AL1293" s="13" t="s">
        <v>1671</v>
      </c>
      <c r="AM1293" s="14">
        <v>2019</v>
      </c>
      <c r="AN1293" s="12" t="s">
        <v>493</v>
      </c>
      <c r="AO1293" s="12" t="s">
        <v>56</v>
      </c>
      <c r="AP1293" s="12"/>
      <c r="AQ1293" s="12" t="s">
        <v>56</v>
      </c>
      <c r="AR1293" s="12" t="s">
        <v>58</v>
      </c>
      <c r="AS1293" s="12" t="s">
        <v>62</v>
      </c>
      <c r="AT1293" s="12"/>
      <c r="AU1293" s="45"/>
      <c r="AV1293" s="15"/>
      <c r="AW1293" s="12" t="str">
        <f>B1293&amp;C1293&amp;L1293&amp;M1293&amp;O1293&amp;U1293&amp;AL1293&amp;AM1293</f>
        <v>MexicoReserve El PalmarFundulus persimilisdensity7.80007800078001Palacios-Sánchez2019</v>
      </c>
    </row>
    <row r="1294" spans="1:49" ht="14.25" customHeight="1" x14ac:dyDescent="0.35">
      <c r="A1294" s="12">
        <v>1293</v>
      </c>
      <c r="B1294" s="12" t="s">
        <v>254</v>
      </c>
      <c r="C1294" s="12" t="s">
        <v>1669</v>
      </c>
      <c r="D1294" s="12" t="s">
        <v>1669</v>
      </c>
      <c r="E1294" s="12" t="s">
        <v>68</v>
      </c>
      <c r="F1294" s="13" t="s">
        <v>274</v>
      </c>
      <c r="G1294" s="13" t="s">
        <v>51</v>
      </c>
      <c r="H1294" s="13" t="s">
        <v>108</v>
      </c>
      <c r="I1294" s="13" t="s">
        <v>156</v>
      </c>
      <c r="J1294" s="17"/>
      <c r="K1294" s="17">
        <v>95</v>
      </c>
      <c r="L1294" s="14" t="s">
        <v>1734</v>
      </c>
      <c r="M1294" s="14"/>
      <c r="N1294" s="14" t="s">
        <v>85</v>
      </c>
      <c r="O1294" s="17" t="s">
        <v>86</v>
      </c>
      <c r="P1294" s="14"/>
      <c r="Q1294" s="14"/>
      <c r="R1294" s="14"/>
      <c r="S1294" s="14">
        <v>1.6667000000000001E-2</v>
      </c>
      <c r="T1294" s="14">
        <v>0</v>
      </c>
      <c r="U1294" s="19">
        <f t="shared" si="88"/>
        <v>0</v>
      </c>
      <c r="V1294" s="41">
        <f t="shared" si="91"/>
        <v>-100</v>
      </c>
      <c r="W1294" s="14"/>
      <c r="X1294" s="14" t="s">
        <v>56</v>
      </c>
      <c r="Z1294" s="14" t="s">
        <v>58</v>
      </c>
      <c r="AA1294" s="14" t="s">
        <v>58</v>
      </c>
      <c r="AB1294" s="14" t="s">
        <v>57</v>
      </c>
      <c r="AC1294" s="14">
        <v>2001</v>
      </c>
      <c r="AD1294" s="14">
        <v>3</v>
      </c>
      <c r="AE1294" s="14"/>
      <c r="AF1294" s="14"/>
      <c r="AG1294" s="14">
        <v>1990</v>
      </c>
      <c r="AH1294" s="14">
        <f t="shared" si="89"/>
        <v>11</v>
      </c>
      <c r="AI1294" s="17">
        <f t="shared" si="90"/>
        <v>14</v>
      </c>
      <c r="AJ1294" s="14"/>
      <c r="AK1294" s="14" t="s">
        <v>56</v>
      </c>
      <c r="AL1294" s="13" t="s">
        <v>1671</v>
      </c>
      <c r="AM1294" s="14">
        <v>2019</v>
      </c>
      <c r="AN1294" s="12" t="s">
        <v>493</v>
      </c>
      <c r="AO1294" s="12" t="s">
        <v>56</v>
      </c>
      <c r="AP1294" s="12"/>
      <c r="AQ1294" s="12" t="s">
        <v>56</v>
      </c>
      <c r="AR1294" s="12" t="s">
        <v>58</v>
      </c>
      <c r="AS1294" s="12" t="s">
        <v>62</v>
      </c>
      <c r="AT1294" s="12"/>
      <c r="AU1294" s="45"/>
      <c r="AV1294" s="15"/>
      <c r="AW1294" s="12" t="str">
        <f>B1294&amp;C1294&amp;L1294&amp;M1294&amp;O1294&amp;U1294&amp;AL1294&amp;AM1294</f>
        <v>MexicoReserve El PalmarFundulus grandissimusdensity0Palacios-Sánchez2019</v>
      </c>
    </row>
    <row r="1295" spans="1:49" ht="14.25" customHeight="1" x14ac:dyDescent="0.35">
      <c r="A1295" s="12">
        <v>1294</v>
      </c>
      <c r="B1295" s="12" t="s">
        <v>254</v>
      </c>
      <c r="C1295" s="12" t="s">
        <v>1669</v>
      </c>
      <c r="D1295" s="12" t="s">
        <v>1669</v>
      </c>
      <c r="E1295" s="12" t="s">
        <v>68</v>
      </c>
      <c r="F1295" s="13" t="s">
        <v>274</v>
      </c>
      <c r="G1295" s="13" t="s">
        <v>51</v>
      </c>
      <c r="H1295" s="13" t="s">
        <v>108</v>
      </c>
      <c r="I1295" s="13" t="s">
        <v>156</v>
      </c>
      <c r="J1295" s="17"/>
      <c r="K1295" s="17">
        <v>95</v>
      </c>
      <c r="L1295" s="14" t="s">
        <v>1735</v>
      </c>
      <c r="M1295" s="14"/>
      <c r="N1295" s="14" t="s">
        <v>85</v>
      </c>
      <c r="O1295" s="17" t="s">
        <v>86</v>
      </c>
      <c r="P1295" s="14"/>
      <c r="Q1295" s="14"/>
      <c r="R1295" s="14"/>
      <c r="S1295" s="14">
        <v>0.02</v>
      </c>
      <c r="T1295" s="14">
        <v>7.0000000000000007E-2</v>
      </c>
      <c r="U1295" s="19">
        <f t="shared" si="88"/>
        <v>3.5000000000000004</v>
      </c>
      <c r="V1295" s="41">
        <f t="shared" si="91"/>
        <v>250.00000000000006</v>
      </c>
      <c r="W1295" s="14"/>
      <c r="X1295" s="14" t="s">
        <v>56</v>
      </c>
      <c r="Z1295" s="14" t="s">
        <v>58</v>
      </c>
      <c r="AA1295" s="14" t="s">
        <v>58</v>
      </c>
      <c r="AB1295" s="14" t="s">
        <v>57</v>
      </c>
      <c r="AC1295" s="14">
        <v>2001</v>
      </c>
      <c r="AD1295" s="14">
        <v>3</v>
      </c>
      <c r="AE1295" s="14"/>
      <c r="AF1295" s="14"/>
      <c r="AG1295" s="14">
        <v>1990</v>
      </c>
      <c r="AH1295" s="14">
        <f t="shared" si="89"/>
        <v>11</v>
      </c>
      <c r="AI1295" s="17">
        <f t="shared" si="90"/>
        <v>14</v>
      </c>
      <c r="AJ1295" s="14"/>
      <c r="AK1295" s="14" t="s">
        <v>56</v>
      </c>
      <c r="AL1295" s="13" t="s">
        <v>1671</v>
      </c>
      <c r="AM1295" s="14">
        <v>2019</v>
      </c>
      <c r="AN1295" s="12" t="s">
        <v>493</v>
      </c>
      <c r="AO1295" s="12" t="s">
        <v>56</v>
      </c>
      <c r="AP1295" s="12"/>
      <c r="AQ1295" s="12" t="s">
        <v>56</v>
      </c>
      <c r="AR1295" s="12" t="s">
        <v>58</v>
      </c>
      <c r="AS1295" s="12" t="s">
        <v>62</v>
      </c>
      <c r="AT1295" s="12"/>
      <c r="AU1295" s="45"/>
      <c r="AV1295" s="15"/>
      <c r="AW1295" s="12" t="str">
        <f>B1295&amp;C1295&amp;L1295&amp;M1295&amp;O1295&amp;U1295&amp;AL1295&amp;AM1295</f>
        <v>MexicoReserve El PalmarEugerres plumieridensity3.5Palacios-Sánchez2019</v>
      </c>
    </row>
    <row r="1296" spans="1:49" ht="14.25" customHeight="1" x14ac:dyDescent="0.35">
      <c r="A1296" s="12">
        <v>1295</v>
      </c>
      <c r="B1296" s="12" t="s">
        <v>254</v>
      </c>
      <c r="C1296" s="12" t="s">
        <v>1669</v>
      </c>
      <c r="D1296" s="12" t="s">
        <v>1669</v>
      </c>
      <c r="E1296" s="12" t="s">
        <v>68</v>
      </c>
      <c r="F1296" s="13" t="s">
        <v>274</v>
      </c>
      <c r="G1296" s="13" t="s">
        <v>51</v>
      </c>
      <c r="H1296" s="13" t="s">
        <v>108</v>
      </c>
      <c r="I1296" s="13" t="s">
        <v>156</v>
      </c>
      <c r="J1296" s="17"/>
      <c r="K1296" s="17">
        <v>95</v>
      </c>
      <c r="L1296" s="14" t="s">
        <v>1736</v>
      </c>
      <c r="M1296" s="14"/>
      <c r="N1296" s="14" t="s">
        <v>85</v>
      </c>
      <c r="O1296" s="17" t="s">
        <v>86</v>
      </c>
      <c r="P1296" s="14"/>
      <c r="Q1296" s="14"/>
      <c r="R1296" s="14"/>
      <c r="S1296" s="14">
        <v>1.69</v>
      </c>
      <c r="T1296" s="14">
        <v>2.4500000000000002</v>
      </c>
      <c r="U1296" s="19">
        <f t="shared" si="88"/>
        <v>1.4497041420118344</v>
      </c>
      <c r="V1296" s="41">
        <f t="shared" si="91"/>
        <v>44.970414201183438</v>
      </c>
      <c r="W1296" s="14"/>
      <c r="X1296" s="14" t="s">
        <v>56</v>
      </c>
      <c r="Z1296" s="14" t="s">
        <v>58</v>
      </c>
      <c r="AA1296" s="14" t="s">
        <v>58</v>
      </c>
      <c r="AB1296" s="14" t="s">
        <v>57</v>
      </c>
      <c r="AC1296" s="14">
        <v>2001</v>
      </c>
      <c r="AD1296" s="14">
        <v>3</v>
      </c>
      <c r="AE1296" s="14"/>
      <c r="AF1296" s="14"/>
      <c r="AG1296" s="14">
        <v>1990</v>
      </c>
      <c r="AH1296" s="14">
        <f t="shared" si="89"/>
        <v>11</v>
      </c>
      <c r="AI1296" s="17">
        <f t="shared" si="90"/>
        <v>14</v>
      </c>
      <c r="AJ1296" s="14"/>
      <c r="AK1296" s="14" t="s">
        <v>56</v>
      </c>
      <c r="AL1296" s="13" t="s">
        <v>1671</v>
      </c>
      <c r="AM1296" s="14">
        <v>2019</v>
      </c>
      <c r="AN1296" s="12" t="s">
        <v>493</v>
      </c>
      <c r="AO1296" s="12" t="s">
        <v>56</v>
      </c>
      <c r="AP1296" s="12"/>
      <c r="AQ1296" s="12" t="s">
        <v>56</v>
      </c>
      <c r="AR1296" s="12" t="s">
        <v>58</v>
      </c>
      <c r="AS1296" s="12" t="s">
        <v>62</v>
      </c>
      <c r="AT1296" s="12"/>
      <c r="AU1296" s="45"/>
      <c r="AV1296" s="15"/>
      <c r="AW1296" s="12" t="str">
        <f>B1296&amp;C1296&amp;L1296&amp;M1296&amp;O1296&amp;U1296&amp;AL1296&amp;AM1296</f>
        <v>MexicoReserve El PalmarHyporhamphus unifasciatusdensity1.44970414201183Palacios-Sánchez2019</v>
      </c>
    </row>
    <row r="1297" spans="1:49" ht="14.25" customHeight="1" x14ac:dyDescent="0.35">
      <c r="A1297" s="12">
        <v>1296</v>
      </c>
      <c r="B1297" s="15" t="s">
        <v>254</v>
      </c>
      <c r="C1297" s="15" t="s">
        <v>1669</v>
      </c>
      <c r="D1297" s="15" t="s">
        <v>1669</v>
      </c>
      <c r="E1297" s="12" t="s">
        <v>68</v>
      </c>
      <c r="F1297" s="13" t="s">
        <v>274</v>
      </c>
      <c r="G1297" s="13" t="s">
        <v>51</v>
      </c>
      <c r="H1297" s="16" t="s">
        <v>108</v>
      </c>
      <c r="I1297" s="16" t="s">
        <v>156</v>
      </c>
      <c r="J1297" s="17"/>
      <c r="K1297" s="17">
        <v>95</v>
      </c>
      <c r="L1297" s="17" t="s">
        <v>1737</v>
      </c>
      <c r="M1297" s="17"/>
      <c r="N1297" s="14" t="s">
        <v>85</v>
      </c>
      <c r="O1297" s="17" t="s">
        <v>86</v>
      </c>
      <c r="P1297" s="17"/>
      <c r="Q1297" s="17"/>
      <c r="R1297" s="17"/>
      <c r="S1297" s="17">
        <v>2.3333E-2</v>
      </c>
      <c r="T1297" s="17">
        <v>0</v>
      </c>
      <c r="U1297" s="19">
        <f t="shared" si="88"/>
        <v>0</v>
      </c>
      <c r="V1297" s="41">
        <f t="shared" si="91"/>
        <v>-100</v>
      </c>
      <c r="W1297" s="14"/>
      <c r="X1297" s="17" t="s">
        <v>56</v>
      </c>
      <c r="Z1297" s="17" t="s">
        <v>58</v>
      </c>
      <c r="AA1297" s="17" t="s">
        <v>58</v>
      </c>
      <c r="AB1297" s="17" t="s">
        <v>57</v>
      </c>
      <c r="AC1297" s="17">
        <v>2001</v>
      </c>
      <c r="AD1297" s="17">
        <v>3</v>
      </c>
      <c r="AE1297" s="17"/>
      <c r="AF1297" s="17"/>
      <c r="AG1297" s="17">
        <v>1990</v>
      </c>
      <c r="AH1297" s="14">
        <f t="shared" si="89"/>
        <v>11</v>
      </c>
      <c r="AI1297" s="17">
        <f t="shared" si="90"/>
        <v>14</v>
      </c>
      <c r="AJ1297" s="17"/>
      <c r="AK1297" s="17" t="s">
        <v>56</v>
      </c>
      <c r="AL1297" s="16" t="s">
        <v>1671</v>
      </c>
      <c r="AM1297" s="17">
        <v>2019</v>
      </c>
      <c r="AN1297" s="15" t="s">
        <v>493</v>
      </c>
      <c r="AO1297" s="15" t="s">
        <v>56</v>
      </c>
      <c r="AP1297" s="15"/>
      <c r="AQ1297" s="15" t="s">
        <v>56</v>
      </c>
      <c r="AR1297" s="15" t="s">
        <v>58</v>
      </c>
      <c r="AS1297" s="15" t="s">
        <v>62</v>
      </c>
      <c r="AT1297" s="12"/>
      <c r="AU1297" s="45"/>
      <c r="AV1297" s="15"/>
      <c r="AW1297" s="12" t="str">
        <f>B1297&amp;C1297&amp;L1297&amp;M1297&amp;O1297&amp;U1297&amp;AL1297&amp;AM1297</f>
        <v>MexicoReserve El PalmarHyporhamphus meekidensity0Palacios-Sánchez2019</v>
      </c>
    </row>
    <row r="1298" spans="1:49" ht="14.25" customHeight="1" x14ac:dyDescent="0.35">
      <c r="A1298" s="12">
        <v>1297</v>
      </c>
      <c r="B1298" s="15" t="s">
        <v>254</v>
      </c>
      <c r="C1298" s="15" t="s">
        <v>1669</v>
      </c>
      <c r="D1298" s="15" t="s">
        <v>1669</v>
      </c>
      <c r="E1298" s="12" t="s">
        <v>68</v>
      </c>
      <c r="F1298" s="13" t="s">
        <v>274</v>
      </c>
      <c r="G1298" s="13" t="s">
        <v>51</v>
      </c>
      <c r="H1298" s="16" t="s">
        <v>108</v>
      </c>
      <c r="I1298" s="16" t="s">
        <v>156</v>
      </c>
      <c r="J1298" s="17"/>
      <c r="K1298" s="17">
        <v>95</v>
      </c>
      <c r="L1298" s="17" t="s">
        <v>1738</v>
      </c>
      <c r="M1298" s="17"/>
      <c r="N1298" s="14" t="s">
        <v>85</v>
      </c>
      <c r="O1298" s="17" t="s">
        <v>86</v>
      </c>
      <c r="P1298" s="17"/>
      <c r="Q1298" s="17"/>
      <c r="R1298" s="17"/>
      <c r="S1298" s="17">
        <v>0.62333300000000003</v>
      </c>
      <c r="T1298" s="17">
        <v>0.24</v>
      </c>
      <c r="U1298" s="19">
        <f t="shared" si="88"/>
        <v>0.38502694386467584</v>
      </c>
      <c r="V1298" s="41">
        <f t="shared" si="91"/>
        <v>-61.497305613532419</v>
      </c>
      <c r="W1298" s="14"/>
      <c r="X1298" s="17" t="s">
        <v>56</v>
      </c>
      <c r="Z1298" s="17" t="s">
        <v>58</v>
      </c>
      <c r="AA1298" s="17" t="s">
        <v>58</v>
      </c>
      <c r="AB1298" s="17" t="s">
        <v>57</v>
      </c>
      <c r="AC1298" s="17">
        <v>2001</v>
      </c>
      <c r="AD1298" s="17">
        <v>3</v>
      </c>
      <c r="AE1298" s="17"/>
      <c r="AF1298" s="17"/>
      <c r="AG1298" s="17">
        <v>1990</v>
      </c>
      <c r="AH1298" s="14">
        <f t="shared" si="89"/>
        <v>11</v>
      </c>
      <c r="AI1298" s="17">
        <f t="shared" si="90"/>
        <v>14</v>
      </c>
      <c r="AJ1298" s="17"/>
      <c r="AK1298" s="17" t="s">
        <v>56</v>
      </c>
      <c r="AL1298" s="16" t="s">
        <v>1671</v>
      </c>
      <c r="AM1298" s="17">
        <v>2019</v>
      </c>
      <c r="AN1298" s="15" t="s">
        <v>493</v>
      </c>
      <c r="AO1298" s="15" t="s">
        <v>56</v>
      </c>
      <c r="AP1298" s="15"/>
      <c r="AQ1298" s="15" t="s">
        <v>56</v>
      </c>
      <c r="AR1298" s="15" t="s">
        <v>58</v>
      </c>
      <c r="AS1298" s="15" t="s">
        <v>62</v>
      </c>
      <c r="AT1298" s="12"/>
      <c r="AU1298" s="45"/>
      <c r="AV1298" s="15"/>
      <c r="AW1298" s="12" t="str">
        <f>B1298&amp;C1298&amp;L1298&amp;M1298&amp;O1298&amp;U1298&amp;AL1298&amp;AM1298</f>
        <v>MexicoReserve El PalmarChriodorus atherinoidesdensity0.385026943864676Palacios-Sánchez2019</v>
      </c>
    </row>
    <row r="1299" spans="1:49" ht="14.25" customHeight="1" x14ac:dyDescent="0.35">
      <c r="A1299" s="12">
        <v>1298</v>
      </c>
      <c r="B1299" s="15" t="s">
        <v>254</v>
      </c>
      <c r="C1299" s="15" t="s">
        <v>1669</v>
      </c>
      <c r="D1299" s="15" t="s">
        <v>1669</v>
      </c>
      <c r="E1299" s="12" t="s">
        <v>68</v>
      </c>
      <c r="F1299" s="13" t="s">
        <v>274</v>
      </c>
      <c r="G1299" s="13" t="s">
        <v>51</v>
      </c>
      <c r="H1299" s="16" t="s">
        <v>108</v>
      </c>
      <c r="I1299" s="16" t="s">
        <v>156</v>
      </c>
      <c r="J1299" s="17"/>
      <c r="K1299" s="17">
        <v>95</v>
      </c>
      <c r="L1299" s="17" t="s">
        <v>1739</v>
      </c>
      <c r="M1299" s="17"/>
      <c r="N1299" s="14" t="s">
        <v>85</v>
      </c>
      <c r="O1299" s="17" t="s">
        <v>86</v>
      </c>
      <c r="P1299" s="17"/>
      <c r="Q1299" s="17"/>
      <c r="R1299" s="17"/>
      <c r="S1299" s="17">
        <v>0.03</v>
      </c>
      <c r="T1299" s="17">
        <v>0</v>
      </c>
      <c r="U1299" s="19">
        <f t="shared" si="88"/>
        <v>0</v>
      </c>
      <c r="V1299" s="41">
        <f t="shared" si="91"/>
        <v>-100</v>
      </c>
      <c r="W1299" s="14"/>
      <c r="X1299" s="17" t="s">
        <v>56</v>
      </c>
      <c r="Z1299" s="17" t="s">
        <v>58</v>
      </c>
      <c r="AA1299" s="17" t="s">
        <v>58</v>
      </c>
      <c r="AB1299" s="17" t="s">
        <v>57</v>
      </c>
      <c r="AC1299" s="17">
        <v>2001</v>
      </c>
      <c r="AD1299" s="17">
        <v>3</v>
      </c>
      <c r="AE1299" s="17"/>
      <c r="AF1299" s="17"/>
      <c r="AG1299" s="17">
        <v>1990</v>
      </c>
      <c r="AH1299" s="14">
        <f t="shared" si="89"/>
        <v>11</v>
      </c>
      <c r="AI1299" s="17">
        <f t="shared" si="90"/>
        <v>14</v>
      </c>
      <c r="AJ1299" s="17"/>
      <c r="AK1299" s="17" t="s">
        <v>56</v>
      </c>
      <c r="AL1299" s="16" t="s">
        <v>1671</v>
      </c>
      <c r="AM1299" s="17">
        <v>2019</v>
      </c>
      <c r="AN1299" s="15" t="s">
        <v>493</v>
      </c>
      <c r="AO1299" s="15" t="s">
        <v>56</v>
      </c>
      <c r="AP1299" s="15"/>
      <c r="AQ1299" s="15" t="s">
        <v>56</v>
      </c>
      <c r="AR1299" s="15" t="s">
        <v>58</v>
      </c>
      <c r="AS1299" s="15" t="s">
        <v>62</v>
      </c>
      <c r="AT1299" s="12"/>
      <c r="AU1299" s="45"/>
      <c r="AV1299" s="15"/>
      <c r="AW1299" s="12" t="str">
        <f>B1299&amp;C1299&amp;L1299&amp;M1299&amp;O1299&amp;U1299&amp;AL1299&amp;AM1299</f>
        <v>MexicoReserve El PalmarKyphosus sectatrixdensity0Palacios-Sánchez2019</v>
      </c>
    </row>
    <row r="1300" spans="1:49" ht="14.25" customHeight="1" x14ac:dyDescent="0.35">
      <c r="A1300" s="12">
        <v>1299</v>
      </c>
      <c r="B1300" s="15" t="s">
        <v>254</v>
      </c>
      <c r="C1300" s="15" t="s">
        <v>1669</v>
      </c>
      <c r="D1300" s="15" t="s">
        <v>1669</v>
      </c>
      <c r="E1300" s="15" t="s">
        <v>68</v>
      </c>
      <c r="F1300" s="16" t="s">
        <v>274</v>
      </c>
      <c r="G1300" s="16" t="s">
        <v>51</v>
      </c>
      <c r="H1300" s="16" t="s">
        <v>108</v>
      </c>
      <c r="I1300" s="16" t="s">
        <v>156</v>
      </c>
      <c r="J1300" s="17"/>
      <c r="K1300" s="17">
        <v>95</v>
      </c>
      <c r="L1300" s="17" t="s">
        <v>1740</v>
      </c>
      <c r="M1300" s="17"/>
      <c r="N1300" s="14" t="s">
        <v>85</v>
      </c>
      <c r="O1300" s="17" t="s">
        <v>86</v>
      </c>
      <c r="P1300" s="17"/>
      <c r="Q1300" s="17"/>
      <c r="R1300" s="17"/>
      <c r="S1300" s="17">
        <v>1.3332999999999999E-2</v>
      </c>
      <c r="T1300" s="17">
        <v>7.0000000000000007E-2</v>
      </c>
      <c r="U1300" s="20">
        <f t="shared" si="88"/>
        <v>5.2501312532813325</v>
      </c>
      <c r="V1300" s="41">
        <f t="shared" si="91"/>
        <v>425.01312532813324</v>
      </c>
      <c r="W1300" s="17"/>
      <c r="X1300" s="17" t="s">
        <v>56</v>
      </c>
      <c r="Z1300" s="17" t="s">
        <v>58</v>
      </c>
      <c r="AA1300" s="17" t="s">
        <v>58</v>
      </c>
      <c r="AB1300" s="17" t="s">
        <v>57</v>
      </c>
      <c r="AC1300" s="17">
        <v>2001</v>
      </c>
      <c r="AD1300" s="17">
        <v>3</v>
      </c>
      <c r="AE1300" s="17"/>
      <c r="AF1300" s="17"/>
      <c r="AG1300" s="17">
        <v>1990</v>
      </c>
      <c r="AH1300" s="14">
        <f t="shared" si="89"/>
        <v>11</v>
      </c>
      <c r="AI1300" s="17">
        <f t="shared" si="90"/>
        <v>14</v>
      </c>
      <c r="AJ1300" s="17"/>
      <c r="AK1300" s="17" t="s">
        <v>56</v>
      </c>
      <c r="AL1300" s="16" t="s">
        <v>1671</v>
      </c>
      <c r="AM1300" s="17">
        <v>2019</v>
      </c>
      <c r="AN1300" s="15" t="s">
        <v>493</v>
      </c>
      <c r="AO1300" s="15" t="s">
        <v>56</v>
      </c>
      <c r="AP1300" s="15"/>
      <c r="AQ1300" s="15" t="s">
        <v>56</v>
      </c>
      <c r="AR1300" s="15" t="s">
        <v>58</v>
      </c>
      <c r="AS1300" s="15" t="s">
        <v>62</v>
      </c>
      <c r="AT1300" s="15"/>
      <c r="AU1300" s="45"/>
      <c r="AV1300" s="15"/>
      <c r="AW1300" s="12" t="str">
        <f>B1300&amp;C1300&amp;L1300&amp;M1300&amp;O1300&amp;U1300&amp;AL1300&amp;AM1300</f>
        <v>MexicoReserve El PalmarStephanolepis setiferdensity5.25013125328133Palacios-Sánchez2019</v>
      </c>
    </row>
    <row r="1301" spans="1:49" ht="14.25" customHeight="1" x14ac:dyDescent="0.35">
      <c r="A1301" s="12">
        <v>1300</v>
      </c>
      <c r="B1301" s="15" t="s">
        <v>254</v>
      </c>
      <c r="C1301" s="15" t="s">
        <v>1669</v>
      </c>
      <c r="D1301" s="15" t="s">
        <v>1669</v>
      </c>
      <c r="E1301" s="15" t="s">
        <v>68</v>
      </c>
      <c r="F1301" s="16" t="s">
        <v>274</v>
      </c>
      <c r="G1301" s="16" t="s">
        <v>51</v>
      </c>
      <c r="H1301" s="16" t="s">
        <v>108</v>
      </c>
      <c r="I1301" s="16" t="s">
        <v>156</v>
      </c>
      <c r="J1301" s="17"/>
      <c r="K1301" s="17">
        <v>95</v>
      </c>
      <c r="L1301" s="17" t="s">
        <v>393</v>
      </c>
      <c r="M1301" s="17"/>
      <c r="N1301" s="14" t="s">
        <v>85</v>
      </c>
      <c r="O1301" s="17" t="s">
        <v>86</v>
      </c>
      <c r="P1301" s="17"/>
      <c r="Q1301" s="17"/>
      <c r="R1301" s="17"/>
      <c r="S1301" s="17">
        <v>0.156667</v>
      </c>
      <c r="T1301" s="17">
        <v>0.2</v>
      </c>
      <c r="U1301" s="20">
        <f t="shared" si="88"/>
        <v>1.2765930285254712</v>
      </c>
      <c r="V1301" s="41">
        <f t="shared" si="91"/>
        <v>27.659302852547118</v>
      </c>
      <c r="W1301" s="17"/>
      <c r="X1301" s="17" t="s">
        <v>56</v>
      </c>
      <c r="Z1301" s="17" t="s">
        <v>58</v>
      </c>
      <c r="AA1301" s="17" t="s">
        <v>58</v>
      </c>
      <c r="AB1301" s="17" t="s">
        <v>57</v>
      </c>
      <c r="AC1301" s="17">
        <v>2001</v>
      </c>
      <c r="AD1301" s="17">
        <v>3</v>
      </c>
      <c r="AE1301" s="17"/>
      <c r="AF1301" s="17"/>
      <c r="AG1301" s="17">
        <v>1990</v>
      </c>
      <c r="AH1301" s="14">
        <f t="shared" si="89"/>
        <v>11</v>
      </c>
      <c r="AI1301" s="17">
        <f t="shared" si="90"/>
        <v>14</v>
      </c>
      <c r="AJ1301" s="17"/>
      <c r="AK1301" s="17" t="s">
        <v>56</v>
      </c>
      <c r="AL1301" s="16" t="s">
        <v>1671</v>
      </c>
      <c r="AM1301" s="17">
        <v>2019</v>
      </c>
      <c r="AN1301" s="15" t="s">
        <v>493</v>
      </c>
      <c r="AO1301" s="15" t="s">
        <v>56</v>
      </c>
      <c r="AP1301" s="15"/>
      <c r="AQ1301" s="15" t="s">
        <v>56</v>
      </c>
      <c r="AR1301" s="15" t="s">
        <v>58</v>
      </c>
      <c r="AS1301" s="15" t="s">
        <v>62</v>
      </c>
      <c r="AT1301" s="15"/>
      <c r="AU1301" s="45"/>
      <c r="AV1301" s="15"/>
      <c r="AW1301" s="12" t="str">
        <f>B1301&amp;C1301&amp;L1301&amp;M1301&amp;O1301&amp;U1301&amp;AL1301&amp;AM1301</f>
        <v>MexicoReserve El PalmarMugil curemadensity1.27659302852547Palacios-Sánchez2019</v>
      </c>
    </row>
    <row r="1302" spans="1:49" ht="14.25" customHeight="1" x14ac:dyDescent="0.35">
      <c r="A1302" s="12">
        <v>1301</v>
      </c>
      <c r="B1302" s="12" t="s">
        <v>254</v>
      </c>
      <c r="C1302" s="12" t="s">
        <v>1669</v>
      </c>
      <c r="D1302" s="12" t="s">
        <v>1669</v>
      </c>
      <c r="E1302" s="12" t="s">
        <v>68</v>
      </c>
      <c r="F1302" s="13" t="s">
        <v>274</v>
      </c>
      <c r="G1302" s="13" t="s">
        <v>51</v>
      </c>
      <c r="H1302" s="13" t="s">
        <v>108</v>
      </c>
      <c r="I1302" s="13" t="s">
        <v>156</v>
      </c>
      <c r="J1302" s="17"/>
      <c r="K1302" s="17">
        <v>95</v>
      </c>
      <c r="L1302" s="14" t="s">
        <v>1741</v>
      </c>
      <c r="M1302" s="14"/>
      <c r="N1302" s="14" t="s">
        <v>85</v>
      </c>
      <c r="O1302" s="17" t="s">
        <v>86</v>
      </c>
      <c r="P1302" s="14"/>
      <c r="Q1302" s="14"/>
      <c r="R1302" s="14"/>
      <c r="S1302" s="14">
        <v>1.056667</v>
      </c>
      <c r="T1302" s="14">
        <v>0</v>
      </c>
      <c r="U1302" s="19">
        <f t="shared" si="88"/>
        <v>0</v>
      </c>
      <c r="V1302" s="41">
        <f t="shared" si="91"/>
        <v>-100</v>
      </c>
      <c r="W1302" s="14"/>
      <c r="X1302" s="14" t="s">
        <v>56</v>
      </c>
      <c r="Z1302" s="14" t="s">
        <v>58</v>
      </c>
      <c r="AA1302" s="14" t="s">
        <v>58</v>
      </c>
      <c r="AB1302" s="14" t="s">
        <v>57</v>
      </c>
      <c r="AC1302" s="14">
        <v>2001</v>
      </c>
      <c r="AD1302" s="14">
        <v>3</v>
      </c>
      <c r="AE1302" s="14"/>
      <c r="AF1302" s="14"/>
      <c r="AG1302" s="14">
        <v>1990</v>
      </c>
      <c r="AH1302" s="14">
        <f t="shared" si="89"/>
        <v>11</v>
      </c>
      <c r="AI1302" s="17">
        <f t="shared" si="90"/>
        <v>14</v>
      </c>
      <c r="AJ1302" s="14"/>
      <c r="AK1302" s="14" t="s">
        <v>56</v>
      </c>
      <c r="AL1302" s="13" t="s">
        <v>1671</v>
      </c>
      <c r="AM1302" s="14">
        <v>2019</v>
      </c>
      <c r="AN1302" s="12" t="s">
        <v>493</v>
      </c>
      <c r="AO1302" s="12" t="s">
        <v>56</v>
      </c>
      <c r="AP1302" s="12"/>
      <c r="AQ1302" s="12" t="s">
        <v>56</v>
      </c>
      <c r="AR1302" s="12" t="s">
        <v>58</v>
      </c>
      <c r="AS1302" s="12" t="s">
        <v>62</v>
      </c>
      <c r="AT1302" s="12"/>
      <c r="AU1302" s="45"/>
      <c r="AV1302" s="15"/>
      <c r="AW1302" s="12" t="str">
        <f>B1302&amp;C1302&amp;L1302&amp;M1302&amp;O1302&amp;U1302&amp;AL1302&amp;AM1302</f>
        <v>MexicoReserve El PalmarMugil trichodondensity0Palacios-Sánchez2019</v>
      </c>
    </row>
    <row r="1303" spans="1:49" ht="14.25" customHeight="1" x14ac:dyDescent="0.35">
      <c r="A1303" s="12">
        <v>1302</v>
      </c>
      <c r="B1303" s="15" t="s">
        <v>254</v>
      </c>
      <c r="C1303" s="15" t="s">
        <v>1669</v>
      </c>
      <c r="D1303" s="15" t="s">
        <v>1669</v>
      </c>
      <c r="E1303" s="15" t="s">
        <v>68</v>
      </c>
      <c r="F1303" s="16" t="s">
        <v>274</v>
      </c>
      <c r="G1303" s="16" t="s">
        <v>51</v>
      </c>
      <c r="H1303" s="16" t="s">
        <v>108</v>
      </c>
      <c r="I1303" s="16" t="s">
        <v>156</v>
      </c>
      <c r="J1303" s="17"/>
      <c r="K1303" s="17">
        <v>95</v>
      </c>
      <c r="L1303" s="17" t="s">
        <v>1022</v>
      </c>
      <c r="M1303" s="17"/>
      <c r="N1303" s="14" t="s">
        <v>85</v>
      </c>
      <c r="O1303" s="17" t="s">
        <v>86</v>
      </c>
      <c r="P1303" s="17"/>
      <c r="Q1303" s="17"/>
      <c r="R1303" s="17"/>
      <c r="S1303" s="17">
        <v>0.193333</v>
      </c>
      <c r="T1303" s="17">
        <v>0.12</v>
      </c>
      <c r="U1303" s="20">
        <f t="shared" si="88"/>
        <v>0.62069072532883673</v>
      </c>
      <c r="V1303" s="41">
        <f t="shared" si="91"/>
        <v>-37.930927467116327</v>
      </c>
      <c r="W1303" s="17"/>
      <c r="X1303" s="17" t="s">
        <v>56</v>
      </c>
      <c r="Y1303" s="17"/>
      <c r="Z1303" s="17" t="s">
        <v>58</v>
      </c>
      <c r="AA1303" s="17" t="s">
        <v>58</v>
      </c>
      <c r="AB1303" s="17" t="s">
        <v>57</v>
      </c>
      <c r="AC1303" s="17">
        <v>2001</v>
      </c>
      <c r="AD1303" s="17">
        <v>3</v>
      </c>
      <c r="AE1303" s="17"/>
      <c r="AF1303" s="17"/>
      <c r="AG1303" s="17">
        <v>1990</v>
      </c>
      <c r="AH1303" s="14">
        <f t="shared" si="89"/>
        <v>11</v>
      </c>
      <c r="AI1303" s="17">
        <f t="shared" si="90"/>
        <v>14</v>
      </c>
      <c r="AJ1303" s="17"/>
      <c r="AK1303" s="17" t="s">
        <v>56</v>
      </c>
      <c r="AL1303" s="16" t="s">
        <v>1671</v>
      </c>
      <c r="AM1303" s="17">
        <v>2019</v>
      </c>
      <c r="AN1303" s="15" t="s">
        <v>493</v>
      </c>
      <c r="AO1303" s="15" t="s">
        <v>56</v>
      </c>
      <c r="AP1303" s="15"/>
      <c r="AQ1303" s="15" t="s">
        <v>56</v>
      </c>
      <c r="AR1303" s="15" t="s">
        <v>58</v>
      </c>
      <c r="AS1303" s="15" t="s">
        <v>62</v>
      </c>
      <c r="AT1303" s="15"/>
      <c r="AU1303" s="45"/>
      <c r="AV1303" s="15"/>
      <c r="AW1303" s="12" t="str">
        <f>B1303&amp;C1303&amp;L1303&amp;M1303&amp;O1303&amp;U1303&amp;AL1303&amp;AM1303</f>
        <v>MexicoReserve El PalmarSphoeroides nephelusdensity0.620690725328837Palacios-Sánchez2019</v>
      </c>
    </row>
    <row r="1304" spans="1:49" ht="14.25" customHeight="1" x14ac:dyDescent="0.35">
      <c r="A1304" s="12">
        <v>1303</v>
      </c>
      <c r="B1304" s="15" t="s">
        <v>254</v>
      </c>
      <c r="C1304" s="15" t="s">
        <v>1669</v>
      </c>
      <c r="D1304" s="15" t="s">
        <v>1669</v>
      </c>
      <c r="E1304" s="12" t="s">
        <v>68</v>
      </c>
      <c r="F1304" s="16" t="s">
        <v>274</v>
      </c>
      <c r="G1304" s="16" t="s">
        <v>51</v>
      </c>
      <c r="H1304" s="16" t="s">
        <v>108</v>
      </c>
      <c r="I1304" s="16" t="s">
        <v>156</v>
      </c>
      <c r="J1304" s="17"/>
      <c r="K1304" s="17">
        <v>95</v>
      </c>
      <c r="L1304" s="17" t="s">
        <v>1742</v>
      </c>
      <c r="M1304" s="17"/>
      <c r="N1304" s="14" t="s">
        <v>85</v>
      </c>
      <c r="O1304" s="17" t="s">
        <v>86</v>
      </c>
      <c r="P1304" s="17"/>
      <c r="Q1304" s="17"/>
      <c r="R1304" s="17"/>
      <c r="S1304" s="17">
        <v>0</v>
      </c>
      <c r="T1304" s="17">
        <v>0.12</v>
      </c>
      <c r="U1304" s="19" t="str">
        <f t="shared" si="88"/>
        <v>N/A</v>
      </c>
      <c r="V1304" s="41" t="str">
        <f t="shared" si="91"/>
        <v>N/A</v>
      </c>
      <c r="W1304" s="14"/>
      <c r="X1304" s="17" t="s">
        <v>56</v>
      </c>
      <c r="Y1304" s="17"/>
      <c r="Z1304" s="17" t="s">
        <v>58</v>
      </c>
      <c r="AA1304" s="17" t="s">
        <v>58</v>
      </c>
      <c r="AB1304" s="17" t="s">
        <v>57</v>
      </c>
      <c r="AC1304" s="17">
        <v>2001</v>
      </c>
      <c r="AD1304" s="17">
        <v>3</v>
      </c>
      <c r="AE1304" s="17"/>
      <c r="AF1304" s="17"/>
      <c r="AG1304" s="17">
        <v>1990</v>
      </c>
      <c r="AH1304" s="14">
        <f t="shared" si="89"/>
        <v>11</v>
      </c>
      <c r="AI1304" s="17">
        <f t="shared" si="90"/>
        <v>14</v>
      </c>
      <c r="AJ1304" s="17"/>
      <c r="AK1304" s="17" t="s">
        <v>56</v>
      </c>
      <c r="AL1304" s="16" t="s">
        <v>1671</v>
      </c>
      <c r="AM1304" s="17">
        <v>2019</v>
      </c>
      <c r="AN1304" s="15" t="s">
        <v>493</v>
      </c>
      <c r="AO1304" s="15" t="s">
        <v>56</v>
      </c>
      <c r="AP1304" s="15"/>
      <c r="AQ1304" s="15" t="s">
        <v>56</v>
      </c>
      <c r="AR1304" s="15" t="s">
        <v>58</v>
      </c>
      <c r="AS1304" s="15" t="s">
        <v>62</v>
      </c>
      <c r="AT1304" s="12"/>
      <c r="AU1304" s="45"/>
      <c r="AV1304" s="15"/>
      <c r="AW1304" s="12" t="str">
        <f>B1304&amp;C1304&amp;L1304&amp;M1304&amp;O1304&amp;U1304&amp;AL1304&amp;AM1304</f>
        <v>MexicoReserve El PalmarCryptotomus roseusdensityN/APalacios-Sánchez2019</v>
      </c>
    </row>
    <row r="1305" spans="1:49" ht="14.25" customHeight="1" x14ac:dyDescent="0.35">
      <c r="A1305" s="12">
        <v>1304</v>
      </c>
      <c r="B1305" s="15" t="s">
        <v>254</v>
      </c>
      <c r="C1305" s="15" t="s">
        <v>1669</v>
      </c>
      <c r="D1305" s="15" t="s">
        <v>1669</v>
      </c>
      <c r="E1305" s="12" t="s">
        <v>68</v>
      </c>
      <c r="F1305" s="13" t="s">
        <v>274</v>
      </c>
      <c r="G1305" s="13" t="s">
        <v>51</v>
      </c>
      <c r="H1305" s="16" t="s">
        <v>108</v>
      </c>
      <c r="I1305" s="16" t="s">
        <v>156</v>
      </c>
      <c r="J1305" s="17"/>
      <c r="K1305" s="17">
        <v>95</v>
      </c>
      <c r="L1305" s="17" t="s">
        <v>1743</v>
      </c>
      <c r="M1305" s="17"/>
      <c r="N1305" s="14" t="s">
        <v>85</v>
      </c>
      <c r="O1305" s="17" t="s">
        <v>86</v>
      </c>
      <c r="P1305" s="17"/>
      <c r="Q1305" s="17"/>
      <c r="R1305" s="17"/>
      <c r="S1305" s="17">
        <v>1.6667000000000001E-2</v>
      </c>
      <c r="T1305" s="17">
        <v>0</v>
      </c>
      <c r="U1305" s="19">
        <f t="shared" si="88"/>
        <v>0</v>
      </c>
      <c r="V1305" s="41">
        <f t="shared" si="91"/>
        <v>-100</v>
      </c>
      <c r="W1305" s="14"/>
      <c r="X1305" s="17" t="s">
        <v>56</v>
      </c>
      <c r="Y1305" s="17"/>
      <c r="Z1305" s="17" t="s">
        <v>58</v>
      </c>
      <c r="AA1305" s="17" t="s">
        <v>58</v>
      </c>
      <c r="AB1305" s="17" t="s">
        <v>57</v>
      </c>
      <c r="AC1305" s="17">
        <v>2001</v>
      </c>
      <c r="AD1305" s="17">
        <v>3</v>
      </c>
      <c r="AE1305" s="17"/>
      <c r="AF1305" s="17"/>
      <c r="AG1305" s="17">
        <v>1990</v>
      </c>
      <c r="AH1305" s="14">
        <f t="shared" si="89"/>
        <v>11</v>
      </c>
      <c r="AI1305" s="17">
        <f t="shared" si="90"/>
        <v>14</v>
      </c>
      <c r="AJ1305" s="17"/>
      <c r="AK1305" s="17" t="s">
        <v>56</v>
      </c>
      <c r="AL1305" s="16" t="s">
        <v>1671</v>
      </c>
      <c r="AM1305" s="17">
        <v>2019</v>
      </c>
      <c r="AN1305" s="15" t="s">
        <v>493</v>
      </c>
      <c r="AO1305" s="15" t="s">
        <v>56</v>
      </c>
      <c r="AP1305" s="15"/>
      <c r="AQ1305" s="15" t="s">
        <v>56</v>
      </c>
      <c r="AR1305" s="15" t="s">
        <v>58</v>
      </c>
      <c r="AS1305" s="15" t="s">
        <v>62</v>
      </c>
      <c r="AT1305" s="12"/>
      <c r="AU1305" s="45"/>
      <c r="AV1305" s="15"/>
      <c r="AW1305" s="12" t="str">
        <f>B1305&amp;C1305&amp;L1305&amp;M1305&amp;O1305&amp;U1305&amp;AL1305&amp;AM1305</f>
        <v>MexicoReserve El PalmarNicholsina ustadensity0Palacios-Sánchez2019</v>
      </c>
    </row>
    <row r="1306" spans="1:49" ht="14.25" customHeight="1" x14ac:dyDescent="0.35">
      <c r="A1306" s="12">
        <v>1305</v>
      </c>
      <c r="B1306" s="15" t="s">
        <v>254</v>
      </c>
      <c r="C1306" s="15" t="s">
        <v>1669</v>
      </c>
      <c r="D1306" s="15" t="s">
        <v>1669</v>
      </c>
      <c r="E1306" s="12" t="s">
        <v>68</v>
      </c>
      <c r="F1306" s="13" t="s">
        <v>274</v>
      </c>
      <c r="G1306" s="13" t="s">
        <v>51</v>
      </c>
      <c r="H1306" s="16" t="s">
        <v>108</v>
      </c>
      <c r="I1306" s="16" t="s">
        <v>156</v>
      </c>
      <c r="J1306" s="17"/>
      <c r="K1306" s="17">
        <v>95</v>
      </c>
      <c r="L1306" s="17"/>
      <c r="M1306" s="17" t="s">
        <v>1744</v>
      </c>
      <c r="N1306" s="14" t="s">
        <v>407</v>
      </c>
      <c r="O1306" s="17" t="s">
        <v>86</v>
      </c>
      <c r="P1306" s="17"/>
      <c r="Q1306" s="17"/>
      <c r="R1306" s="17"/>
      <c r="S1306" s="17">
        <v>6.2166670000000002</v>
      </c>
      <c r="T1306" s="17">
        <v>4.2300000000000004</v>
      </c>
      <c r="U1306" s="19">
        <f t="shared" si="88"/>
        <v>0.68042891793946825</v>
      </c>
      <c r="V1306" s="41">
        <f t="shared" si="91"/>
        <v>-31.957108206053174</v>
      </c>
      <c r="W1306" s="14"/>
      <c r="X1306" s="17" t="s">
        <v>56</v>
      </c>
      <c r="Y1306" s="17"/>
      <c r="Z1306" s="17" t="s">
        <v>58</v>
      </c>
      <c r="AA1306" s="17"/>
      <c r="AB1306" s="17" t="s">
        <v>57</v>
      </c>
      <c r="AC1306" s="17">
        <v>2001</v>
      </c>
      <c r="AD1306" s="17">
        <v>3</v>
      </c>
      <c r="AE1306" s="17"/>
      <c r="AF1306" s="17"/>
      <c r="AG1306" s="17">
        <v>1990</v>
      </c>
      <c r="AH1306" s="14">
        <f t="shared" si="89"/>
        <v>11</v>
      </c>
      <c r="AI1306" s="17">
        <f t="shared" si="90"/>
        <v>14</v>
      </c>
      <c r="AJ1306" s="17"/>
      <c r="AK1306" s="17" t="s">
        <v>56</v>
      </c>
      <c r="AL1306" s="16" t="s">
        <v>1671</v>
      </c>
      <c r="AM1306" s="17">
        <v>2019</v>
      </c>
      <c r="AN1306" s="15" t="s">
        <v>493</v>
      </c>
      <c r="AO1306" s="15" t="s">
        <v>56</v>
      </c>
      <c r="AP1306" s="15"/>
      <c r="AQ1306" s="15" t="s">
        <v>56</v>
      </c>
      <c r="AR1306" s="15" t="s">
        <v>58</v>
      </c>
      <c r="AS1306" s="15" t="s">
        <v>62</v>
      </c>
      <c r="AT1306" s="12"/>
      <c r="AU1306" s="45"/>
      <c r="AV1306" s="15"/>
      <c r="AW1306" s="12" t="str">
        <f>B1306&amp;C1306&amp;L1306&amp;M1306&amp;O1306&amp;U1306&amp;AL1306&amp;AM1306</f>
        <v>MexicoReserve El PalmarNekton feedersdensity0.680428917939468Palacios-Sánchez2019</v>
      </c>
    </row>
    <row r="1307" spans="1:49" ht="14.25" customHeight="1" x14ac:dyDescent="0.35">
      <c r="A1307" s="12">
        <v>1306</v>
      </c>
      <c r="B1307" s="15" t="s">
        <v>254</v>
      </c>
      <c r="C1307" s="15" t="s">
        <v>1669</v>
      </c>
      <c r="D1307" s="15" t="s">
        <v>1669</v>
      </c>
      <c r="E1307" s="12" t="s">
        <v>68</v>
      </c>
      <c r="F1307" s="13" t="s">
        <v>274</v>
      </c>
      <c r="G1307" s="13" t="s">
        <v>51</v>
      </c>
      <c r="H1307" s="16" t="s">
        <v>108</v>
      </c>
      <c r="I1307" s="16" t="s">
        <v>156</v>
      </c>
      <c r="J1307" s="17"/>
      <c r="K1307" s="17">
        <v>95</v>
      </c>
      <c r="L1307" s="17"/>
      <c r="M1307" s="17" t="s">
        <v>1745</v>
      </c>
      <c r="N1307" s="14" t="s">
        <v>407</v>
      </c>
      <c r="O1307" s="17" t="s">
        <v>86</v>
      </c>
      <c r="P1307" s="17"/>
      <c r="Q1307" s="17"/>
      <c r="R1307" s="17"/>
      <c r="S1307" s="17">
        <v>73.25</v>
      </c>
      <c r="T1307" s="17">
        <v>203.43</v>
      </c>
      <c r="U1307" s="19">
        <f t="shared" si="88"/>
        <v>2.7772013651877132</v>
      </c>
      <c r="V1307" s="41">
        <f t="shared" si="91"/>
        <v>177.72013651877131</v>
      </c>
      <c r="W1307" s="14"/>
      <c r="X1307" s="17" t="s">
        <v>56</v>
      </c>
      <c r="Y1307" s="17"/>
      <c r="Z1307" s="17" t="s">
        <v>58</v>
      </c>
      <c r="AA1307" s="17"/>
      <c r="AB1307" s="17" t="s">
        <v>57</v>
      </c>
      <c r="AC1307" s="17">
        <v>2001</v>
      </c>
      <c r="AD1307" s="17">
        <v>3</v>
      </c>
      <c r="AE1307" s="17"/>
      <c r="AF1307" s="17"/>
      <c r="AG1307" s="17">
        <v>1990</v>
      </c>
      <c r="AH1307" s="14">
        <f t="shared" si="89"/>
        <v>11</v>
      </c>
      <c r="AI1307" s="17">
        <f t="shared" si="90"/>
        <v>14</v>
      </c>
      <c r="AJ1307" s="17"/>
      <c r="AK1307" s="17" t="s">
        <v>56</v>
      </c>
      <c r="AL1307" s="16" t="s">
        <v>1671</v>
      </c>
      <c r="AM1307" s="17">
        <v>2019</v>
      </c>
      <c r="AN1307" s="15" t="s">
        <v>493</v>
      </c>
      <c r="AO1307" s="15" t="s">
        <v>56</v>
      </c>
      <c r="AP1307" s="15"/>
      <c r="AQ1307" s="15" t="s">
        <v>56</v>
      </c>
      <c r="AR1307" s="15" t="s">
        <v>58</v>
      </c>
      <c r="AS1307" s="15" t="s">
        <v>62</v>
      </c>
      <c r="AT1307" s="12"/>
      <c r="AU1307" s="45"/>
      <c r="AV1307" s="15"/>
      <c r="AW1307" s="12" t="str">
        <f>B1307&amp;C1307&amp;L1307&amp;M1307&amp;O1307&amp;U1307&amp;AL1307&amp;AM1307</f>
        <v>MexicoReserve El Palmarzooplankton feedersdensity2.77720136518771Palacios-Sánchez2019</v>
      </c>
    </row>
    <row r="1308" spans="1:49" ht="14.25" customHeight="1" x14ac:dyDescent="0.35">
      <c r="A1308" s="12">
        <v>1307</v>
      </c>
      <c r="B1308" s="15" t="s">
        <v>254</v>
      </c>
      <c r="C1308" s="15" t="s">
        <v>1669</v>
      </c>
      <c r="D1308" s="15" t="s">
        <v>1669</v>
      </c>
      <c r="E1308" s="12" t="s">
        <v>68</v>
      </c>
      <c r="F1308" s="13" t="s">
        <v>274</v>
      </c>
      <c r="G1308" s="13" t="s">
        <v>51</v>
      </c>
      <c r="H1308" s="16" t="s">
        <v>108</v>
      </c>
      <c r="I1308" s="16" t="s">
        <v>156</v>
      </c>
      <c r="J1308" s="17"/>
      <c r="K1308" s="17">
        <v>95</v>
      </c>
      <c r="L1308" s="17"/>
      <c r="M1308" s="14" t="s">
        <v>1746</v>
      </c>
      <c r="N1308" s="14" t="s">
        <v>407</v>
      </c>
      <c r="O1308" s="17" t="s">
        <v>86</v>
      </c>
      <c r="P1308" s="17"/>
      <c r="Q1308" s="17"/>
      <c r="R1308" s="17"/>
      <c r="S1308" s="17">
        <v>77.863330000000005</v>
      </c>
      <c r="T1308" s="17">
        <v>224.33</v>
      </c>
      <c r="U1308" s="19">
        <f t="shared" si="88"/>
        <v>2.8810737994380666</v>
      </c>
      <c r="V1308" s="41">
        <f t="shared" si="91"/>
        <v>188.10737994380668</v>
      </c>
      <c r="W1308" s="14"/>
      <c r="X1308" s="17" t="s">
        <v>56</v>
      </c>
      <c r="Y1308" s="17"/>
      <c r="Z1308" s="17" t="s">
        <v>58</v>
      </c>
      <c r="AA1308" s="17"/>
      <c r="AB1308" s="17" t="s">
        <v>57</v>
      </c>
      <c r="AC1308" s="17">
        <v>2001</v>
      </c>
      <c r="AD1308" s="17">
        <v>3</v>
      </c>
      <c r="AE1308" s="17"/>
      <c r="AF1308" s="17"/>
      <c r="AG1308" s="17">
        <v>1990</v>
      </c>
      <c r="AH1308" s="14">
        <f t="shared" si="89"/>
        <v>11</v>
      </c>
      <c r="AI1308" s="17">
        <f t="shared" si="90"/>
        <v>14</v>
      </c>
      <c r="AJ1308" s="17"/>
      <c r="AK1308" s="17" t="s">
        <v>56</v>
      </c>
      <c r="AL1308" s="16" t="s">
        <v>1671</v>
      </c>
      <c r="AM1308" s="17">
        <v>2019</v>
      </c>
      <c r="AN1308" s="15" t="s">
        <v>493</v>
      </c>
      <c r="AO1308" s="15" t="s">
        <v>56</v>
      </c>
      <c r="AP1308" s="15"/>
      <c r="AQ1308" s="15" t="s">
        <v>56</v>
      </c>
      <c r="AR1308" s="15" t="s">
        <v>58</v>
      </c>
      <c r="AS1308" s="15" t="s">
        <v>62</v>
      </c>
      <c r="AT1308" s="12"/>
      <c r="AU1308" s="45"/>
      <c r="AV1308" s="15"/>
      <c r="AW1308" s="12" t="str">
        <f>B1308&amp;C1308&amp;L1308&amp;M1308&amp;O1308&amp;U1308&amp;AL1308&amp;AM1308</f>
        <v>MexicoReserve El Palmarzoobenthos feedersdensity2.88107379943807Palacios-Sánchez2019</v>
      </c>
    </row>
    <row r="1309" spans="1:49" ht="14.25" customHeight="1" x14ac:dyDescent="0.35">
      <c r="A1309" s="12">
        <v>1308</v>
      </c>
      <c r="B1309" s="12" t="s">
        <v>254</v>
      </c>
      <c r="C1309" s="12" t="s">
        <v>1669</v>
      </c>
      <c r="D1309" s="12" t="s">
        <v>1669</v>
      </c>
      <c r="E1309" s="12" t="s">
        <v>68</v>
      </c>
      <c r="F1309" s="13" t="s">
        <v>274</v>
      </c>
      <c r="G1309" s="13" t="s">
        <v>51</v>
      </c>
      <c r="H1309" s="13" t="s">
        <v>108</v>
      </c>
      <c r="I1309" s="13" t="s">
        <v>156</v>
      </c>
      <c r="K1309" s="17">
        <v>95</v>
      </c>
      <c r="L1309" s="14"/>
      <c r="M1309" s="14" t="s">
        <v>1148</v>
      </c>
      <c r="N1309" s="14" t="s">
        <v>407</v>
      </c>
      <c r="O1309" s="17" t="s">
        <v>86</v>
      </c>
      <c r="P1309" s="14"/>
      <c r="Q1309" s="14"/>
      <c r="R1309" s="14"/>
      <c r="S1309" s="14">
        <v>4.0199999999999996</v>
      </c>
      <c r="T1309" s="14">
        <v>3.55</v>
      </c>
      <c r="U1309" s="19">
        <f t="shared" si="88"/>
        <v>0.88308457711442789</v>
      </c>
      <c r="V1309" s="41">
        <f t="shared" si="91"/>
        <v>-11.69154228855721</v>
      </c>
      <c r="W1309" s="14"/>
      <c r="X1309" s="14" t="s">
        <v>56</v>
      </c>
      <c r="Z1309" s="14" t="s">
        <v>58</v>
      </c>
      <c r="AA1309" s="14"/>
      <c r="AB1309" s="14" t="s">
        <v>57</v>
      </c>
      <c r="AC1309" s="14">
        <v>2001</v>
      </c>
      <c r="AD1309" s="14">
        <v>3</v>
      </c>
      <c r="AE1309" s="14"/>
      <c r="AF1309" s="14"/>
      <c r="AG1309" s="14">
        <v>1990</v>
      </c>
      <c r="AH1309" s="14">
        <f t="shared" si="89"/>
        <v>11</v>
      </c>
      <c r="AI1309" s="17">
        <f t="shared" si="90"/>
        <v>14</v>
      </c>
      <c r="AJ1309" s="14"/>
      <c r="AK1309" s="14" t="s">
        <v>56</v>
      </c>
      <c r="AL1309" s="13" t="s">
        <v>1671</v>
      </c>
      <c r="AM1309" s="14">
        <v>2019</v>
      </c>
      <c r="AN1309" s="12" t="s">
        <v>493</v>
      </c>
      <c r="AO1309" s="12" t="s">
        <v>56</v>
      </c>
      <c r="AP1309" s="12"/>
      <c r="AQ1309" s="12" t="s">
        <v>56</v>
      </c>
      <c r="AR1309" s="12" t="s">
        <v>58</v>
      </c>
      <c r="AS1309" s="12" t="s">
        <v>62</v>
      </c>
      <c r="AT1309" s="12"/>
      <c r="AU1309" s="45"/>
      <c r="AV1309" s="15"/>
      <c r="AW1309" s="12" t="str">
        <f>B1309&amp;C1309&amp;L1309&amp;M1309&amp;O1309&amp;U1309&amp;AL1309&amp;AM1309</f>
        <v>MexicoReserve El Palmaromnivoresdensity0.883084577114428Palacios-Sánchez2019</v>
      </c>
    </row>
    <row r="1310" spans="1:49" ht="14.25" customHeight="1" x14ac:dyDescent="0.35">
      <c r="A1310" s="12">
        <v>1309</v>
      </c>
      <c r="B1310" s="15" t="s">
        <v>254</v>
      </c>
      <c r="C1310" s="15" t="s">
        <v>1669</v>
      </c>
      <c r="D1310" s="15" t="s">
        <v>1669</v>
      </c>
      <c r="E1310" s="15" t="s">
        <v>68</v>
      </c>
      <c r="F1310" s="16" t="s">
        <v>274</v>
      </c>
      <c r="G1310" s="16" t="s">
        <v>51</v>
      </c>
      <c r="H1310" s="16" t="s">
        <v>108</v>
      </c>
      <c r="I1310" s="16" t="s">
        <v>156</v>
      </c>
      <c r="J1310" s="17"/>
      <c r="K1310" s="17">
        <v>95</v>
      </c>
      <c r="L1310" s="17"/>
      <c r="M1310" s="17" t="s">
        <v>503</v>
      </c>
      <c r="N1310" s="17" t="s">
        <v>407</v>
      </c>
      <c r="O1310" s="17" t="s">
        <v>86</v>
      </c>
      <c r="P1310" s="17"/>
      <c r="Q1310" s="17"/>
      <c r="R1310" s="17"/>
      <c r="S1310" s="17">
        <v>1.6667000000000001E-2</v>
      </c>
      <c r="T1310" s="17">
        <v>0.12</v>
      </c>
      <c r="U1310" s="20">
        <f t="shared" si="88"/>
        <v>7.1998560028799412</v>
      </c>
      <c r="V1310" s="41">
        <f t="shared" si="91"/>
        <v>619.98560028799409</v>
      </c>
      <c r="W1310" s="17"/>
      <c r="X1310" s="17" t="s">
        <v>56</v>
      </c>
      <c r="Z1310" s="17" t="s">
        <v>58</v>
      </c>
      <c r="AA1310" s="17"/>
      <c r="AB1310" s="17" t="s">
        <v>57</v>
      </c>
      <c r="AC1310" s="17">
        <v>2001</v>
      </c>
      <c r="AD1310" s="17">
        <v>3</v>
      </c>
      <c r="AE1310" s="17"/>
      <c r="AF1310" s="17"/>
      <c r="AG1310" s="17">
        <v>1990</v>
      </c>
      <c r="AH1310" s="14">
        <f t="shared" si="89"/>
        <v>11</v>
      </c>
      <c r="AI1310" s="17">
        <f t="shared" si="90"/>
        <v>14</v>
      </c>
      <c r="AJ1310" s="17"/>
      <c r="AK1310" s="17" t="s">
        <v>56</v>
      </c>
      <c r="AL1310" s="16" t="s">
        <v>1671</v>
      </c>
      <c r="AM1310" s="17">
        <v>2019</v>
      </c>
      <c r="AN1310" s="15" t="s">
        <v>493</v>
      </c>
      <c r="AO1310" s="15" t="s">
        <v>56</v>
      </c>
      <c r="AP1310" s="15"/>
      <c r="AQ1310" s="15" t="s">
        <v>56</v>
      </c>
      <c r="AR1310" s="15" t="s">
        <v>58</v>
      </c>
      <c r="AS1310" s="15" t="s">
        <v>62</v>
      </c>
      <c r="AT1310" s="15"/>
      <c r="AU1310" s="45"/>
      <c r="AV1310" s="15"/>
      <c r="AW1310" s="12" t="str">
        <f>B1310&amp;C1310&amp;L1310&amp;M1310&amp;O1310&amp;U1310&amp;AL1310&amp;AM1310</f>
        <v>MexicoReserve El Palmarherbivoresdensity7.19985600287994Palacios-Sánchez2019</v>
      </c>
    </row>
    <row r="1311" spans="1:49" ht="14.25" customHeight="1" x14ac:dyDescent="0.35">
      <c r="A1311" s="12">
        <v>1310</v>
      </c>
      <c r="B1311" s="12" t="s">
        <v>254</v>
      </c>
      <c r="C1311" s="12" t="s">
        <v>1669</v>
      </c>
      <c r="D1311" s="12" t="s">
        <v>1669</v>
      </c>
      <c r="E1311" s="12" t="s">
        <v>68</v>
      </c>
      <c r="F1311" s="13" t="s">
        <v>274</v>
      </c>
      <c r="G1311" s="13" t="s">
        <v>51</v>
      </c>
      <c r="H1311" s="13" t="s">
        <v>108</v>
      </c>
      <c r="I1311" s="13" t="s">
        <v>156</v>
      </c>
      <c r="K1311" s="17">
        <v>95</v>
      </c>
      <c r="L1311" s="17"/>
      <c r="M1311" s="14" t="s">
        <v>69</v>
      </c>
      <c r="N1311" s="14" t="s">
        <v>1070</v>
      </c>
      <c r="O1311" s="17" t="s">
        <v>55</v>
      </c>
      <c r="P1311" s="14"/>
      <c r="Q1311" s="14"/>
      <c r="R1311" s="14"/>
      <c r="S1311" s="14">
        <v>31</v>
      </c>
      <c r="T1311" s="14">
        <v>30.25</v>
      </c>
      <c r="U1311" s="19">
        <f t="shared" si="88"/>
        <v>0.97580645161290325</v>
      </c>
      <c r="V1311" s="41">
        <f t="shared" si="91"/>
        <v>-2.4193548387096753</v>
      </c>
      <c r="W1311" s="14"/>
      <c r="X1311" s="14" t="s">
        <v>56</v>
      </c>
      <c r="Z1311" s="14" t="s">
        <v>58</v>
      </c>
      <c r="AA1311" s="14"/>
      <c r="AB1311" s="14" t="s">
        <v>57</v>
      </c>
      <c r="AC1311" s="14">
        <v>2001</v>
      </c>
      <c r="AD1311" s="14">
        <v>3</v>
      </c>
      <c r="AE1311" s="14"/>
      <c r="AF1311" s="14"/>
      <c r="AG1311" s="14">
        <v>1990</v>
      </c>
      <c r="AH1311" s="14">
        <f t="shared" si="89"/>
        <v>11</v>
      </c>
      <c r="AI1311" s="17">
        <f t="shared" si="90"/>
        <v>14</v>
      </c>
      <c r="AJ1311" s="14"/>
      <c r="AK1311" s="14" t="s">
        <v>56</v>
      </c>
      <c r="AL1311" s="13" t="s">
        <v>1671</v>
      </c>
      <c r="AM1311" s="14">
        <v>2019</v>
      </c>
      <c r="AN1311" s="12" t="s">
        <v>493</v>
      </c>
      <c r="AO1311" s="12" t="s">
        <v>56</v>
      </c>
      <c r="AP1311" s="12"/>
      <c r="AQ1311" s="12" t="s">
        <v>56</v>
      </c>
      <c r="AR1311" s="12" t="s">
        <v>58</v>
      </c>
      <c r="AS1311" s="12" t="s">
        <v>62</v>
      </c>
      <c r="AT1311" s="12"/>
      <c r="AU1311" s="45"/>
      <c r="AV1311" s="15"/>
      <c r="AW1311" s="12" t="str">
        <f>B1311&amp;C1311&amp;L1311&amp;M1311&amp;O1311&amp;U1311&amp;AL1311&amp;AM1311</f>
        <v>MexicoReserve El Palmarfishrichness0.975806451612903Palacios-Sánchez2019</v>
      </c>
    </row>
    <row r="1312" spans="1:49" ht="14.25" customHeight="1" x14ac:dyDescent="0.35">
      <c r="A1312" s="12">
        <v>1311</v>
      </c>
      <c r="B1312" s="15" t="s">
        <v>586</v>
      </c>
      <c r="C1312" s="15" t="s">
        <v>1480</v>
      </c>
      <c r="D1312" s="43" t="s">
        <v>718</v>
      </c>
      <c r="E1312" s="12" t="s">
        <v>68</v>
      </c>
      <c r="F1312" s="13" t="s">
        <v>50</v>
      </c>
      <c r="G1312" s="13" t="s">
        <v>51</v>
      </c>
      <c r="H1312" s="16" t="s">
        <v>78</v>
      </c>
      <c r="I1312" s="16" t="s">
        <v>156</v>
      </c>
      <c r="J1312" s="17">
        <v>1</v>
      </c>
      <c r="K1312" s="17"/>
      <c r="L1312" s="17" t="s">
        <v>185</v>
      </c>
      <c r="M1312" s="17" t="s">
        <v>588</v>
      </c>
      <c r="N1312" s="17" t="s">
        <v>288</v>
      </c>
      <c r="O1312" s="17" t="s">
        <v>101</v>
      </c>
      <c r="P1312" s="17"/>
      <c r="Q1312" s="17"/>
      <c r="R1312" s="17"/>
      <c r="S1312" s="17">
        <v>21.967210000000001</v>
      </c>
      <c r="T1312" s="17">
        <v>30.163930000000001</v>
      </c>
      <c r="U1312" s="19">
        <f t="shared" si="88"/>
        <v>1.3731343215638216</v>
      </c>
      <c r="V1312" s="41">
        <f t="shared" si="91"/>
        <v>37.313432156382163</v>
      </c>
      <c r="W1312" s="14"/>
      <c r="X1312" s="17" t="s">
        <v>56</v>
      </c>
      <c r="Y1312" s="12"/>
      <c r="Z1312" s="17" t="s">
        <v>56</v>
      </c>
      <c r="AA1312" s="17"/>
      <c r="AB1312" s="17" t="s">
        <v>57</v>
      </c>
      <c r="AC1312" s="17">
        <v>2005</v>
      </c>
      <c r="AD1312" s="17">
        <v>0</v>
      </c>
      <c r="AE1312" s="17"/>
      <c r="AF1312" s="17"/>
      <c r="AG1312" s="17">
        <v>2002</v>
      </c>
      <c r="AH1312" s="14">
        <f t="shared" si="89"/>
        <v>3</v>
      </c>
      <c r="AI1312" s="17">
        <f t="shared" si="90"/>
        <v>3</v>
      </c>
      <c r="AJ1312" s="17"/>
      <c r="AK1312" s="17" t="s">
        <v>56</v>
      </c>
      <c r="AL1312" s="16" t="s">
        <v>589</v>
      </c>
      <c r="AM1312" s="17">
        <v>2009</v>
      </c>
      <c r="AN1312" s="15" t="s">
        <v>590</v>
      </c>
      <c r="AO1312" s="15" t="s">
        <v>56</v>
      </c>
      <c r="AP1312" s="15"/>
      <c r="AQ1312" s="15" t="s">
        <v>56</v>
      </c>
      <c r="AR1312" s="15" t="s">
        <v>58</v>
      </c>
      <c r="AS1312" s="15" t="s">
        <v>62</v>
      </c>
      <c r="AT1312" s="12"/>
      <c r="AU1312" s="45"/>
      <c r="AV1312" s="15"/>
      <c r="AW1312" s="12" t="str">
        <f>B1312&amp;C1312&amp;L1312&amp;M1312&amp;O1312&amp;U1312&amp;AL1312&amp;AM1312</f>
        <v>PalauNgelukes MPAScleractiniastony coralscover1.37313432156382Page2009</v>
      </c>
    </row>
    <row r="1313" spans="1:49" ht="14.25" customHeight="1" x14ac:dyDescent="0.35">
      <c r="A1313" s="12">
        <v>1312</v>
      </c>
      <c r="B1313" s="15" t="s">
        <v>586</v>
      </c>
      <c r="C1313" s="15" t="s">
        <v>587</v>
      </c>
      <c r="D1313" s="15" t="s">
        <v>587</v>
      </c>
      <c r="E1313" s="12" t="s">
        <v>68</v>
      </c>
      <c r="F1313" s="13" t="s">
        <v>50</v>
      </c>
      <c r="G1313" s="13" t="s">
        <v>51</v>
      </c>
      <c r="H1313" s="16" t="s">
        <v>78</v>
      </c>
      <c r="I1313" s="16" t="s">
        <v>156</v>
      </c>
      <c r="J1313" s="17">
        <v>8.0000000000000002E-3</v>
      </c>
      <c r="K1313" s="17"/>
      <c r="L1313" s="17" t="s">
        <v>185</v>
      </c>
      <c r="M1313" s="17" t="s">
        <v>588</v>
      </c>
      <c r="N1313" s="17" t="s">
        <v>288</v>
      </c>
      <c r="O1313" s="17" t="s">
        <v>101</v>
      </c>
      <c r="P1313" s="17"/>
      <c r="Q1313" s="17"/>
      <c r="R1313" s="17"/>
      <c r="S1313" s="17">
        <v>50.163930000000001</v>
      </c>
      <c r="T1313" s="17">
        <v>73.114750000000001</v>
      </c>
      <c r="U1313" s="19">
        <f t="shared" si="88"/>
        <v>1.4575163867743217</v>
      </c>
      <c r="V1313" s="41">
        <f t="shared" si="91"/>
        <v>45.751638677432169</v>
      </c>
      <c r="W1313" s="14"/>
      <c r="X1313" s="17" t="s">
        <v>56</v>
      </c>
      <c r="Z1313" s="17" t="s">
        <v>56</v>
      </c>
      <c r="AA1313" s="17"/>
      <c r="AB1313" s="17" t="s">
        <v>57</v>
      </c>
      <c r="AC1313" s="17">
        <v>2005</v>
      </c>
      <c r="AD1313" s="17">
        <v>0</v>
      </c>
      <c r="AE1313" s="17"/>
      <c r="AF1313" s="17"/>
      <c r="AG1313" s="17">
        <v>1999</v>
      </c>
      <c r="AH1313" s="14">
        <f t="shared" si="89"/>
        <v>6</v>
      </c>
      <c r="AI1313" s="17">
        <f t="shared" si="90"/>
        <v>6</v>
      </c>
      <c r="AJ1313" s="17"/>
      <c r="AK1313" s="17" t="s">
        <v>56</v>
      </c>
      <c r="AL1313" s="16" t="s">
        <v>589</v>
      </c>
      <c r="AM1313" s="17">
        <v>2009</v>
      </c>
      <c r="AN1313" s="15" t="s">
        <v>590</v>
      </c>
      <c r="AO1313" s="15" t="s">
        <v>56</v>
      </c>
      <c r="AP1313" s="15"/>
      <c r="AQ1313" s="15" t="s">
        <v>56</v>
      </c>
      <c r="AR1313" s="15" t="s">
        <v>58</v>
      </c>
      <c r="AS1313" s="15" t="s">
        <v>62</v>
      </c>
      <c r="AT1313" s="12"/>
      <c r="AU1313" s="45"/>
      <c r="AV1313" s="15"/>
      <c r="AW1313" s="12" t="str">
        <f>B1313&amp;C1313&amp;L1313&amp;M1313&amp;O1313&amp;U1313&amp;AL1313&amp;AM1313</f>
        <v>PalauCemetery MPAScleractiniastony coralscover1.45751638677432Page2009</v>
      </c>
    </row>
    <row r="1314" spans="1:49" ht="14.25" customHeight="1" x14ac:dyDescent="0.35">
      <c r="A1314" s="12">
        <v>1313</v>
      </c>
      <c r="B1314" s="15" t="s">
        <v>586</v>
      </c>
      <c r="C1314" s="15" t="s">
        <v>1483</v>
      </c>
      <c r="D1314" s="43" t="s">
        <v>718</v>
      </c>
      <c r="E1314" s="12" t="s">
        <v>68</v>
      </c>
      <c r="F1314" s="13" t="s">
        <v>50</v>
      </c>
      <c r="G1314" s="13" t="s">
        <v>51</v>
      </c>
      <c r="H1314" s="16" t="s">
        <v>78</v>
      </c>
      <c r="I1314" s="16" t="s">
        <v>156</v>
      </c>
      <c r="J1314" s="17">
        <v>30</v>
      </c>
      <c r="K1314" s="17"/>
      <c r="L1314" s="17" t="s">
        <v>185</v>
      </c>
      <c r="M1314" s="17" t="s">
        <v>588</v>
      </c>
      <c r="N1314" s="17" t="s">
        <v>288</v>
      </c>
      <c r="O1314" s="17" t="s">
        <v>101</v>
      </c>
      <c r="P1314" s="17"/>
      <c r="Q1314" s="17"/>
      <c r="R1314" s="17"/>
      <c r="S1314" s="17">
        <v>48.196719999999999</v>
      </c>
      <c r="T1314" s="17">
        <v>39.016390000000001</v>
      </c>
      <c r="U1314" s="19">
        <f t="shared" si="88"/>
        <v>0.80952376012309557</v>
      </c>
      <c r="V1314" s="41">
        <f t="shared" si="91"/>
        <v>-19.047623987690443</v>
      </c>
      <c r="W1314" s="14"/>
      <c r="X1314" s="17" t="s">
        <v>56</v>
      </c>
      <c r="Y1314" s="12"/>
      <c r="Z1314" s="17" t="s">
        <v>56</v>
      </c>
      <c r="AA1314" s="17"/>
      <c r="AB1314" s="17" t="s">
        <v>57</v>
      </c>
      <c r="AC1314" s="17">
        <v>2005</v>
      </c>
      <c r="AD1314" s="17">
        <v>0</v>
      </c>
      <c r="AE1314" s="17"/>
      <c r="AF1314" s="17"/>
      <c r="AG1314" s="17">
        <v>1995</v>
      </c>
      <c r="AH1314" s="14">
        <f t="shared" si="89"/>
        <v>10</v>
      </c>
      <c r="AI1314" s="17">
        <f t="shared" si="90"/>
        <v>10</v>
      </c>
      <c r="AJ1314" s="17"/>
      <c r="AK1314" s="17" t="s">
        <v>56</v>
      </c>
      <c r="AL1314" s="16" t="s">
        <v>589</v>
      </c>
      <c r="AM1314" s="17">
        <v>2009</v>
      </c>
      <c r="AN1314" s="15" t="s">
        <v>590</v>
      </c>
      <c r="AO1314" s="15" t="s">
        <v>56</v>
      </c>
      <c r="AP1314" s="15"/>
      <c r="AQ1314" s="15" t="s">
        <v>56</v>
      </c>
      <c r="AR1314" s="15" t="s">
        <v>58</v>
      </c>
      <c r="AS1314" s="15" t="s">
        <v>62</v>
      </c>
      <c r="AT1314" s="12"/>
      <c r="AU1314" s="45"/>
      <c r="AV1314" s="15"/>
      <c r="AW1314" s="12" t="str">
        <f>B1314&amp;C1314&amp;L1314&amp;M1314&amp;O1314&amp;U1314&amp;AL1314&amp;AM1314</f>
        <v>PalauNgmelis MPAScleractiniastony coralscover0.809523760123096Page2009</v>
      </c>
    </row>
    <row r="1315" spans="1:49" ht="14.25" customHeight="1" x14ac:dyDescent="0.35">
      <c r="A1315" s="12">
        <v>1314</v>
      </c>
      <c r="B1315" s="15" t="s">
        <v>586</v>
      </c>
      <c r="C1315" s="15" t="s">
        <v>1480</v>
      </c>
      <c r="D1315" s="43" t="s">
        <v>718</v>
      </c>
      <c r="E1315" s="12" t="s">
        <v>68</v>
      </c>
      <c r="F1315" s="13" t="s">
        <v>50</v>
      </c>
      <c r="G1315" s="13" t="s">
        <v>51</v>
      </c>
      <c r="H1315" s="16" t="s">
        <v>78</v>
      </c>
      <c r="I1315" s="16" t="s">
        <v>156</v>
      </c>
      <c r="J1315" s="17">
        <v>1</v>
      </c>
      <c r="K1315" s="17"/>
      <c r="L1315" s="17" t="s">
        <v>591</v>
      </c>
      <c r="M1315" s="17"/>
      <c r="N1315" s="53" t="s">
        <v>2802</v>
      </c>
      <c r="O1315" s="17" t="s">
        <v>101</v>
      </c>
      <c r="P1315" s="17"/>
      <c r="Q1315" s="17"/>
      <c r="R1315" s="17"/>
      <c r="S1315" s="17">
        <v>20.571429999999999</v>
      </c>
      <c r="T1315" s="17">
        <v>29.142859999999999</v>
      </c>
      <c r="U1315" s="19">
        <f t="shared" si="88"/>
        <v>1.4166667071759231</v>
      </c>
      <c r="V1315" s="41">
        <f t="shared" si="91"/>
        <v>41.666670717592311</v>
      </c>
      <c r="W1315" s="14"/>
      <c r="X1315" s="17" t="s">
        <v>56</v>
      </c>
      <c r="Y1315" s="12"/>
      <c r="Z1315" s="17" t="s">
        <v>56</v>
      </c>
      <c r="AA1315" s="17"/>
      <c r="AB1315" s="17" t="s">
        <v>57</v>
      </c>
      <c r="AC1315" s="17">
        <v>2005</v>
      </c>
      <c r="AD1315" s="17">
        <v>0</v>
      </c>
      <c r="AE1315" s="17"/>
      <c r="AF1315" s="17"/>
      <c r="AG1315" s="17">
        <v>2002</v>
      </c>
      <c r="AH1315" s="14">
        <f t="shared" si="89"/>
        <v>3</v>
      </c>
      <c r="AI1315" s="17">
        <f t="shared" si="90"/>
        <v>3</v>
      </c>
      <c r="AJ1315" s="17"/>
      <c r="AK1315" s="17" t="s">
        <v>56</v>
      </c>
      <c r="AL1315" s="16" t="s">
        <v>589</v>
      </c>
      <c r="AM1315" s="17">
        <v>2009</v>
      </c>
      <c r="AN1315" s="15" t="s">
        <v>590</v>
      </c>
      <c r="AO1315" s="15" t="s">
        <v>56</v>
      </c>
      <c r="AP1315" s="15"/>
      <c r="AQ1315" s="15" t="s">
        <v>56</v>
      </c>
      <c r="AR1315" s="15" t="s">
        <v>58</v>
      </c>
      <c r="AS1315" s="15" t="s">
        <v>62</v>
      </c>
      <c r="AT1315" s="12"/>
      <c r="AU1315" s="45"/>
      <c r="AV1315" s="15"/>
      <c r="AW1315" s="12" t="str">
        <f>B1315&amp;C1315&amp;L1315&amp;M1315&amp;O1315&amp;U1315&amp;AL1315&amp;AM1315</f>
        <v>PalauNgelukes MPAAcroporidae and Portidaecover1.41666670717592Page2009</v>
      </c>
    </row>
    <row r="1316" spans="1:49" ht="14.25" customHeight="1" x14ac:dyDescent="0.35">
      <c r="A1316" s="12">
        <v>1315</v>
      </c>
      <c r="B1316" s="15" t="s">
        <v>586</v>
      </c>
      <c r="C1316" s="15" t="s">
        <v>587</v>
      </c>
      <c r="D1316" s="15" t="s">
        <v>587</v>
      </c>
      <c r="E1316" s="12" t="s">
        <v>68</v>
      </c>
      <c r="F1316" s="13" t="s">
        <v>50</v>
      </c>
      <c r="G1316" s="13" t="s">
        <v>51</v>
      </c>
      <c r="H1316" s="16" t="s">
        <v>78</v>
      </c>
      <c r="I1316" s="16" t="s">
        <v>156</v>
      </c>
      <c r="J1316" s="17">
        <v>8.0000000000000002E-3</v>
      </c>
      <c r="K1316" s="17"/>
      <c r="L1316" s="17" t="s">
        <v>591</v>
      </c>
      <c r="M1316" s="17"/>
      <c r="N1316" s="53" t="s">
        <v>2802</v>
      </c>
      <c r="O1316" s="17" t="s">
        <v>101</v>
      </c>
      <c r="P1316" s="17"/>
      <c r="Q1316" s="17"/>
      <c r="R1316" s="17"/>
      <c r="S1316" s="17">
        <v>44.857140000000001</v>
      </c>
      <c r="T1316" s="17">
        <v>73.142859999999999</v>
      </c>
      <c r="U1316" s="19">
        <f t="shared" si="88"/>
        <v>1.6305734159600902</v>
      </c>
      <c r="V1316" s="41">
        <f t="shared" si="91"/>
        <v>63.057341596009017</v>
      </c>
      <c r="W1316" s="14"/>
      <c r="X1316" s="17" t="s">
        <v>56</v>
      </c>
      <c r="Z1316" s="17" t="s">
        <v>56</v>
      </c>
      <c r="AA1316" s="17"/>
      <c r="AB1316" s="17" t="s">
        <v>57</v>
      </c>
      <c r="AC1316" s="17">
        <v>2005</v>
      </c>
      <c r="AD1316" s="17">
        <v>0</v>
      </c>
      <c r="AE1316" s="17"/>
      <c r="AF1316" s="17"/>
      <c r="AG1316" s="17">
        <v>1999</v>
      </c>
      <c r="AH1316" s="14">
        <f t="shared" si="89"/>
        <v>6</v>
      </c>
      <c r="AI1316" s="17">
        <f t="shared" si="90"/>
        <v>6</v>
      </c>
      <c r="AJ1316" s="17"/>
      <c r="AK1316" s="17" t="s">
        <v>56</v>
      </c>
      <c r="AL1316" s="16" t="s">
        <v>589</v>
      </c>
      <c r="AM1316" s="17">
        <v>2009</v>
      </c>
      <c r="AN1316" s="15" t="s">
        <v>590</v>
      </c>
      <c r="AO1316" s="15" t="s">
        <v>56</v>
      </c>
      <c r="AP1316" s="15"/>
      <c r="AQ1316" s="15" t="s">
        <v>56</v>
      </c>
      <c r="AR1316" s="15" t="s">
        <v>58</v>
      </c>
      <c r="AS1316" s="15" t="s">
        <v>62</v>
      </c>
      <c r="AT1316" s="12"/>
      <c r="AU1316" s="45"/>
      <c r="AV1316" s="15"/>
      <c r="AW1316" s="12" t="str">
        <f>B1316&amp;C1316&amp;L1316&amp;M1316&amp;O1316&amp;U1316&amp;AL1316&amp;AM1316</f>
        <v>PalauCemetery MPAAcroporidae and Portidaecover1.63057341596009Page2009</v>
      </c>
    </row>
    <row r="1317" spans="1:49" ht="14.25" customHeight="1" x14ac:dyDescent="0.35">
      <c r="A1317" s="12">
        <v>1316</v>
      </c>
      <c r="B1317" s="15" t="s">
        <v>586</v>
      </c>
      <c r="C1317" s="15" t="s">
        <v>1483</v>
      </c>
      <c r="D1317" s="43" t="s">
        <v>718</v>
      </c>
      <c r="E1317" s="12" t="s">
        <v>68</v>
      </c>
      <c r="F1317" s="13" t="s">
        <v>50</v>
      </c>
      <c r="G1317" s="13" t="s">
        <v>51</v>
      </c>
      <c r="H1317" s="16" t="s">
        <v>78</v>
      </c>
      <c r="I1317" s="16" t="s">
        <v>156</v>
      </c>
      <c r="J1317" s="17">
        <v>30</v>
      </c>
      <c r="K1317" s="17"/>
      <c r="L1317" s="17" t="s">
        <v>591</v>
      </c>
      <c r="M1317" s="17"/>
      <c r="N1317" s="53" t="s">
        <v>2802</v>
      </c>
      <c r="O1317" s="17" t="s">
        <v>101</v>
      </c>
      <c r="P1317" s="17"/>
      <c r="Q1317" s="17"/>
      <c r="R1317" s="17"/>
      <c r="S1317" s="17">
        <v>29.428570000000001</v>
      </c>
      <c r="T1317" s="17">
        <v>23.428570000000001</v>
      </c>
      <c r="U1317" s="19">
        <f t="shared" si="88"/>
        <v>0.79611649495711145</v>
      </c>
      <c r="V1317" s="41">
        <f t="shared" si="91"/>
        <v>-20.388350504288855</v>
      </c>
      <c r="W1317" s="14"/>
      <c r="X1317" s="17" t="s">
        <v>56</v>
      </c>
      <c r="Y1317" s="12"/>
      <c r="Z1317" s="17" t="s">
        <v>56</v>
      </c>
      <c r="AA1317" s="17"/>
      <c r="AB1317" s="17" t="s">
        <v>57</v>
      </c>
      <c r="AC1317" s="17">
        <v>2005</v>
      </c>
      <c r="AD1317" s="17">
        <v>0</v>
      </c>
      <c r="AE1317" s="17"/>
      <c r="AF1317" s="17"/>
      <c r="AG1317" s="17">
        <v>1995</v>
      </c>
      <c r="AH1317" s="14">
        <f t="shared" si="89"/>
        <v>10</v>
      </c>
      <c r="AI1317" s="17">
        <f t="shared" si="90"/>
        <v>10</v>
      </c>
      <c r="AJ1317" s="17"/>
      <c r="AK1317" s="17" t="s">
        <v>56</v>
      </c>
      <c r="AL1317" s="16" t="s">
        <v>589</v>
      </c>
      <c r="AM1317" s="17">
        <v>2009</v>
      </c>
      <c r="AN1317" s="15" t="s">
        <v>590</v>
      </c>
      <c r="AO1317" s="15" t="s">
        <v>56</v>
      </c>
      <c r="AP1317" s="15"/>
      <c r="AQ1317" s="15" t="s">
        <v>56</v>
      </c>
      <c r="AR1317" s="15" t="s">
        <v>58</v>
      </c>
      <c r="AS1317" s="15" t="s">
        <v>62</v>
      </c>
      <c r="AT1317" s="12"/>
      <c r="AU1317" s="45"/>
      <c r="AV1317" s="15"/>
      <c r="AW1317" s="12" t="str">
        <f>B1317&amp;C1317&amp;L1317&amp;M1317&amp;O1317&amp;U1317&amp;AL1317&amp;AM1317</f>
        <v>PalauNgmelis MPAAcroporidae and Portidaecover0.796116494957111Page2009</v>
      </c>
    </row>
    <row r="1318" spans="1:49" ht="14.25" customHeight="1" x14ac:dyDescent="0.35">
      <c r="A1318" s="12">
        <v>1317</v>
      </c>
      <c r="B1318" s="15" t="s">
        <v>586</v>
      </c>
      <c r="C1318" s="15" t="s">
        <v>1480</v>
      </c>
      <c r="D1318" s="43" t="s">
        <v>718</v>
      </c>
      <c r="E1318" s="12" t="s">
        <v>68</v>
      </c>
      <c r="F1318" s="13" t="s">
        <v>50</v>
      </c>
      <c r="G1318" s="13" t="s">
        <v>51</v>
      </c>
      <c r="H1318" s="16" t="s">
        <v>78</v>
      </c>
      <c r="I1318" s="16" t="s">
        <v>156</v>
      </c>
      <c r="J1318" s="17">
        <v>1</v>
      </c>
      <c r="K1318" s="17"/>
      <c r="L1318" s="17" t="s">
        <v>185</v>
      </c>
      <c r="M1318" s="17" t="s">
        <v>588</v>
      </c>
      <c r="N1318" s="17" t="s">
        <v>288</v>
      </c>
      <c r="O1318" s="17" t="s">
        <v>55</v>
      </c>
      <c r="P1318" s="17"/>
      <c r="Q1318" s="17"/>
      <c r="R1318" s="17"/>
      <c r="S1318" s="17">
        <v>8.2564100000000007</v>
      </c>
      <c r="T1318" s="17">
        <v>5.3333329999999997</v>
      </c>
      <c r="U1318" s="19">
        <f t="shared" si="88"/>
        <v>0.64596271260753757</v>
      </c>
      <c r="V1318" s="41">
        <f t="shared" si="91"/>
        <v>-35.40372873924624</v>
      </c>
      <c r="W1318" s="14"/>
      <c r="X1318" s="17" t="s">
        <v>56</v>
      </c>
      <c r="Y1318" s="12"/>
      <c r="Z1318" s="17" t="s">
        <v>56</v>
      </c>
      <c r="AA1318" s="17"/>
      <c r="AB1318" s="17" t="s">
        <v>57</v>
      </c>
      <c r="AC1318" s="17">
        <v>2005</v>
      </c>
      <c r="AD1318" s="17">
        <v>0</v>
      </c>
      <c r="AE1318" s="17"/>
      <c r="AF1318" s="17"/>
      <c r="AG1318" s="17">
        <v>2002</v>
      </c>
      <c r="AH1318" s="14">
        <f t="shared" si="89"/>
        <v>3</v>
      </c>
      <c r="AI1318" s="17">
        <f t="shared" si="90"/>
        <v>3</v>
      </c>
      <c r="AJ1318" s="17"/>
      <c r="AK1318" s="17" t="s">
        <v>56</v>
      </c>
      <c r="AL1318" s="16" t="s">
        <v>589</v>
      </c>
      <c r="AM1318" s="17">
        <v>2009</v>
      </c>
      <c r="AN1318" s="15" t="s">
        <v>590</v>
      </c>
      <c r="AO1318" s="15" t="s">
        <v>56</v>
      </c>
      <c r="AP1318" s="15"/>
      <c r="AQ1318" s="15" t="s">
        <v>56</v>
      </c>
      <c r="AR1318" s="15" t="s">
        <v>58</v>
      </c>
      <c r="AS1318" s="15" t="s">
        <v>62</v>
      </c>
      <c r="AT1318" s="12"/>
      <c r="AU1318" s="45"/>
      <c r="AV1318" s="15"/>
      <c r="AW1318" s="12" t="str">
        <f>B1318&amp;C1318&amp;L1318&amp;M1318&amp;O1318&amp;U1318&amp;AL1318&amp;AM1318</f>
        <v>PalauNgelukes MPAScleractiniastony coralsrichness0.645962712607538Page2009</v>
      </c>
    </row>
    <row r="1319" spans="1:49" ht="14.25" customHeight="1" x14ac:dyDescent="0.35">
      <c r="A1319" s="12">
        <v>1318</v>
      </c>
      <c r="B1319" s="15" t="s">
        <v>586</v>
      </c>
      <c r="C1319" s="15" t="s">
        <v>587</v>
      </c>
      <c r="D1319" s="15" t="s">
        <v>587</v>
      </c>
      <c r="E1319" s="12" t="s">
        <v>68</v>
      </c>
      <c r="F1319" s="13" t="s">
        <v>50</v>
      </c>
      <c r="G1319" s="13" t="s">
        <v>51</v>
      </c>
      <c r="H1319" s="16" t="s">
        <v>78</v>
      </c>
      <c r="I1319" s="16" t="s">
        <v>156</v>
      </c>
      <c r="J1319" s="17">
        <v>8.0000000000000002E-3</v>
      </c>
      <c r="K1319" s="17"/>
      <c r="L1319" s="17" t="s">
        <v>185</v>
      </c>
      <c r="M1319" s="17" t="s">
        <v>588</v>
      </c>
      <c r="N1319" s="17" t="s">
        <v>288</v>
      </c>
      <c r="O1319" s="17" t="s">
        <v>55</v>
      </c>
      <c r="P1319" s="17"/>
      <c r="Q1319" s="17"/>
      <c r="R1319" s="17"/>
      <c r="S1319" s="17">
        <v>8.7692309999999996</v>
      </c>
      <c r="T1319" s="17">
        <v>7.2820510000000001</v>
      </c>
      <c r="U1319" s="19">
        <f t="shared" si="88"/>
        <v>0.8304093027085272</v>
      </c>
      <c r="V1319" s="41">
        <f t="shared" si="91"/>
        <v>-16.959069729147281</v>
      </c>
      <c r="W1319" s="14"/>
      <c r="X1319" s="17" t="s">
        <v>56</v>
      </c>
      <c r="Z1319" s="17" t="s">
        <v>56</v>
      </c>
      <c r="AA1319" s="17"/>
      <c r="AB1319" s="17" t="s">
        <v>57</v>
      </c>
      <c r="AC1319" s="17">
        <v>2005</v>
      </c>
      <c r="AD1319" s="17">
        <v>0</v>
      </c>
      <c r="AE1319" s="17"/>
      <c r="AF1319" s="17"/>
      <c r="AG1319" s="17">
        <v>1999</v>
      </c>
      <c r="AH1319" s="14">
        <f t="shared" si="89"/>
        <v>6</v>
      </c>
      <c r="AI1319" s="17">
        <f t="shared" si="90"/>
        <v>6</v>
      </c>
      <c r="AJ1319" s="17"/>
      <c r="AK1319" s="17" t="s">
        <v>56</v>
      </c>
      <c r="AL1319" s="16" t="s">
        <v>589</v>
      </c>
      <c r="AM1319" s="17">
        <v>2009</v>
      </c>
      <c r="AN1319" s="15" t="s">
        <v>590</v>
      </c>
      <c r="AO1319" s="15" t="s">
        <v>56</v>
      </c>
      <c r="AP1319" s="15"/>
      <c r="AQ1319" s="15" t="s">
        <v>56</v>
      </c>
      <c r="AR1319" s="15" t="s">
        <v>58</v>
      </c>
      <c r="AS1319" s="15" t="s">
        <v>62</v>
      </c>
      <c r="AT1319" s="12"/>
      <c r="AU1319" s="45"/>
      <c r="AV1319" s="15"/>
      <c r="AW1319" s="12" t="str">
        <f>B1319&amp;C1319&amp;L1319&amp;M1319&amp;O1319&amp;U1319&amp;AL1319&amp;AM1319</f>
        <v>PalauCemetery MPAScleractiniastony coralsrichness0.830409302708527Page2009</v>
      </c>
    </row>
    <row r="1320" spans="1:49" ht="14.25" customHeight="1" x14ac:dyDescent="0.35">
      <c r="A1320" s="12">
        <v>1319</v>
      </c>
      <c r="B1320" s="15" t="s">
        <v>586</v>
      </c>
      <c r="C1320" s="15" t="s">
        <v>1483</v>
      </c>
      <c r="D1320" s="43" t="s">
        <v>718</v>
      </c>
      <c r="E1320" s="12" t="s">
        <v>68</v>
      </c>
      <c r="F1320" s="13" t="s">
        <v>50</v>
      </c>
      <c r="G1320" s="13" t="s">
        <v>51</v>
      </c>
      <c r="H1320" s="16" t="s">
        <v>78</v>
      </c>
      <c r="I1320" s="16" t="s">
        <v>156</v>
      </c>
      <c r="J1320" s="17">
        <v>30</v>
      </c>
      <c r="K1320" s="17"/>
      <c r="L1320" s="17" t="s">
        <v>185</v>
      </c>
      <c r="M1320" s="17" t="s">
        <v>588</v>
      </c>
      <c r="N1320" s="17" t="s">
        <v>288</v>
      </c>
      <c r="O1320" s="17" t="s">
        <v>55</v>
      </c>
      <c r="P1320" s="17"/>
      <c r="Q1320" s="17"/>
      <c r="R1320" s="17"/>
      <c r="S1320" s="17">
        <v>11.28205</v>
      </c>
      <c r="T1320" s="17">
        <v>10.66667</v>
      </c>
      <c r="U1320" s="19">
        <f t="shared" si="88"/>
        <v>0.94545494834715327</v>
      </c>
      <c r="V1320" s="41">
        <f t="shared" si="91"/>
        <v>-5.4545051652846732</v>
      </c>
      <c r="W1320" s="14"/>
      <c r="X1320" s="17" t="s">
        <v>56</v>
      </c>
      <c r="Y1320" s="12"/>
      <c r="Z1320" s="17" t="s">
        <v>56</v>
      </c>
      <c r="AA1320" s="17"/>
      <c r="AB1320" s="17" t="s">
        <v>57</v>
      </c>
      <c r="AC1320" s="17">
        <v>2005</v>
      </c>
      <c r="AD1320" s="17">
        <v>0</v>
      </c>
      <c r="AE1320" s="17"/>
      <c r="AF1320" s="17"/>
      <c r="AG1320" s="17">
        <v>1995</v>
      </c>
      <c r="AH1320" s="14">
        <f t="shared" si="89"/>
        <v>10</v>
      </c>
      <c r="AI1320" s="17">
        <f t="shared" si="90"/>
        <v>10</v>
      </c>
      <c r="AJ1320" s="17"/>
      <c r="AK1320" s="17" t="s">
        <v>56</v>
      </c>
      <c r="AL1320" s="16" t="s">
        <v>589</v>
      </c>
      <c r="AM1320" s="17">
        <v>2009</v>
      </c>
      <c r="AN1320" s="15" t="s">
        <v>590</v>
      </c>
      <c r="AO1320" s="15" t="s">
        <v>56</v>
      </c>
      <c r="AP1320" s="15"/>
      <c r="AQ1320" s="15" t="s">
        <v>56</v>
      </c>
      <c r="AR1320" s="15" t="s">
        <v>58</v>
      </c>
      <c r="AS1320" s="15" t="s">
        <v>62</v>
      </c>
      <c r="AT1320" s="12"/>
      <c r="AU1320" s="45"/>
      <c r="AV1320" s="15"/>
      <c r="AW1320" s="12" t="str">
        <f>B1320&amp;C1320&amp;L1320&amp;M1320&amp;O1320&amp;U1320&amp;AL1320&amp;AM1320</f>
        <v>PalauNgmelis MPAScleractiniastony coralsrichness0.945454948347153Page2009</v>
      </c>
    </row>
    <row r="1321" spans="1:49" ht="14.25" customHeight="1" x14ac:dyDescent="0.35">
      <c r="A1321" s="12">
        <v>1320</v>
      </c>
      <c r="B1321" s="15" t="s">
        <v>586</v>
      </c>
      <c r="C1321" s="15" t="s">
        <v>1480</v>
      </c>
      <c r="D1321" s="43" t="s">
        <v>718</v>
      </c>
      <c r="E1321" s="12" t="s">
        <v>68</v>
      </c>
      <c r="F1321" s="13" t="s">
        <v>50</v>
      </c>
      <c r="G1321" s="13" t="s">
        <v>51</v>
      </c>
      <c r="H1321" s="16" t="s">
        <v>78</v>
      </c>
      <c r="I1321" s="16" t="s">
        <v>156</v>
      </c>
      <c r="J1321" s="17">
        <v>1</v>
      </c>
      <c r="K1321" s="17"/>
      <c r="L1321" s="17"/>
      <c r="M1321" s="17" t="s">
        <v>69</v>
      </c>
      <c r="N1321" s="17" t="s">
        <v>1070</v>
      </c>
      <c r="O1321" s="17" t="s">
        <v>55</v>
      </c>
      <c r="P1321" s="17"/>
      <c r="Q1321" s="17"/>
      <c r="R1321" s="17"/>
      <c r="S1321" s="17">
        <v>2.9736842110000001</v>
      </c>
      <c r="T1321" s="17">
        <v>4.736842105</v>
      </c>
      <c r="U1321" s="19">
        <f t="shared" si="88"/>
        <v>1.5929203536400658</v>
      </c>
      <c r="V1321" s="41">
        <f t="shared" si="91"/>
        <v>59.29203536400658</v>
      </c>
      <c r="W1321" s="14"/>
      <c r="X1321" s="17" t="s">
        <v>56</v>
      </c>
      <c r="Z1321" s="17" t="s">
        <v>56</v>
      </c>
      <c r="AA1321" s="17"/>
      <c r="AB1321" s="17" t="s">
        <v>57</v>
      </c>
      <c r="AC1321" s="17">
        <v>2005</v>
      </c>
      <c r="AD1321" s="17">
        <v>0</v>
      </c>
      <c r="AE1321" s="17"/>
      <c r="AF1321" s="17"/>
      <c r="AG1321" s="17">
        <v>2002</v>
      </c>
      <c r="AH1321" s="14">
        <f t="shared" si="89"/>
        <v>3</v>
      </c>
      <c r="AI1321" s="17">
        <f t="shared" si="90"/>
        <v>3</v>
      </c>
      <c r="AJ1321" s="17"/>
      <c r="AK1321" s="17" t="s">
        <v>56</v>
      </c>
      <c r="AL1321" s="16" t="s">
        <v>589</v>
      </c>
      <c r="AM1321" s="17">
        <v>2009</v>
      </c>
      <c r="AN1321" s="15" t="s">
        <v>590</v>
      </c>
      <c r="AO1321" s="15" t="s">
        <v>56</v>
      </c>
      <c r="AP1321" s="15"/>
      <c r="AQ1321" s="15" t="s">
        <v>56</v>
      </c>
      <c r="AR1321" s="15" t="s">
        <v>58</v>
      </c>
      <c r="AS1321" s="15" t="s">
        <v>62</v>
      </c>
      <c r="AT1321" s="12"/>
      <c r="AU1321" s="45"/>
      <c r="AV1321" s="15"/>
      <c r="AW1321" s="12" t="str">
        <f>B1321&amp;C1321&amp;L1321&amp;M1321&amp;O1321&amp;U1321&amp;AL1321&amp;AM1321</f>
        <v>PalauNgelukes MPAfishrichness1.59292035364007Page2009</v>
      </c>
    </row>
    <row r="1322" spans="1:49" ht="14.25" customHeight="1" x14ac:dyDescent="0.35">
      <c r="A1322" s="12">
        <v>1321</v>
      </c>
      <c r="B1322" s="15" t="s">
        <v>586</v>
      </c>
      <c r="C1322" s="15" t="s">
        <v>587</v>
      </c>
      <c r="D1322" s="15" t="s">
        <v>587</v>
      </c>
      <c r="E1322" s="12" t="s">
        <v>68</v>
      </c>
      <c r="F1322" s="13" t="s">
        <v>50</v>
      </c>
      <c r="G1322" s="13" t="s">
        <v>51</v>
      </c>
      <c r="H1322" s="16" t="s">
        <v>78</v>
      </c>
      <c r="I1322" s="16" t="s">
        <v>156</v>
      </c>
      <c r="J1322" s="17">
        <v>8.0000000000000002E-3</v>
      </c>
      <c r="K1322" s="17"/>
      <c r="L1322" s="17"/>
      <c r="M1322" s="17" t="s">
        <v>69</v>
      </c>
      <c r="N1322" s="17" t="s">
        <v>1070</v>
      </c>
      <c r="O1322" s="17" t="s">
        <v>55</v>
      </c>
      <c r="P1322" s="17"/>
      <c r="Q1322" s="17"/>
      <c r="R1322" s="17"/>
      <c r="S1322" s="17">
        <v>2</v>
      </c>
      <c r="T1322" s="17">
        <v>4.3684210529999996</v>
      </c>
      <c r="U1322" s="19">
        <f t="shared" si="88"/>
        <v>2.1842105264999998</v>
      </c>
      <c r="V1322" s="41">
        <f t="shared" si="91"/>
        <v>118.42105264999998</v>
      </c>
      <c r="W1322" s="14"/>
      <c r="X1322" s="17" t="s">
        <v>56</v>
      </c>
      <c r="Z1322" s="17" t="s">
        <v>56</v>
      </c>
      <c r="AA1322" s="17"/>
      <c r="AB1322" s="17" t="s">
        <v>57</v>
      </c>
      <c r="AC1322" s="17">
        <v>2005</v>
      </c>
      <c r="AD1322" s="17">
        <v>0</v>
      </c>
      <c r="AE1322" s="17"/>
      <c r="AF1322" s="17"/>
      <c r="AG1322" s="17">
        <v>1999</v>
      </c>
      <c r="AH1322" s="14">
        <f t="shared" si="89"/>
        <v>6</v>
      </c>
      <c r="AI1322" s="17">
        <f t="shared" si="90"/>
        <v>6</v>
      </c>
      <c r="AJ1322" s="17"/>
      <c r="AK1322" s="17" t="s">
        <v>56</v>
      </c>
      <c r="AL1322" s="16" t="s">
        <v>589</v>
      </c>
      <c r="AM1322" s="17">
        <v>2009</v>
      </c>
      <c r="AN1322" s="15" t="s">
        <v>590</v>
      </c>
      <c r="AO1322" s="15" t="s">
        <v>56</v>
      </c>
      <c r="AP1322" s="15"/>
      <c r="AQ1322" s="15" t="s">
        <v>56</v>
      </c>
      <c r="AR1322" s="15" t="s">
        <v>58</v>
      </c>
      <c r="AS1322" s="15" t="s">
        <v>62</v>
      </c>
      <c r="AT1322" s="12"/>
      <c r="AU1322" s="45"/>
      <c r="AV1322" s="15"/>
      <c r="AW1322" s="12" t="str">
        <f>B1322&amp;C1322&amp;L1322&amp;M1322&amp;O1322&amp;U1322&amp;AL1322&amp;AM1322</f>
        <v>PalauCemetery MPAfishrichness2.1842105265Page2009</v>
      </c>
    </row>
    <row r="1323" spans="1:49" ht="14.25" customHeight="1" x14ac:dyDescent="0.35">
      <c r="A1323" s="12">
        <v>1322</v>
      </c>
      <c r="B1323" s="15" t="s">
        <v>586</v>
      </c>
      <c r="C1323" s="15" t="s">
        <v>1483</v>
      </c>
      <c r="D1323" s="43" t="s">
        <v>718</v>
      </c>
      <c r="E1323" s="12" t="s">
        <v>68</v>
      </c>
      <c r="F1323" s="13" t="s">
        <v>50</v>
      </c>
      <c r="G1323" s="13" t="s">
        <v>51</v>
      </c>
      <c r="H1323" s="16" t="s">
        <v>78</v>
      </c>
      <c r="I1323" s="16" t="s">
        <v>156</v>
      </c>
      <c r="J1323" s="17">
        <v>30</v>
      </c>
      <c r="K1323" s="17"/>
      <c r="L1323" s="17"/>
      <c r="M1323" s="17" t="s">
        <v>69</v>
      </c>
      <c r="N1323" s="17" t="s">
        <v>1070</v>
      </c>
      <c r="O1323" s="17" t="s">
        <v>55</v>
      </c>
      <c r="P1323" s="17"/>
      <c r="Q1323" s="17"/>
      <c r="R1323" s="17"/>
      <c r="S1323" s="17">
        <v>4.9473684210000002</v>
      </c>
      <c r="T1323" s="17">
        <v>3.763157895</v>
      </c>
      <c r="U1323" s="19">
        <f t="shared" si="88"/>
        <v>0.76063829793362381</v>
      </c>
      <c r="V1323" s="41">
        <f t="shared" si="91"/>
        <v>-23.93617020663762</v>
      </c>
      <c r="W1323" s="14"/>
      <c r="X1323" s="17" t="s">
        <v>56</v>
      </c>
      <c r="Y1323" s="12"/>
      <c r="Z1323" s="17" t="s">
        <v>56</v>
      </c>
      <c r="AA1323" s="17"/>
      <c r="AB1323" s="17" t="s">
        <v>57</v>
      </c>
      <c r="AC1323" s="17">
        <v>2005</v>
      </c>
      <c r="AD1323" s="17">
        <v>0</v>
      </c>
      <c r="AE1323" s="17"/>
      <c r="AF1323" s="17"/>
      <c r="AG1323" s="17">
        <v>1995</v>
      </c>
      <c r="AH1323" s="14">
        <f t="shared" si="89"/>
        <v>10</v>
      </c>
      <c r="AI1323" s="17">
        <f t="shared" si="90"/>
        <v>10</v>
      </c>
      <c r="AJ1323" s="17"/>
      <c r="AK1323" s="17" t="s">
        <v>56</v>
      </c>
      <c r="AL1323" s="16" t="s">
        <v>589</v>
      </c>
      <c r="AM1323" s="17">
        <v>2009</v>
      </c>
      <c r="AN1323" s="15" t="s">
        <v>590</v>
      </c>
      <c r="AO1323" s="15" t="s">
        <v>56</v>
      </c>
      <c r="AP1323" s="15"/>
      <c r="AQ1323" s="15" t="s">
        <v>56</v>
      </c>
      <c r="AR1323" s="15" t="s">
        <v>58</v>
      </c>
      <c r="AS1323" s="15" t="s">
        <v>62</v>
      </c>
      <c r="AT1323" s="12"/>
      <c r="AU1323" s="45"/>
      <c r="AV1323" s="15"/>
      <c r="AW1323" s="12" t="str">
        <f>B1323&amp;C1323&amp;L1323&amp;M1323&amp;O1323&amp;U1323&amp;AL1323&amp;AM1323</f>
        <v>PalauNgmelis MPAfishrichness0.760638297933624Page2009</v>
      </c>
    </row>
    <row r="1324" spans="1:49" ht="14.25" customHeight="1" x14ac:dyDescent="0.35">
      <c r="A1324" s="12">
        <v>1323</v>
      </c>
      <c r="B1324" s="12" t="s">
        <v>586</v>
      </c>
      <c r="C1324" s="12" t="s">
        <v>1480</v>
      </c>
      <c r="D1324" s="43" t="s">
        <v>718</v>
      </c>
      <c r="E1324" s="12" t="s">
        <v>68</v>
      </c>
      <c r="F1324" s="13" t="s">
        <v>50</v>
      </c>
      <c r="G1324" s="13" t="s">
        <v>51</v>
      </c>
      <c r="H1324" s="13" t="s">
        <v>78</v>
      </c>
      <c r="I1324" s="13" t="s">
        <v>156</v>
      </c>
      <c r="J1324" s="17">
        <v>1</v>
      </c>
      <c r="K1324" s="14"/>
      <c r="L1324" s="14"/>
      <c r="M1324" s="14" t="s">
        <v>69</v>
      </c>
      <c r="N1324" s="17" t="s">
        <v>1070</v>
      </c>
      <c r="O1324" s="17" t="s">
        <v>104</v>
      </c>
      <c r="P1324" s="14" t="s">
        <v>568</v>
      </c>
      <c r="Q1324" s="14"/>
      <c r="R1324" s="14"/>
      <c r="S1324" s="14">
        <v>16.764705880000001</v>
      </c>
      <c r="T1324" s="14">
        <v>24.70588235</v>
      </c>
      <c r="U1324" s="19">
        <f t="shared" si="88"/>
        <v>1.4736842105577099</v>
      </c>
      <c r="V1324" s="41">
        <f t="shared" si="91"/>
        <v>47.368421055770995</v>
      </c>
      <c r="W1324" s="14"/>
      <c r="X1324" s="14" t="s">
        <v>56</v>
      </c>
      <c r="Z1324" s="14" t="s">
        <v>56</v>
      </c>
      <c r="AA1324" s="14"/>
      <c r="AB1324" s="14" t="s">
        <v>57</v>
      </c>
      <c r="AC1324" s="14">
        <v>2005</v>
      </c>
      <c r="AD1324" s="14">
        <v>0</v>
      </c>
      <c r="AE1324" s="14"/>
      <c r="AF1324" s="14"/>
      <c r="AG1324" s="14">
        <v>2002</v>
      </c>
      <c r="AH1324" s="14">
        <f t="shared" si="89"/>
        <v>3</v>
      </c>
      <c r="AI1324" s="17">
        <f t="shared" si="90"/>
        <v>3</v>
      </c>
      <c r="AJ1324" s="14"/>
      <c r="AK1324" s="14" t="s">
        <v>56</v>
      </c>
      <c r="AL1324" s="13" t="s">
        <v>589</v>
      </c>
      <c r="AM1324" s="14">
        <v>2009</v>
      </c>
      <c r="AN1324" s="12" t="s">
        <v>590</v>
      </c>
      <c r="AO1324" s="12" t="s">
        <v>56</v>
      </c>
      <c r="AP1324" s="12"/>
      <c r="AQ1324" s="12" t="s">
        <v>56</v>
      </c>
      <c r="AR1324" s="12" t="s">
        <v>58</v>
      </c>
      <c r="AS1324" s="12" t="s">
        <v>62</v>
      </c>
      <c r="AT1324" s="12"/>
      <c r="AU1324" s="45"/>
      <c r="AV1324" s="15"/>
      <c r="AW1324" s="12" t="str">
        <f>B1324&amp;C1324&amp;L1324&amp;M1324&amp;O1324&amp;U1324&amp;AL1324&amp;AM1324</f>
        <v>PalauNgelukes MPAfishsize1.47368421055771Page2009</v>
      </c>
    </row>
    <row r="1325" spans="1:49" ht="14.25" customHeight="1" x14ac:dyDescent="0.35">
      <c r="A1325" s="12">
        <v>1324</v>
      </c>
      <c r="B1325" s="12" t="s">
        <v>586</v>
      </c>
      <c r="C1325" s="12" t="s">
        <v>587</v>
      </c>
      <c r="D1325" s="15" t="s">
        <v>587</v>
      </c>
      <c r="E1325" s="12" t="s">
        <v>68</v>
      </c>
      <c r="F1325" s="13" t="s">
        <v>50</v>
      </c>
      <c r="G1325" s="13" t="s">
        <v>51</v>
      </c>
      <c r="H1325" s="13" t="s">
        <v>78</v>
      </c>
      <c r="I1325" s="13" t="s">
        <v>156</v>
      </c>
      <c r="J1325" s="17">
        <v>8.0000000000000002E-3</v>
      </c>
      <c r="K1325" s="17"/>
      <c r="L1325" s="14"/>
      <c r="M1325" s="14" t="s">
        <v>69</v>
      </c>
      <c r="N1325" s="17" t="s">
        <v>1070</v>
      </c>
      <c r="O1325" s="17" t="s">
        <v>104</v>
      </c>
      <c r="P1325" s="14" t="s">
        <v>568</v>
      </c>
      <c r="Q1325" s="14"/>
      <c r="R1325" s="14"/>
      <c r="S1325" s="14">
        <v>13.823529410000001</v>
      </c>
      <c r="T1325" s="14">
        <v>28.235294119999999</v>
      </c>
      <c r="U1325" s="19">
        <f t="shared" si="88"/>
        <v>2.0425531919203257</v>
      </c>
      <c r="V1325" s="41">
        <f t="shared" si="91"/>
        <v>104.25531919203257</v>
      </c>
      <c r="W1325" s="14"/>
      <c r="X1325" s="14" t="s">
        <v>56</v>
      </c>
      <c r="Z1325" s="14" t="s">
        <v>56</v>
      </c>
      <c r="AA1325" s="14"/>
      <c r="AB1325" s="14" t="s">
        <v>57</v>
      </c>
      <c r="AC1325" s="14">
        <v>2005</v>
      </c>
      <c r="AD1325" s="14">
        <v>0</v>
      </c>
      <c r="AE1325" s="14"/>
      <c r="AF1325" s="14"/>
      <c r="AG1325" s="14">
        <v>1999</v>
      </c>
      <c r="AH1325" s="14">
        <f t="shared" si="89"/>
        <v>6</v>
      </c>
      <c r="AI1325" s="17">
        <f t="shared" si="90"/>
        <v>6</v>
      </c>
      <c r="AJ1325" s="14"/>
      <c r="AK1325" s="14" t="s">
        <v>56</v>
      </c>
      <c r="AL1325" s="13" t="s">
        <v>589</v>
      </c>
      <c r="AM1325" s="14">
        <v>2009</v>
      </c>
      <c r="AN1325" s="12" t="s">
        <v>590</v>
      </c>
      <c r="AO1325" s="12" t="s">
        <v>56</v>
      </c>
      <c r="AP1325" s="12"/>
      <c r="AQ1325" s="12" t="s">
        <v>56</v>
      </c>
      <c r="AR1325" s="12" t="s">
        <v>58</v>
      </c>
      <c r="AS1325" s="12" t="s">
        <v>62</v>
      </c>
      <c r="AT1325" s="12"/>
      <c r="AU1325" s="45"/>
      <c r="AV1325" s="15"/>
      <c r="AW1325" s="12" t="str">
        <f>B1325&amp;C1325&amp;L1325&amp;M1325&amp;O1325&amp;U1325&amp;AL1325&amp;AM1325</f>
        <v>PalauCemetery MPAfishsize2.04255319192033Page2009</v>
      </c>
    </row>
    <row r="1326" spans="1:49" ht="14.25" customHeight="1" x14ac:dyDescent="0.35">
      <c r="A1326" s="12">
        <v>1325</v>
      </c>
      <c r="B1326" s="12" t="s">
        <v>586</v>
      </c>
      <c r="C1326" s="12" t="s">
        <v>1480</v>
      </c>
      <c r="D1326" s="43" t="s">
        <v>718</v>
      </c>
      <c r="E1326" s="12" t="s">
        <v>68</v>
      </c>
      <c r="F1326" s="13" t="s">
        <v>50</v>
      </c>
      <c r="G1326" s="13" t="s">
        <v>51</v>
      </c>
      <c r="H1326" s="13" t="s">
        <v>78</v>
      </c>
      <c r="I1326" s="13" t="s">
        <v>156</v>
      </c>
      <c r="J1326" s="17">
        <v>1</v>
      </c>
      <c r="K1326" s="17"/>
      <c r="L1326" s="14"/>
      <c r="M1326" s="14" t="s">
        <v>69</v>
      </c>
      <c r="N1326" s="17" t="s">
        <v>1070</v>
      </c>
      <c r="O1326" s="14" t="s">
        <v>70</v>
      </c>
      <c r="P1326" s="14"/>
      <c r="Q1326" s="14">
        <v>3286.4864899999998</v>
      </c>
      <c r="R1326" s="14">
        <v>11589.189</v>
      </c>
      <c r="S1326" s="14">
        <v>821.62162160000003</v>
      </c>
      <c r="T1326" s="14">
        <v>2897.2972970000001</v>
      </c>
      <c r="U1326" s="19">
        <f t="shared" si="88"/>
        <v>1.00000001731741</v>
      </c>
      <c r="V1326" s="41">
        <f t="shared" si="91"/>
        <v>1.7317409950479146E-6</v>
      </c>
      <c r="W1326" s="14"/>
      <c r="X1326" s="14" t="s">
        <v>56</v>
      </c>
      <c r="Z1326" s="14" t="s">
        <v>56</v>
      </c>
      <c r="AA1326" s="14"/>
      <c r="AB1326" s="14" t="s">
        <v>111</v>
      </c>
      <c r="AC1326" s="14">
        <v>2005</v>
      </c>
      <c r="AD1326" s="14">
        <v>0</v>
      </c>
      <c r="AE1326" s="14"/>
      <c r="AF1326" s="14"/>
      <c r="AG1326" s="14">
        <v>2002</v>
      </c>
      <c r="AH1326" s="14">
        <f t="shared" si="89"/>
        <v>3</v>
      </c>
      <c r="AI1326" s="17">
        <f t="shared" si="90"/>
        <v>3</v>
      </c>
      <c r="AJ1326" s="14"/>
      <c r="AK1326" s="14" t="s">
        <v>56</v>
      </c>
      <c r="AL1326" s="13" t="s">
        <v>589</v>
      </c>
      <c r="AM1326" s="14">
        <v>2009</v>
      </c>
      <c r="AN1326" s="12" t="s">
        <v>590</v>
      </c>
      <c r="AO1326" s="12" t="s">
        <v>56</v>
      </c>
      <c r="AP1326" s="12"/>
      <c r="AQ1326" s="12" t="s">
        <v>56</v>
      </c>
      <c r="AR1326" s="12" t="s">
        <v>58</v>
      </c>
      <c r="AS1326" s="12" t="s">
        <v>62</v>
      </c>
      <c r="AT1326" s="12"/>
      <c r="AU1326" s="45"/>
      <c r="AV1326" s="15"/>
      <c r="AW1326" s="12" t="str">
        <f>B1326&amp;C1326&amp;L1326&amp;M1326&amp;O1326&amp;U1326&amp;AL1326&amp;AM1326</f>
        <v>PalauNgelukes MPAfishbiomassden1.00000001731741Page2009</v>
      </c>
    </row>
    <row r="1327" spans="1:49" ht="14.25" customHeight="1" x14ac:dyDescent="0.35">
      <c r="A1327" s="12">
        <v>1326</v>
      </c>
      <c r="B1327" s="12" t="s">
        <v>586</v>
      </c>
      <c r="C1327" s="12" t="s">
        <v>587</v>
      </c>
      <c r="D1327" s="12" t="s">
        <v>587</v>
      </c>
      <c r="E1327" s="12" t="s">
        <v>68</v>
      </c>
      <c r="F1327" s="13" t="s">
        <v>50</v>
      </c>
      <c r="G1327" s="13" t="s">
        <v>51</v>
      </c>
      <c r="H1327" s="13" t="s">
        <v>78</v>
      </c>
      <c r="I1327" s="13" t="s">
        <v>156</v>
      </c>
      <c r="J1327" s="14">
        <v>8.0000000000000002E-3</v>
      </c>
      <c r="K1327" s="17"/>
      <c r="L1327" s="14"/>
      <c r="M1327" s="14" t="s">
        <v>69</v>
      </c>
      <c r="N1327" s="17" t="s">
        <v>1070</v>
      </c>
      <c r="O1327" s="17" t="s">
        <v>70</v>
      </c>
      <c r="P1327" s="14"/>
      <c r="Q1327" s="14">
        <v>4151.3513499999999</v>
      </c>
      <c r="R1327" s="14">
        <v>11935.135</v>
      </c>
      <c r="S1327" s="14">
        <v>1037.8378379999999</v>
      </c>
      <c r="T1327" s="14">
        <v>2983.7837840000002</v>
      </c>
      <c r="U1327" s="19">
        <f t="shared" si="88"/>
        <v>1.0000000109131568</v>
      </c>
      <c r="V1327" s="41">
        <f t="shared" si="91"/>
        <v>1.0913156822667247E-6</v>
      </c>
      <c r="W1327" s="14"/>
      <c r="X1327" s="14" t="s">
        <v>56</v>
      </c>
      <c r="Z1327" s="14" t="s">
        <v>56</v>
      </c>
      <c r="AA1327" s="14"/>
      <c r="AB1327" s="14" t="s">
        <v>111</v>
      </c>
      <c r="AC1327" s="14">
        <v>2005</v>
      </c>
      <c r="AD1327" s="14">
        <v>0</v>
      </c>
      <c r="AE1327" s="14"/>
      <c r="AF1327" s="14"/>
      <c r="AG1327" s="14">
        <v>1999</v>
      </c>
      <c r="AH1327" s="14">
        <f t="shared" si="89"/>
        <v>6</v>
      </c>
      <c r="AI1327" s="17">
        <f t="shared" si="90"/>
        <v>6</v>
      </c>
      <c r="AJ1327" s="14"/>
      <c r="AK1327" s="14" t="s">
        <v>56</v>
      </c>
      <c r="AL1327" s="13" t="s">
        <v>589</v>
      </c>
      <c r="AM1327" s="14">
        <v>2009</v>
      </c>
      <c r="AN1327" s="12" t="s">
        <v>590</v>
      </c>
      <c r="AO1327" s="12" t="s">
        <v>56</v>
      </c>
      <c r="AP1327" s="12"/>
      <c r="AQ1327" s="12" t="s">
        <v>56</v>
      </c>
      <c r="AR1327" s="12" t="s">
        <v>58</v>
      </c>
      <c r="AS1327" s="12" t="s">
        <v>62</v>
      </c>
      <c r="AT1327" s="12"/>
      <c r="AU1327" s="45"/>
      <c r="AV1327" s="15"/>
      <c r="AW1327" s="12" t="str">
        <f>B1327&amp;C1327&amp;L1327&amp;M1327&amp;O1327&amp;U1327&amp;AL1327&amp;AM1327</f>
        <v>PalauCemetery MPAfishbiomassden1.00000001091316Page2009</v>
      </c>
    </row>
    <row r="1328" spans="1:49" ht="14.25" customHeight="1" x14ac:dyDescent="0.35">
      <c r="A1328" s="12">
        <v>1327</v>
      </c>
      <c r="B1328" s="12" t="s">
        <v>586</v>
      </c>
      <c r="C1328" s="12" t="s">
        <v>1480</v>
      </c>
      <c r="D1328" s="44" t="s">
        <v>718</v>
      </c>
      <c r="E1328" s="12" t="s">
        <v>68</v>
      </c>
      <c r="F1328" s="13" t="s">
        <v>50</v>
      </c>
      <c r="G1328" s="13" t="s">
        <v>51</v>
      </c>
      <c r="H1328" s="13" t="s">
        <v>78</v>
      </c>
      <c r="I1328" s="13" t="s">
        <v>156</v>
      </c>
      <c r="J1328" s="14">
        <v>1</v>
      </c>
      <c r="K1328" s="17"/>
      <c r="L1328" s="14"/>
      <c r="M1328" s="14" t="s">
        <v>69</v>
      </c>
      <c r="N1328" s="17" t="s">
        <v>1070</v>
      </c>
      <c r="O1328" s="17" t="s">
        <v>86</v>
      </c>
      <c r="P1328" s="14"/>
      <c r="Q1328" s="14">
        <v>897.77777800000001</v>
      </c>
      <c r="R1328" s="14">
        <v>1271.1111000000001</v>
      </c>
      <c r="S1328" s="14">
        <v>224.44444440000001</v>
      </c>
      <c r="T1328" s="14">
        <v>317.77777780000002</v>
      </c>
      <c r="U1328" s="19">
        <f t="shared" si="88"/>
        <v>1.0000000092567334</v>
      </c>
      <c r="V1328" s="41">
        <f t="shared" si="91"/>
        <v>9.2567333798143636E-7</v>
      </c>
      <c r="W1328" s="14"/>
      <c r="X1328" s="14" t="s">
        <v>56</v>
      </c>
      <c r="Y1328" s="12"/>
      <c r="Z1328" s="14" t="s">
        <v>56</v>
      </c>
      <c r="AA1328" s="14"/>
      <c r="AB1328" s="14" t="s">
        <v>111</v>
      </c>
      <c r="AC1328" s="14">
        <v>2005</v>
      </c>
      <c r="AD1328" s="14">
        <v>0</v>
      </c>
      <c r="AE1328" s="14"/>
      <c r="AF1328" s="14"/>
      <c r="AG1328" s="14">
        <v>2002</v>
      </c>
      <c r="AH1328" s="14">
        <f t="shared" si="89"/>
        <v>3</v>
      </c>
      <c r="AI1328" s="17">
        <f t="shared" si="90"/>
        <v>3</v>
      </c>
      <c r="AJ1328" s="14"/>
      <c r="AK1328" s="14" t="s">
        <v>56</v>
      </c>
      <c r="AL1328" s="13" t="s">
        <v>589</v>
      </c>
      <c r="AM1328" s="14">
        <v>2009</v>
      </c>
      <c r="AN1328" s="12" t="s">
        <v>590</v>
      </c>
      <c r="AO1328" s="12" t="s">
        <v>56</v>
      </c>
      <c r="AP1328" s="12"/>
      <c r="AQ1328" s="12" t="s">
        <v>56</v>
      </c>
      <c r="AR1328" s="12" t="s">
        <v>58</v>
      </c>
      <c r="AS1328" s="12" t="s">
        <v>62</v>
      </c>
      <c r="AT1328" s="12"/>
      <c r="AU1328" s="45"/>
      <c r="AV1328" s="15"/>
      <c r="AW1328" s="12" t="str">
        <f>B1328&amp;C1328&amp;L1328&amp;M1328&amp;O1328&amp;U1328&amp;AL1328&amp;AM1328</f>
        <v>PalauNgelukes MPAfishdensity1.00000000925673Page2009</v>
      </c>
    </row>
    <row r="1329" spans="1:49" ht="14.25" customHeight="1" x14ac:dyDescent="0.35">
      <c r="A1329" s="12">
        <v>1328</v>
      </c>
      <c r="B1329" s="15" t="s">
        <v>586</v>
      </c>
      <c r="C1329" s="15" t="s">
        <v>587</v>
      </c>
      <c r="D1329" s="12" t="s">
        <v>587</v>
      </c>
      <c r="E1329" s="15" t="s">
        <v>68</v>
      </c>
      <c r="F1329" s="13" t="s">
        <v>50</v>
      </c>
      <c r="G1329" s="13" t="s">
        <v>51</v>
      </c>
      <c r="H1329" s="16" t="s">
        <v>78</v>
      </c>
      <c r="I1329" s="16" t="s">
        <v>156</v>
      </c>
      <c r="J1329" s="17">
        <v>8.0000000000000002E-3</v>
      </c>
      <c r="K1329" s="17"/>
      <c r="L1329" s="17"/>
      <c r="M1329" s="17" t="s">
        <v>69</v>
      </c>
      <c r="N1329" s="17" t="s">
        <v>1070</v>
      </c>
      <c r="O1329" s="17" t="s">
        <v>86</v>
      </c>
      <c r="P1329" s="17"/>
      <c r="Q1329" s="17">
        <v>248.88888900000001</v>
      </c>
      <c r="R1329" s="17">
        <v>257.77778000000001</v>
      </c>
      <c r="S1329" s="17">
        <v>62.222222219999999</v>
      </c>
      <c r="T1329" s="17">
        <v>64.444444439999998</v>
      </c>
      <c r="U1329" s="20">
        <f t="shared" si="88"/>
        <v>0.99999999179248777</v>
      </c>
      <c r="V1329" s="41">
        <f t="shared" si="91"/>
        <v>-8.2075122254110511E-7</v>
      </c>
      <c r="W1329" s="17"/>
      <c r="X1329" s="17" t="s">
        <v>56</v>
      </c>
      <c r="Z1329" s="17" t="s">
        <v>56</v>
      </c>
      <c r="AA1329" s="17"/>
      <c r="AB1329" s="17" t="s">
        <v>111</v>
      </c>
      <c r="AC1329" s="17">
        <v>2005</v>
      </c>
      <c r="AD1329" s="17">
        <v>0</v>
      </c>
      <c r="AE1329" s="17"/>
      <c r="AF1329" s="17"/>
      <c r="AG1329" s="17">
        <v>1999</v>
      </c>
      <c r="AH1329" s="14">
        <f t="shared" si="89"/>
        <v>6</v>
      </c>
      <c r="AI1329" s="17">
        <f t="shared" si="90"/>
        <v>6</v>
      </c>
      <c r="AJ1329" s="17"/>
      <c r="AK1329" s="17" t="s">
        <v>56</v>
      </c>
      <c r="AL1329" s="16" t="s">
        <v>589</v>
      </c>
      <c r="AM1329" s="17">
        <v>2009</v>
      </c>
      <c r="AN1329" s="15" t="s">
        <v>590</v>
      </c>
      <c r="AO1329" s="15" t="s">
        <v>56</v>
      </c>
      <c r="AP1329" s="15"/>
      <c r="AQ1329" s="15" t="s">
        <v>56</v>
      </c>
      <c r="AR1329" s="15" t="s">
        <v>58</v>
      </c>
      <c r="AS1329" s="15" t="s">
        <v>62</v>
      </c>
      <c r="AT1329" s="15"/>
      <c r="AU1329" s="45"/>
      <c r="AV1329" s="15"/>
      <c r="AW1329" s="12" t="str">
        <f>B1329&amp;C1329&amp;L1329&amp;M1329&amp;O1329&amp;U1329&amp;AL1329&amp;AM1329</f>
        <v>PalauCemetery MPAfishdensity0.999999991792488Page2009</v>
      </c>
    </row>
    <row r="1330" spans="1:49" ht="14.25" customHeight="1" x14ac:dyDescent="0.35">
      <c r="A1330" s="12">
        <v>1329</v>
      </c>
      <c r="B1330" s="12" t="s">
        <v>586</v>
      </c>
      <c r="C1330" s="12" t="s">
        <v>1483</v>
      </c>
      <c r="D1330" s="44" t="s">
        <v>718</v>
      </c>
      <c r="E1330" s="12" t="s">
        <v>68</v>
      </c>
      <c r="F1330" s="13" t="s">
        <v>50</v>
      </c>
      <c r="G1330" s="13" t="s">
        <v>51</v>
      </c>
      <c r="H1330" s="13" t="s">
        <v>78</v>
      </c>
      <c r="I1330" s="13" t="s">
        <v>156</v>
      </c>
      <c r="J1330" s="17">
        <v>30</v>
      </c>
      <c r="K1330" s="17"/>
      <c r="L1330" s="14"/>
      <c r="M1330" s="14" t="s">
        <v>69</v>
      </c>
      <c r="N1330" s="14" t="s">
        <v>1070</v>
      </c>
      <c r="O1330" s="17" t="s">
        <v>86</v>
      </c>
      <c r="P1330" s="14"/>
      <c r="Q1330" s="14">
        <v>1093.3333299999999</v>
      </c>
      <c r="R1330" s="14">
        <v>551.11111000000005</v>
      </c>
      <c r="S1330" s="14">
        <v>273.33333329999999</v>
      </c>
      <c r="T1330" s="14">
        <v>137.7777778</v>
      </c>
      <c r="U1330" s="19">
        <f t="shared" si="88"/>
        <v>0.99999999925058991</v>
      </c>
      <c r="V1330" s="41">
        <f t="shared" si="91"/>
        <v>-7.4941008953999244E-8</v>
      </c>
      <c r="W1330" s="14"/>
      <c r="X1330" s="14" t="s">
        <v>56</v>
      </c>
      <c r="Y1330" s="12"/>
      <c r="Z1330" s="14" t="s">
        <v>56</v>
      </c>
      <c r="AA1330" s="14"/>
      <c r="AB1330" s="14" t="s">
        <v>111</v>
      </c>
      <c r="AC1330" s="14">
        <v>2005</v>
      </c>
      <c r="AD1330" s="14">
        <v>0</v>
      </c>
      <c r="AE1330" s="14"/>
      <c r="AF1330" s="14"/>
      <c r="AG1330" s="14">
        <v>1995</v>
      </c>
      <c r="AH1330" s="14">
        <f t="shared" si="89"/>
        <v>10</v>
      </c>
      <c r="AI1330" s="17">
        <f t="shared" si="90"/>
        <v>10</v>
      </c>
      <c r="AJ1330" s="14"/>
      <c r="AK1330" s="14" t="s">
        <v>56</v>
      </c>
      <c r="AL1330" s="13" t="s">
        <v>589</v>
      </c>
      <c r="AM1330" s="14">
        <v>2009</v>
      </c>
      <c r="AN1330" s="12" t="s">
        <v>590</v>
      </c>
      <c r="AO1330" s="12" t="s">
        <v>56</v>
      </c>
      <c r="AP1330" s="12"/>
      <c r="AQ1330" s="12" t="s">
        <v>56</v>
      </c>
      <c r="AR1330" s="12" t="s">
        <v>58</v>
      </c>
      <c r="AS1330" s="12" t="s">
        <v>62</v>
      </c>
      <c r="AT1330" s="12"/>
      <c r="AU1330" s="45"/>
      <c r="AV1330" s="15"/>
      <c r="AW1330" s="12" t="str">
        <f>B1330&amp;C1330&amp;L1330&amp;M1330&amp;O1330&amp;U1330&amp;AL1330&amp;AM1330</f>
        <v>PalauNgmelis MPAfishdensity0.99999999925059Page2009</v>
      </c>
    </row>
    <row r="1331" spans="1:49" ht="14.25" customHeight="1" x14ac:dyDescent="0.35">
      <c r="A1331" s="12">
        <v>1330</v>
      </c>
      <c r="B1331" s="15" t="s">
        <v>586</v>
      </c>
      <c r="C1331" s="15" t="s">
        <v>1483</v>
      </c>
      <c r="D1331" s="44" t="s">
        <v>718</v>
      </c>
      <c r="E1331" s="15" t="s">
        <v>68</v>
      </c>
      <c r="F1331" s="16" t="s">
        <v>50</v>
      </c>
      <c r="G1331" s="16" t="s">
        <v>51</v>
      </c>
      <c r="H1331" s="16" t="s">
        <v>78</v>
      </c>
      <c r="I1331" s="16" t="s">
        <v>156</v>
      </c>
      <c r="J1331" s="17">
        <v>30</v>
      </c>
      <c r="K1331" s="17"/>
      <c r="L1331" s="17" t="s">
        <v>1484</v>
      </c>
      <c r="M1331"/>
      <c r="N1331" s="14" t="s">
        <v>85</v>
      </c>
      <c r="O1331" s="17" t="s">
        <v>70</v>
      </c>
      <c r="P1331" s="17"/>
      <c r="Q1331" s="17"/>
      <c r="R1331" s="17"/>
      <c r="S1331" s="17">
        <v>253.76</v>
      </c>
      <c r="T1331" s="17">
        <v>210.08</v>
      </c>
      <c r="U1331" s="20">
        <f t="shared" si="88"/>
        <v>0.82786885245901642</v>
      </c>
      <c r="V1331" s="41">
        <f t="shared" si="91"/>
        <v>-17.213114754098356</v>
      </c>
      <c r="W1331" s="17"/>
      <c r="X1331" s="17" t="s">
        <v>56</v>
      </c>
      <c r="Y1331" s="12"/>
      <c r="Z1331" s="17" t="s">
        <v>56</v>
      </c>
      <c r="AA1331" s="17"/>
      <c r="AB1331" s="17" t="s">
        <v>57</v>
      </c>
      <c r="AC1331" s="17">
        <v>2005</v>
      </c>
      <c r="AD1331" s="17">
        <v>0</v>
      </c>
      <c r="AE1331" s="17"/>
      <c r="AF1331" s="17"/>
      <c r="AG1331" s="17">
        <v>1995</v>
      </c>
      <c r="AH1331" s="14">
        <f t="shared" si="89"/>
        <v>10</v>
      </c>
      <c r="AI1331" s="17">
        <f t="shared" si="90"/>
        <v>10</v>
      </c>
      <c r="AJ1331" s="17"/>
      <c r="AK1331" s="17" t="s">
        <v>56</v>
      </c>
      <c r="AL1331" s="16" t="s">
        <v>589</v>
      </c>
      <c r="AM1331" s="17">
        <v>2009</v>
      </c>
      <c r="AN1331" s="15" t="s">
        <v>590</v>
      </c>
      <c r="AO1331" s="15" t="s">
        <v>56</v>
      </c>
      <c r="AP1331" s="15"/>
      <c r="AQ1331" s="15" t="s">
        <v>56</v>
      </c>
      <c r="AR1331" s="15" t="s">
        <v>58</v>
      </c>
      <c r="AS1331" s="15" t="s">
        <v>62</v>
      </c>
      <c r="AT1331" s="15"/>
      <c r="AU1331" s="45"/>
      <c r="AV1331" s="15"/>
      <c r="AW1331" s="12" t="str">
        <f>B1331&amp;C1331&amp;L1331&amp;M1331&amp;O1331&amp;U1331&amp;AL1331&amp;AM1331</f>
        <v>PalauNgmelis MPASiganus argenteusbiomassden0.827868852459016Page2009</v>
      </c>
    </row>
    <row r="1332" spans="1:49" ht="14.25" customHeight="1" x14ac:dyDescent="0.35">
      <c r="A1332" s="12">
        <v>1331</v>
      </c>
      <c r="B1332" s="15" t="s">
        <v>586</v>
      </c>
      <c r="C1332" s="15" t="s">
        <v>1483</v>
      </c>
      <c r="D1332" s="44" t="s">
        <v>718</v>
      </c>
      <c r="E1332" s="15" t="s">
        <v>68</v>
      </c>
      <c r="F1332" s="13" t="s">
        <v>50</v>
      </c>
      <c r="G1332" s="13" t="s">
        <v>51</v>
      </c>
      <c r="H1332" s="16" t="s">
        <v>78</v>
      </c>
      <c r="I1332" s="16" t="s">
        <v>156</v>
      </c>
      <c r="J1332" s="17">
        <v>30</v>
      </c>
      <c r="K1332" s="17"/>
      <c r="L1332" s="17" t="s">
        <v>1484</v>
      </c>
      <c r="M1332"/>
      <c r="N1332" s="14" t="s">
        <v>85</v>
      </c>
      <c r="O1332" s="17" t="s">
        <v>104</v>
      </c>
      <c r="P1332" s="17" t="s">
        <v>568</v>
      </c>
      <c r="Q1332" s="17"/>
      <c r="R1332" s="17"/>
      <c r="S1332" s="17">
        <v>73.599999999999994</v>
      </c>
      <c r="T1332" s="17">
        <v>45.58</v>
      </c>
      <c r="U1332" s="20">
        <f t="shared" si="88"/>
        <v>0.61929347826086956</v>
      </c>
      <c r="V1332" s="41">
        <f t="shared" si="91"/>
        <v>-38.070652173913047</v>
      </c>
      <c r="W1332" s="17"/>
      <c r="X1332" s="17" t="s">
        <v>56</v>
      </c>
      <c r="Y1332" s="12"/>
      <c r="Z1332" s="17" t="s">
        <v>56</v>
      </c>
      <c r="AA1332" s="17"/>
      <c r="AB1332" s="17" t="s">
        <v>57</v>
      </c>
      <c r="AC1332" s="17">
        <v>2005</v>
      </c>
      <c r="AD1332" s="17">
        <v>0</v>
      </c>
      <c r="AE1332" s="17"/>
      <c r="AF1332" s="17"/>
      <c r="AG1332" s="17">
        <v>1995</v>
      </c>
      <c r="AH1332" s="14">
        <f t="shared" si="89"/>
        <v>10</v>
      </c>
      <c r="AI1332" s="17">
        <f t="shared" si="90"/>
        <v>10</v>
      </c>
      <c r="AJ1332" s="17"/>
      <c r="AK1332" s="17" t="s">
        <v>56</v>
      </c>
      <c r="AL1332" s="16" t="s">
        <v>589</v>
      </c>
      <c r="AM1332" s="17">
        <v>2009</v>
      </c>
      <c r="AN1332" s="15" t="s">
        <v>590</v>
      </c>
      <c r="AO1332" s="15" t="s">
        <v>56</v>
      </c>
      <c r="AP1332" s="15"/>
      <c r="AQ1332" s="15" t="s">
        <v>56</v>
      </c>
      <c r="AR1332" s="15" t="s">
        <v>58</v>
      </c>
      <c r="AS1332" s="15" t="s">
        <v>62</v>
      </c>
      <c r="AT1332" s="15"/>
      <c r="AU1332" s="45"/>
      <c r="AV1332" s="15"/>
      <c r="AW1332" s="12" t="str">
        <f>B1332&amp;C1332&amp;L1332&amp;M1332&amp;O1332&amp;U1332&amp;AL1332&amp;AM1332</f>
        <v>PalauNgmelis MPASiganus argenteussize0.61929347826087Page2009</v>
      </c>
    </row>
    <row r="1333" spans="1:49" ht="14.25" customHeight="1" x14ac:dyDescent="0.35">
      <c r="A1333" s="12">
        <v>1332</v>
      </c>
      <c r="B1333" s="12" t="s">
        <v>586</v>
      </c>
      <c r="C1333" s="12" t="s">
        <v>1483</v>
      </c>
      <c r="D1333" s="44" t="s">
        <v>718</v>
      </c>
      <c r="E1333" s="12" t="s">
        <v>68</v>
      </c>
      <c r="F1333" s="13" t="s">
        <v>50</v>
      </c>
      <c r="G1333" s="13" t="s">
        <v>51</v>
      </c>
      <c r="H1333" s="13" t="s">
        <v>78</v>
      </c>
      <c r="I1333" s="13" t="s">
        <v>156</v>
      </c>
      <c r="J1333" s="17">
        <v>30</v>
      </c>
      <c r="K1333" s="17"/>
      <c r="L1333" s="14" t="s">
        <v>1485</v>
      </c>
      <c r="M1333"/>
      <c r="N1333" s="14" t="s">
        <v>85</v>
      </c>
      <c r="O1333" s="17" t="s">
        <v>70</v>
      </c>
      <c r="P1333" s="14"/>
      <c r="Q1333" s="14"/>
      <c r="R1333" s="14"/>
      <c r="S1333" s="14">
        <v>102.24</v>
      </c>
      <c r="T1333" s="14">
        <v>84.52</v>
      </c>
      <c r="U1333" s="19">
        <f t="shared" si="88"/>
        <v>0.82668231611893583</v>
      </c>
      <c r="V1333" s="41">
        <f t="shared" si="91"/>
        <v>-17.331768388106418</v>
      </c>
      <c r="W1333" s="14"/>
      <c r="X1333" s="14" t="s">
        <v>56</v>
      </c>
      <c r="Y1333" s="12"/>
      <c r="Z1333" s="14" t="s">
        <v>56</v>
      </c>
      <c r="AA1333" s="14"/>
      <c r="AB1333" s="14" t="s">
        <v>57</v>
      </c>
      <c r="AC1333" s="14">
        <v>2005</v>
      </c>
      <c r="AD1333" s="14">
        <v>0</v>
      </c>
      <c r="AE1333" s="14"/>
      <c r="AF1333" s="14"/>
      <c r="AG1333" s="14">
        <v>1995</v>
      </c>
      <c r="AH1333" s="14">
        <f t="shared" si="89"/>
        <v>10</v>
      </c>
      <c r="AI1333" s="17">
        <f t="shared" si="90"/>
        <v>10</v>
      </c>
      <c r="AJ1333" s="14"/>
      <c r="AK1333" s="14" t="s">
        <v>56</v>
      </c>
      <c r="AL1333" s="13" t="s">
        <v>589</v>
      </c>
      <c r="AM1333" s="14">
        <v>2009</v>
      </c>
      <c r="AN1333" s="12" t="s">
        <v>590</v>
      </c>
      <c r="AO1333" s="12" t="s">
        <v>56</v>
      </c>
      <c r="AP1333" s="12"/>
      <c r="AQ1333" s="12" t="s">
        <v>56</v>
      </c>
      <c r="AR1333" s="12" t="s">
        <v>58</v>
      </c>
      <c r="AS1333" s="12" t="s">
        <v>62</v>
      </c>
      <c r="AT1333" s="12"/>
      <c r="AU1333" s="45"/>
      <c r="AV1333" s="15"/>
      <c r="AW1333" s="12" t="str">
        <f>B1333&amp;C1333&amp;L1333&amp;M1333&amp;O1333&amp;U1333&amp;AL1333&amp;AM1333</f>
        <v>PalauNgmelis MPACetoscarus bicolorbiomassden0.826682316118936Page2009</v>
      </c>
    </row>
    <row r="1334" spans="1:49" ht="14.25" customHeight="1" x14ac:dyDescent="0.35">
      <c r="A1334" s="12">
        <v>1333</v>
      </c>
      <c r="B1334" s="15" t="s">
        <v>586</v>
      </c>
      <c r="C1334" s="15" t="s">
        <v>1483</v>
      </c>
      <c r="D1334" s="44" t="s">
        <v>718</v>
      </c>
      <c r="E1334" s="15" t="s">
        <v>68</v>
      </c>
      <c r="F1334" s="16" t="s">
        <v>50</v>
      </c>
      <c r="G1334" s="16" t="s">
        <v>51</v>
      </c>
      <c r="H1334" s="16" t="s">
        <v>78</v>
      </c>
      <c r="I1334" s="16" t="s">
        <v>156</v>
      </c>
      <c r="J1334" s="17">
        <v>30</v>
      </c>
      <c r="K1334" s="17"/>
      <c r="L1334" s="17" t="s">
        <v>1485</v>
      </c>
      <c r="M1334"/>
      <c r="N1334" s="14" t="s">
        <v>85</v>
      </c>
      <c r="O1334" s="17" t="s">
        <v>104</v>
      </c>
      <c r="P1334" s="17" t="s">
        <v>568</v>
      </c>
      <c r="Q1334" s="17"/>
      <c r="R1334" s="17"/>
      <c r="S1334" s="17">
        <v>255.73</v>
      </c>
      <c r="T1334" s="17">
        <v>221.39</v>
      </c>
      <c r="U1334" s="20">
        <f t="shared" si="88"/>
        <v>0.86571774918859734</v>
      </c>
      <c r="V1334" s="41">
        <f t="shared" si="91"/>
        <v>-13.428225081140265</v>
      </c>
      <c r="W1334" s="17"/>
      <c r="X1334" s="17" t="s">
        <v>56</v>
      </c>
      <c r="Y1334" s="12"/>
      <c r="Z1334" s="17" t="s">
        <v>56</v>
      </c>
      <c r="AA1334" s="17"/>
      <c r="AB1334" s="17" t="s">
        <v>57</v>
      </c>
      <c r="AC1334" s="17">
        <v>2005</v>
      </c>
      <c r="AD1334" s="17">
        <v>0</v>
      </c>
      <c r="AE1334" s="17"/>
      <c r="AF1334" s="17"/>
      <c r="AG1334" s="17">
        <v>1995</v>
      </c>
      <c r="AH1334" s="14">
        <f t="shared" si="89"/>
        <v>10</v>
      </c>
      <c r="AI1334" s="17">
        <f t="shared" si="90"/>
        <v>10</v>
      </c>
      <c r="AJ1334" s="17"/>
      <c r="AK1334" s="17" t="s">
        <v>56</v>
      </c>
      <c r="AL1334" s="16" t="s">
        <v>589</v>
      </c>
      <c r="AM1334" s="17">
        <v>2009</v>
      </c>
      <c r="AN1334" s="12" t="s">
        <v>590</v>
      </c>
      <c r="AO1334" s="15" t="s">
        <v>56</v>
      </c>
      <c r="AP1334" s="15"/>
      <c r="AQ1334" s="15" t="s">
        <v>56</v>
      </c>
      <c r="AR1334" s="15" t="s">
        <v>58</v>
      </c>
      <c r="AS1334" s="15" t="s">
        <v>62</v>
      </c>
      <c r="AT1334" s="15"/>
      <c r="AU1334" s="45"/>
      <c r="AV1334" s="15"/>
      <c r="AW1334" s="12" t="str">
        <f>B1334&amp;C1334&amp;L1334&amp;M1334&amp;O1334&amp;U1334&amp;AL1334&amp;AM1334</f>
        <v>PalauNgmelis MPACetoscarus bicolorsize0.865717749188597Page2009</v>
      </c>
    </row>
    <row r="1335" spans="1:49" ht="14.25" customHeight="1" x14ac:dyDescent="0.35">
      <c r="A1335" s="12">
        <v>1334</v>
      </c>
      <c r="B1335" s="12" t="s">
        <v>586</v>
      </c>
      <c r="C1335" s="12" t="s">
        <v>1483</v>
      </c>
      <c r="D1335" s="44" t="s">
        <v>718</v>
      </c>
      <c r="E1335" s="12" t="s">
        <v>68</v>
      </c>
      <c r="F1335" s="13" t="s">
        <v>50</v>
      </c>
      <c r="G1335" s="13" t="s">
        <v>51</v>
      </c>
      <c r="H1335" s="13" t="s">
        <v>78</v>
      </c>
      <c r="I1335" s="13" t="s">
        <v>156</v>
      </c>
      <c r="J1335" s="17">
        <v>30</v>
      </c>
      <c r="K1335" s="14"/>
      <c r="L1335" s="14" t="s">
        <v>1486</v>
      </c>
      <c r="M1335"/>
      <c r="N1335" s="14" t="s">
        <v>85</v>
      </c>
      <c r="O1335" s="17" t="s">
        <v>70</v>
      </c>
      <c r="P1335" s="14"/>
      <c r="Q1335" s="14"/>
      <c r="R1335" s="14"/>
      <c r="S1335" s="14">
        <v>66</v>
      </c>
      <c r="T1335" s="14">
        <v>64.2</v>
      </c>
      <c r="U1335" s="19">
        <f t="shared" si="88"/>
        <v>0.97272727272727277</v>
      </c>
      <c r="V1335" s="41">
        <f t="shared" si="91"/>
        <v>-2.7272727272727226</v>
      </c>
      <c r="W1335" s="14"/>
      <c r="X1335" s="14" t="s">
        <v>56</v>
      </c>
      <c r="Y1335" s="12"/>
      <c r="Z1335" s="14" t="s">
        <v>56</v>
      </c>
      <c r="AA1335" s="14"/>
      <c r="AB1335" s="14" t="s">
        <v>57</v>
      </c>
      <c r="AC1335" s="14">
        <v>2005</v>
      </c>
      <c r="AD1335" s="14">
        <v>0</v>
      </c>
      <c r="AE1335" s="14"/>
      <c r="AF1335" s="14"/>
      <c r="AG1335" s="14">
        <v>1995</v>
      </c>
      <c r="AH1335" s="14">
        <f t="shared" si="89"/>
        <v>10</v>
      </c>
      <c r="AI1335" s="17">
        <f t="shared" si="90"/>
        <v>10</v>
      </c>
      <c r="AJ1335" s="14"/>
      <c r="AK1335" s="14" t="s">
        <v>56</v>
      </c>
      <c r="AL1335" s="13" t="s">
        <v>589</v>
      </c>
      <c r="AM1335" s="14">
        <v>2009</v>
      </c>
      <c r="AN1335" s="12" t="s">
        <v>590</v>
      </c>
      <c r="AO1335" s="12" t="s">
        <v>56</v>
      </c>
      <c r="AP1335" s="12"/>
      <c r="AQ1335" s="12" t="s">
        <v>56</v>
      </c>
      <c r="AR1335" s="12" t="s">
        <v>58</v>
      </c>
      <c r="AS1335" s="12" t="s">
        <v>62</v>
      </c>
      <c r="AT1335" s="12"/>
      <c r="AU1335" s="45"/>
      <c r="AV1335" s="15"/>
      <c r="AW1335" s="12" t="str">
        <f>B1335&amp;C1335&amp;L1335&amp;M1335&amp;O1335&amp;U1335&amp;AL1335&amp;AM1335</f>
        <v>PalauNgmelis MPALutjanus gibbusbiomassden0.972727272727273Page2009</v>
      </c>
    </row>
    <row r="1336" spans="1:49" ht="14.25" customHeight="1" x14ac:dyDescent="0.35">
      <c r="A1336" s="12">
        <v>1335</v>
      </c>
      <c r="B1336" s="15" t="s">
        <v>586</v>
      </c>
      <c r="C1336" s="15" t="s">
        <v>1483</v>
      </c>
      <c r="D1336" s="44" t="s">
        <v>718</v>
      </c>
      <c r="E1336" s="15" t="s">
        <v>68</v>
      </c>
      <c r="F1336" s="16" t="s">
        <v>50</v>
      </c>
      <c r="G1336" s="16" t="s">
        <v>51</v>
      </c>
      <c r="H1336" s="16" t="s">
        <v>78</v>
      </c>
      <c r="I1336" s="16" t="s">
        <v>156</v>
      </c>
      <c r="J1336" s="17">
        <v>30</v>
      </c>
      <c r="K1336" s="17"/>
      <c r="L1336" s="17" t="s">
        <v>1486</v>
      </c>
      <c r="M1336"/>
      <c r="N1336" s="14" t="s">
        <v>85</v>
      </c>
      <c r="O1336" s="17" t="s">
        <v>104</v>
      </c>
      <c r="P1336" s="17" t="s">
        <v>568</v>
      </c>
      <c r="Q1336" s="17"/>
      <c r="R1336" s="17"/>
      <c r="S1336" s="17">
        <v>102.88</v>
      </c>
      <c r="T1336" s="17">
        <v>86.13</v>
      </c>
      <c r="U1336" s="20">
        <f t="shared" si="88"/>
        <v>0.83718895800933124</v>
      </c>
      <c r="V1336" s="41">
        <f t="shared" si="91"/>
        <v>-16.281104199066874</v>
      </c>
      <c r="W1336" s="17"/>
      <c r="X1336" s="17" t="s">
        <v>56</v>
      </c>
      <c r="Y1336" s="12"/>
      <c r="Z1336" s="17" t="s">
        <v>56</v>
      </c>
      <c r="AA1336" s="17"/>
      <c r="AB1336" s="17" t="s">
        <v>57</v>
      </c>
      <c r="AC1336" s="17">
        <v>2005</v>
      </c>
      <c r="AD1336" s="17">
        <v>0</v>
      </c>
      <c r="AE1336" s="17"/>
      <c r="AF1336" s="17"/>
      <c r="AG1336" s="17">
        <v>1995</v>
      </c>
      <c r="AH1336" s="14">
        <f t="shared" si="89"/>
        <v>10</v>
      </c>
      <c r="AI1336" s="17">
        <f t="shared" si="90"/>
        <v>10</v>
      </c>
      <c r="AJ1336" s="17"/>
      <c r="AK1336" s="17" t="s">
        <v>56</v>
      </c>
      <c r="AL1336" s="16" t="s">
        <v>589</v>
      </c>
      <c r="AM1336" s="17">
        <v>2009</v>
      </c>
      <c r="AN1336" s="12" t="s">
        <v>590</v>
      </c>
      <c r="AO1336" s="15" t="s">
        <v>56</v>
      </c>
      <c r="AP1336" s="15"/>
      <c r="AQ1336" s="15" t="s">
        <v>56</v>
      </c>
      <c r="AR1336" s="15" t="s">
        <v>58</v>
      </c>
      <c r="AS1336" s="15" t="s">
        <v>62</v>
      </c>
      <c r="AT1336" s="15"/>
      <c r="AU1336" s="45"/>
      <c r="AV1336" s="15"/>
      <c r="AW1336" s="12" t="str">
        <f>B1336&amp;C1336&amp;L1336&amp;M1336&amp;O1336&amp;U1336&amp;AL1336&amp;AM1336</f>
        <v>PalauNgmelis MPALutjanus gibbussize0.837188958009331Page2009</v>
      </c>
    </row>
    <row r="1337" spans="1:49" ht="14.25" customHeight="1" x14ac:dyDescent="0.35">
      <c r="A1337" s="12">
        <v>1336</v>
      </c>
      <c r="B1337" s="15" t="s">
        <v>586</v>
      </c>
      <c r="C1337" s="15" t="s">
        <v>1483</v>
      </c>
      <c r="D1337" s="44" t="s">
        <v>718</v>
      </c>
      <c r="E1337" s="15" t="s">
        <v>68</v>
      </c>
      <c r="F1337" s="16" t="s">
        <v>50</v>
      </c>
      <c r="G1337" s="16" t="s">
        <v>51</v>
      </c>
      <c r="H1337" s="16" t="s">
        <v>78</v>
      </c>
      <c r="I1337" s="16" t="s">
        <v>156</v>
      </c>
      <c r="J1337" s="17">
        <v>30</v>
      </c>
      <c r="K1337" s="17"/>
      <c r="L1337" s="17" t="s">
        <v>1487</v>
      </c>
      <c r="M1337"/>
      <c r="N1337" s="14" t="s">
        <v>85</v>
      </c>
      <c r="O1337" s="17" t="s">
        <v>70</v>
      </c>
      <c r="P1337" s="17"/>
      <c r="Q1337" s="17"/>
      <c r="R1337" s="17"/>
      <c r="S1337" s="17">
        <v>89.08</v>
      </c>
      <c r="T1337" s="17">
        <v>69.680000000000007</v>
      </c>
      <c r="U1337" s="20">
        <f t="shared" si="88"/>
        <v>0.78221823080377195</v>
      </c>
      <c r="V1337" s="41">
        <f t="shared" si="91"/>
        <v>-21.778176919622805</v>
      </c>
      <c r="W1337" s="17"/>
      <c r="X1337" s="17" t="s">
        <v>56</v>
      </c>
      <c r="Y1337" s="12"/>
      <c r="Z1337" s="17" t="s">
        <v>56</v>
      </c>
      <c r="AA1337" s="17"/>
      <c r="AB1337" s="17" t="s">
        <v>57</v>
      </c>
      <c r="AC1337" s="17">
        <v>2005</v>
      </c>
      <c r="AD1337" s="17">
        <v>0</v>
      </c>
      <c r="AE1337" s="17"/>
      <c r="AF1337" s="17"/>
      <c r="AG1337" s="17">
        <v>1995</v>
      </c>
      <c r="AH1337" s="14">
        <f t="shared" si="89"/>
        <v>10</v>
      </c>
      <c r="AI1337" s="17">
        <f t="shared" si="90"/>
        <v>10</v>
      </c>
      <c r="AJ1337" s="17"/>
      <c r="AK1337" s="17" t="s">
        <v>56</v>
      </c>
      <c r="AL1337" s="16" t="s">
        <v>589</v>
      </c>
      <c r="AM1337" s="17">
        <v>2009</v>
      </c>
      <c r="AN1337" s="12" t="s">
        <v>590</v>
      </c>
      <c r="AO1337" s="15" t="s">
        <v>56</v>
      </c>
      <c r="AP1337" s="15"/>
      <c r="AQ1337" s="15" t="s">
        <v>56</v>
      </c>
      <c r="AR1337" s="15" t="s">
        <v>58</v>
      </c>
      <c r="AS1337" s="15" t="s">
        <v>62</v>
      </c>
      <c r="AT1337" s="15"/>
      <c r="AU1337" s="45"/>
      <c r="AV1337" s="15"/>
      <c r="AW1337" s="12" t="str">
        <f>B1337&amp;C1337&amp;L1337&amp;M1337&amp;O1337&amp;U1337&amp;AL1337&amp;AM1337</f>
        <v>PalauNgmelis MPAHipposcarus longicepsbiomassden0.782218230803772Page2009</v>
      </c>
    </row>
    <row r="1338" spans="1:49" ht="14.25" customHeight="1" x14ac:dyDescent="0.35">
      <c r="A1338" s="12">
        <v>1337</v>
      </c>
      <c r="B1338" s="15" t="s">
        <v>586</v>
      </c>
      <c r="C1338" s="15" t="s">
        <v>1483</v>
      </c>
      <c r="D1338" s="44" t="s">
        <v>718</v>
      </c>
      <c r="E1338" s="15" t="s">
        <v>68</v>
      </c>
      <c r="F1338" s="16" t="s">
        <v>50</v>
      </c>
      <c r="G1338" s="16" t="s">
        <v>51</v>
      </c>
      <c r="H1338" s="16" t="s">
        <v>78</v>
      </c>
      <c r="I1338" s="16" t="s">
        <v>156</v>
      </c>
      <c r="J1338" s="17">
        <v>30</v>
      </c>
      <c r="K1338" s="17"/>
      <c r="L1338" s="17" t="s">
        <v>1487</v>
      </c>
      <c r="M1338" s="40"/>
      <c r="N1338" s="14" t="s">
        <v>85</v>
      </c>
      <c r="O1338" s="17" t="s">
        <v>104</v>
      </c>
      <c r="P1338" s="17" t="s">
        <v>568</v>
      </c>
      <c r="Q1338" s="17"/>
      <c r="R1338" s="17"/>
      <c r="S1338" s="17">
        <v>705.36</v>
      </c>
      <c r="T1338" s="17">
        <v>1313.38</v>
      </c>
      <c r="U1338" s="20">
        <f t="shared" si="88"/>
        <v>1.8619995463309518</v>
      </c>
      <c r="V1338" s="41">
        <f t="shared" si="91"/>
        <v>86.199954633095174</v>
      </c>
      <c r="W1338" s="17"/>
      <c r="X1338" s="17" t="s">
        <v>56</v>
      </c>
      <c r="Z1338" s="17" t="s">
        <v>56</v>
      </c>
      <c r="AA1338" s="17"/>
      <c r="AB1338" s="17" t="s">
        <v>57</v>
      </c>
      <c r="AC1338" s="17">
        <v>2005</v>
      </c>
      <c r="AD1338" s="17">
        <v>0</v>
      </c>
      <c r="AE1338" s="17"/>
      <c r="AF1338" s="17"/>
      <c r="AG1338" s="17">
        <v>1995</v>
      </c>
      <c r="AH1338" s="14">
        <f t="shared" si="89"/>
        <v>10</v>
      </c>
      <c r="AI1338" s="17">
        <f t="shared" si="90"/>
        <v>10</v>
      </c>
      <c r="AJ1338" s="17"/>
      <c r="AK1338" s="17" t="s">
        <v>56</v>
      </c>
      <c r="AL1338" s="16" t="s">
        <v>589</v>
      </c>
      <c r="AM1338" s="17">
        <v>2009</v>
      </c>
      <c r="AN1338" s="12" t="s">
        <v>590</v>
      </c>
      <c r="AO1338" s="15" t="s">
        <v>56</v>
      </c>
      <c r="AP1338" s="15"/>
      <c r="AQ1338" s="15" t="s">
        <v>56</v>
      </c>
      <c r="AR1338" s="15" t="s">
        <v>58</v>
      </c>
      <c r="AS1338" s="15" t="s">
        <v>62</v>
      </c>
      <c r="AT1338" s="15"/>
      <c r="AU1338" s="45"/>
      <c r="AV1338" s="15"/>
      <c r="AW1338" s="12" t="str">
        <f>B1338&amp;C1338&amp;L1338&amp;M1338&amp;O1338&amp;U1338&amp;AL1338&amp;AM1338</f>
        <v>PalauNgmelis MPAHipposcarus longicepssize1.86199954633095Page2009</v>
      </c>
    </row>
    <row r="1339" spans="1:49" ht="14.25" customHeight="1" x14ac:dyDescent="0.35">
      <c r="A1339" s="12">
        <v>1338</v>
      </c>
      <c r="B1339" s="15" t="s">
        <v>586</v>
      </c>
      <c r="C1339" s="15" t="s">
        <v>1483</v>
      </c>
      <c r="D1339" s="44" t="s">
        <v>718</v>
      </c>
      <c r="E1339" s="15" t="s">
        <v>68</v>
      </c>
      <c r="F1339" s="16" t="s">
        <v>50</v>
      </c>
      <c r="G1339" s="16" t="s">
        <v>51</v>
      </c>
      <c r="H1339" s="16" t="s">
        <v>78</v>
      </c>
      <c r="I1339" s="16" t="s">
        <v>156</v>
      </c>
      <c r="J1339" s="17">
        <v>30</v>
      </c>
      <c r="K1339" s="17"/>
      <c r="L1339" s="17" t="s">
        <v>1488</v>
      </c>
      <c r="M1339" s="17" t="s">
        <v>1565</v>
      </c>
      <c r="N1339" s="14" t="s">
        <v>85</v>
      </c>
      <c r="O1339" s="17" t="s">
        <v>70</v>
      </c>
      <c r="P1339" s="17"/>
      <c r="Q1339" s="17"/>
      <c r="R1339" s="17"/>
      <c r="S1339" s="17">
        <v>67.92</v>
      </c>
      <c r="T1339" s="17">
        <v>70.959999999999994</v>
      </c>
      <c r="U1339" s="20">
        <f t="shared" si="88"/>
        <v>1.044758539458186</v>
      </c>
      <c r="V1339" s="41">
        <f t="shared" si="91"/>
        <v>4.4758539458185975</v>
      </c>
      <c r="W1339" s="17"/>
      <c r="X1339" s="17" t="s">
        <v>56</v>
      </c>
      <c r="Z1339" s="17" t="s">
        <v>56</v>
      </c>
      <c r="AA1339" s="17"/>
      <c r="AB1339" s="17" t="s">
        <v>57</v>
      </c>
      <c r="AC1339" s="17">
        <v>2005</v>
      </c>
      <c r="AD1339" s="17">
        <v>0</v>
      </c>
      <c r="AE1339" s="17"/>
      <c r="AF1339" s="17"/>
      <c r="AG1339" s="17">
        <v>1995</v>
      </c>
      <c r="AH1339" s="14">
        <f t="shared" si="89"/>
        <v>10</v>
      </c>
      <c r="AI1339" s="17">
        <f t="shared" si="90"/>
        <v>10</v>
      </c>
      <c r="AJ1339" s="17"/>
      <c r="AK1339" s="17" t="s">
        <v>56</v>
      </c>
      <c r="AL1339" s="16" t="s">
        <v>589</v>
      </c>
      <c r="AM1339" s="17">
        <v>2009</v>
      </c>
      <c r="AN1339" s="12" t="s">
        <v>590</v>
      </c>
      <c r="AO1339" s="15" t="s">
        <v>56</v>
      </c>
      <c r="AP1339" s="15"/>
      <c r="AQ1339" s="15" t="s">
        <v>56</v>
      </c>
      <c r="AR1339" s="15" t="s">
        <v>58</v>
      </c>
      <c r="AS1339" s="15" t="s">
        <v>62</v>
      </c>
      <c r="AT1339" s="15"/>
      <c r="AU1339" s="45"/>
      <c r="AV1339" s="15"/>
      <c r="AW1339" s="12" t="str">
        <f>B1339&amp;C1339&amp;L1339&amp;M1339&amp;O1339&amp;U1339&amp;AL1339&amp;AM1339</f>
        <v>PalauNgmelis MPANaso lituratusunicornfishbiomassden1.04475853945819Page2009</v>
      </c>
    </row>
    <row r="1340" spans="1:49" ht="14.25" customHeight="1" x14ac:dyDescent="0.35">
      <c r="A1340" s="12">
        <v>1339</v>
      </c>
      <c r="B1340" s="12" t="s">
        <v>586</v>
      </c>
      <c r="C1340" s="12" t="s">
        <v>1483</v>
      </c>
      <c r="D1340" s="44" t="s">
        <v>718</v>
      </c>
      <c r="E1340" s="12" t="s">
        <v>68</v>
      </c>
      <c r="F1340" s="13" t="s">
        <v>50</v>
      </c>
      <c r="G1340" s="13" t="s">
        <v>51</v>
      </c>
      <c r="H1340" s="13" t="s">
        <v>78</v>
      </c>
      <c r="I1340" s="13" t="s">
        <v>156</v>
      </c>
      <c r="J1340" s="17">
        <v>30</v>
      </c>
      <c r="K1340" s="17"/>
      <c r="L1340" s="14" t="s">
        <v>1488</v>
      </c>
      <c r="M1340" s="14" t="s">
        <v>1565</v>
      </c>
      <c r="N1340" s="14" t="s">
        <v>85</v>
      </c>
      <c r="O1340" s="17" t="s">
        <v>104</v>
      </c>
      <c r="P1340" s="14" t="s">
        <v>568</v>
      </c>
      <c r="Q1340" s="14"/>
      <c r="R1340" s="14"/>
      <c r="S1340" s="14">
        <v>185.88</v>
      </c>
      <c r="T1340" s="14">
        <v>217.29</v>
      </c>
      <c r="U1340" s="19">
        <f t="shared" si="88"/>
        <v>1.1689799870884441</v>
      </c>
      <c r="V1340" s="41">
        <f t="shared" si="91"/>
        <v>16.897998708844408</v>
      </c>
      <c r="W1340" s="14"/>
      <c r="X1340" s="14" t="s">
        <v>56</v>
      </c>
      <c r="Z1340" s="14" t="s">
        <v>56</v>
      </c>
      <c r="AA1340" s="14"/>
      <c r="AB1340" s="14" t="s">
        <v>57</v>
      </c>
      <c r="AC1340" s="14">
        <v>2005</v>
      </c>
      <c r="AD1340" s="14">
        <v>0</v>
      </c>
      <c r="AE1340" s="14"/>
      <c r="AF1340" s="14"/>
      <c r="AG1340" s="14">
        <v>1995</v>
      </c>
      <c r="AH1340" s="14">
        <f t="shared" si="89"/>
        <v>10</v>
      </c>
      <c r="AI1340" s="17">
        <f t="shared" si="90"/>
        <v>10</v>
      </c>
      <c r="AJ1340" s="14"/>
      <c r="AK1340" s="14" t="s">
        <v>56</v>
      </c>
      <c r="AL1340" s="13" t="s">
        <v>589</v>
      </c>
      <c r="AM1340" s="14">
        <v>2009</v>
      </c>
      <c r="AN1340" s="12" t="s">
        <v>590</v>
      </c>
      <c r="AO1340" s="12" t="s">
        <v>56</v>
      </c>
      <c r="AP1340" s="12"/>
      <c r="AQ1340" s="12" t="s">
        <v>56</v>
      </c>
      <c r="AR1340" s="12" t="s">
        <v>58</v>
      </c>
      <c r="AS1340" s="12" t="s">
        <v>62</v>
      </c>
      <c r="AT1340" s="12"/>
      <c r="AU1340" s="45"/>
      <c r="AV1340" s="15"/>
      <c r="AW1340" s="12" t="str">
        <f>B1340&amp;C1340&amp;L1340&amp;M1340&amp;O1340&amp;U1340&amp;AL1340&amp;AM1340</f>
        <v>PalauNgmelis MPANaso lituratusunicornfishsize1.16897998708844Page2009</v>
      </c>
    </row>
    <row r="1341" spans="1:49" ht="14.25" customHeight="1" x14ac:dyDescent="0.35">
      <c r="A1341" s="12">
        <v>1340</v>
      </c>
      <c r="B1341" s="15" t="s">
        <v>66</v>
      </c>
      <c r="C1341" s="15" t="s">
        <v>2038</v>
      </c>
      <c r="D1341" s="15" t="s">
        <v>453</v>
      </c>
      <c r="E1341" s="15" t="s">
        <v>68</v>
      </c>
      <c r="F1341" s="16" t="s">
        <v>339</v>
      </c>
      <c r="G1341" s="16" t="s">
        <v>51</v>
      </c>
      <c r="H1341" s="16" t="s">
        <v>52</v>
      </c>
      <c r="I1341" s="16" t="s">
        <v>53</v>
      </c>
      <c r="J1341" s="17">
        <v>0.2</v>
      </c>
      <c r="K1341" s="17"/>
      <c r="L1341" s="17"/>
      <c r="M1341" s="17" t="s">
        <v>69</v>
      </c>
      <c r="N1341" s="14" t="s">
        <v>1070</v>
      </c>
      <c r="O1341" s="17" t="s">
        <v>55</v>
      </c>
      <c r="P1341" s="17"/>
      <c r="Q1341" s="17"/>
      <c r="R1341" s="17"/>
      <c r="S1341" s="17">
        <v>4.0327869999999999</v>
      </c>
      <c r="T1341" s="17">
        <v>8.0655739999999998</v>
      </c>
      <c r="U1341" s="20">
        <f t="shared" si="88"/>
        <v>2</v>
      </c>
      <c r="V1341" s="41">
        <f t="shared" si="91"/>
        <v>100</v>
      </c>
      <c r="W1341" s="17"/>
      <c r="X1341" s="17" t="s">
        <v>56</v>
      </c>
      <c r="Z1341" s="17" t="s">
        <v>56</v>
      </c>
      <c r="AA1341" s="17"/>
      <c r="AB1341" s="17" t="s">
        <v>57</v>
      </c>
      <c r="AC1341" s="17">
        <v>2016</v>
      </c>
      <c r="AD1341" s="17">
        <v>0</v>
      </c>
      <c r="AE1341" s="17"/>
      <c r="AF1341" s="17"/>
      <c r="AG1341" s="17">
        <v>2014</v>
      </c>
      <c r="AH1341" s="14">
        <f t="shared" si="89"/>
        <v>2</v>
      </c>
      <c r="AI1341" s="17">
        <f t="shared" si="90"/>
        <v>2</v>
      </c>
      <c r="AJ1341" s="17"/>
      <c r="AK1341" s="17" t="s">
        <v>56</v>
      </c>
      <c r="AL1341" s="16" t="s">
        <v>426</v>
      </c>
      <c r="AM1341" s="17">
        <v>2019</v>
      </c>
      <c r="AN1341" s="15" t="s">
        <v>332</v>
      </c>
      <c r="AO1341" s="15" t="s">
        <v>56</v>
      </c>
      <c r="AP1341" s="15"/>
      <c r="AQ1341" s="15" t="s">
        <v>56</v>
      </c>
      <c r="AR1341" s="15" t="s">
        <v>58</v>
      </c>
      <c r="AS1341" s="15" t="s">
        <v>62</v>
      </c>
      <c r="AT1341" s="15"/>
      <c r="AU1341" s="45" t="s">
        <v>550</v>
      </c>
      <c r="AV1341" s="15" t="s">
        <v>767</v>
      </c>
      <c r="AW1341" s="12" t="str">
        <f>B1341&amp;C1341&amp;L1341&amp;M1341&amp;O1341&amp;U1341&amp;AL1341&amp;AM1341</f>
        <v>AustraliaZenith Beachfishrichness2Ortodossi2019</v>
      </c>
    </row>
    <row r="1342" spans="1:49" ht="14.25" customHeight="1" x14ac:dyDescent="0.35">
      <c r="A1342" s="12">
        <v>1341</v>
      </c>
      <c r="B1342" s="15" t="s">
        <v>66</v>
      </c>
      <c r="C1342" s="15" t="s">
        <v>804</v>
      </c>
      <c r="D1342" s="50" t="s">
        <v>907</v>
      </c>
      <c r="E1342" s="15" t="s">
        <v>68</v>
      </c>
      <c r="F1342" s="16" t="s">
        <v>339</v>
      </c>
      <c r="G1342" s="16" t="s">
        <v>51</v>
      </c>
      <c r="H1342" s="16" t="s">
        <v>52</v>
      </c>
      <c r="I1342" s="13" t="s">
        <v>53</v>
      </c>
      <c r="J1342" s="17">
        <v>0.8</v>
      </c>
      <c r="K1342" s="17"/>
      <c r="L1342" s="17"/>
      <c r="M1342" s="17" t="s">
        <v>69</v>
      </c>
      <c r="N1342" s="14" t="s">
        <v>1070</v>
      </c>
      <c r="O1342" s="17" t="s">
        <v>55</v>
      </c>
      <c r="P1342" s="17"/>
      <c r="Q1342" s="17"/>
      <c r="R1342" s="17"/>
      <c r="S1342" s="17">
        <v>2</v>
      </c>
      <c r="T1342" s="17">
        <v>2.6153849999999998</v>
      </c>
      <c r="U1342" s="20">
        <f t="shared" si="88"/>
        <v>1.3076924999999999</v>
      </c>
      <c r="V1342" s="41">
        <f t="shared" si="91"/>
        <v>30.769249999999992</v>
      </c>
      <c r="W1342" s="17"/>
      <c r="X1342" s="17" t="s">
        <v>56</v>
      </c>
      <c r="Z1342" s="17" t="s">
        <v>56</v>
      </c>
      <c r="AA1342" s="17"/>
      <c r="AB1342" s="17" t="s">
        <v>57</v>
      </c>
      <c r="AC1342" s="17">
        <v>2016</v>
      </c>
      <c r="AD1342" s="17">
        <v>0</v>
      </c>
      <c r="AE1342" s="17"/>
      <c r="AF1342" s="17"/>
      <c r="AG1342" s="17">
        <v>2006</v>
      </c>
      <c r="AH1342" s="14">
        <f t="shared" si="89"/>
        <v>10</v>
      </c>
      <c r="AI1342" s="17">
        <f t="shared" si="90"/>
        <v>10</v>
      </c>
      <c r="AJ1342" s="17"/>
      <c r="AK1342" s="17" t="s">
        <v>56</v>
      </c>
      <c r="AL1342" s="16" t="s">
        <v>426</v>
      </c>
      <c r="AM1342" s="17">
        <v>2019</v>
      </c>
      <c r="AN1342" s="12" t="s">
        <v>332</v>
      </c>
      <c r="AO1342" s="15" t="s">
        <v>56</v>
      </c>
      <c r="AP1342" s="15"/>
      <c r="AQ1342" s="15" t="s">
        <v>56</v>
      </c>
      <c r="AR1342" s="15" t="s">
        <v>58</v>
      </c>
      <c r="AS1342" s="15" t="s">
        <v>62</v>
      </c>
      <c r="AT1342" s="15"/>
      <c r="AU1342" s="45" t="s">
        <v>550</v>
      </c>
      <c r="AV1342" s="15" t="s">
        <v>767</v>
      </c>
      <c r="AW1342" s="12" t="str">
        <f>B1342&amp;C1342&amp;L1342&amp;M1342&amp;O1342&amp;U1342&amp;AL1342&amp;AM1342</f>
        <v>AustraliaFraser Island Beachfishrichness1.3076925Ortodossi2019</v>
      </c>
    </row>
    <row r="1343" spans="1:49" ht="14.25" customHeight="1" x14ac:dyDescent="0.35">
      <c r="A1343" s="12">
        <v>1342</v>
      </c>
      <c r="B1343" s="15" t="s">
        <v>66</v>
      </c>
      <c r="C1343" s="43" t="s">
        <v>1434</v>
      </c>
      <c r="D1343" s="44" t="s">
        <v>1425</v>
      </c>
      <c r="E1343" s="15" t="s">
        <v>68</v>
      </c>
      <c r="F1343" s="16" t="s">
        <v>339</v>
      </c>
      <c r="G1343" s="16" t="s">
        <v>51</v>
      </c>
      <c r="H1343" s="16" t="s">
        <v>52</v>
      </c>
      <c r="I1343" s="16" t="s">
        <v>156</v>
      </c>
      <c r="J1343" s="17"/>
      <c r="K1343" s="17">
        <v>720</v>
      </c>
      <c r="L1343" s="17"/>
      <c r="M1343" s="17" t="s">
        <v>69</v>
      </c>
      <c r="N1343" s="14" t="s">
        <v>1070</v>
      </c>
      <c r="O1343" s="17" t="s">
        <v>55</v>
      </c>
      <c r="P1343" s="17"/>
      <c r="Q1343" s="17"/>
      <c r="R1343" s="17"/>
      <c r="S1343" s="17">
        <v>3.15</v>
      </c>
      <c r="T1343" s="17">
        <v>3.3</v>
      </c>
      <c r="U1343" s="19">
        <f t="shared" ref="U1343:U1406" si="92">IFERROR(IF(AND(Q1343="",R1343="",S1343="",T1343=""),"",IF(AND(Q1343&lt;&gt;"",R1343&lt;&gt;"",S1343&lt;&gt;"",T1343&lt;&gt;""),(T1343/R1343)/(S1343/Q1343),IF(AND(Q1343&lt;&gt;"",R1343&lt;&gt;""),R1343/Q1343,IF(AND(S1343&lt;&gt;"",T1343&lt;&gt;""),T1343/S1343,IF(AND(Q1343&lt;&gt;"",S1343&lt;&gt;""),Q1343/S1343,IF(AND(R1343&lt;&gt;"",T1343&lt;&gt;""),T1343/R1343)))))), "N/A")</f>
        <v>1.0476190476190477</v>
      </c>
      <c r="V1343" s="41">
        <f t="shared" si="91"/>
        <v>4.7619047619047672</v>
      </c>
      <c r="W1343" s="17"/>
      <c r="X1343" s="17" t="s">
        <v>58</v>
      </c>
      <c r="Y1343" s="14">
        <v>110</v>
      </c>
      <c r="Z1343" s="17" t="s">
        <v>56</v>
      </c>
      <c r="AA1343" s="17"/>
      <c r="AB1343" s="17" t="s">
        <v>57</v>
      </c>
      <c r="AC1343" s="17">
        <v>2016</v>
      </c>
      <c r="AD1343" s="17">
        <v>0</v>
      </c>
      <c r="AE1343" s="17"/>
      <c r="AF1343" s="17"/>
      <c r="AG1343" s="17">
        <v>2009</v>
      </c>
      <c r="AH1343" s="14">
        <f t="shared" si="89"/>
        <v>7</v>
      </c>
      <c r="AI1343" s="17">
        <f t="shared" si="90"/>
        <v>7</v>
      </c>
      <c r="AJ1343" s="17"/>
      <c r="AK1343" s="17" t="s">
        <v>56</v>
      </c>
      <c r="AL1343" s="16" t="s">
        <v>426</v>
      </c>
      <c r="AM1343" s="17">
        <v>2019</v>
      </c>
      <c r="AN1343" s="15" t="s">
        <v>332</v>
      </c>
      <c r="AO1343" s="15" t="s">
        <v>56</v>
      </c>
      <c r="AP1343" s="15"/>
      <c r="AQ1343" s="15" t="s">
        <v>56</v>
      </c>
      <c r="AR1343" s="15" t="s">
        <v>58</v>
      </c>
      <c r="AS1343" s="15" t="s">
        <v>62</v>
      </c>
      <c r="AT1343" s="12"/>
      <c r="AU1343" s="45" t="s">
        <v>550</v>
      </c>
      <c r="AV1343" s="15" t="s">
        <v>767</v>
      </c>
      <c r="AW1343" s="12" t="str">
        <f>B1343&amp;C1343&amp;L1343&amp;M1343&amp;O1343&amp;U1343&amp;AL1343&amp;AM1343</f>
        <v>AustraliaMoreton Bay Marine Park Networkfishrichness1.04761904761905Ortodossi2019</v>
      </c>
    </row>
    <row r="1344" spans="1:49" ht="14.25" customHeight="1" x14ac:dyDescent="0.35">
      <c r="A1344" s="12">
        <v>1343</v>
      </c>
      <c r="B1344" s="15" t="s">
        <v>66</v>
      </c>
      <c r="C1344" s="15" t="s">
        <v>424</v>
      </c>
      <c r="D1344" s="15" t="s">
        <v>425</v>
      </c>
      <c r="E1344" s="15" t="s">
        <v>68</v>
      </c>
      <c r="F1344" s="16" t="s">
        <v>339</v>
      </c>
      <c r="G1344" s="16" t="s">
        <v>51</v>
      </c>
      <c r="H1344" s="16" t="s">
        <v>52</v>
      </c>
      <c r="I1344" s="16" t="s">
        <v>53</v>
      </c>
      <c r="J1344" s="17">
        <v>161.5</v>
      </c>
      <c r="K1344" s="17"/>
      <c r="L1344" s="17"/>
      <c r="M1344" s="17" t="s">
        <v>69</v>
      </c>
      <c r="N1344" s="14" t="s">
        <v>1070</v>
      </c>
      <c r="O1344" s="17" t="s">
        <v>55</v>
      </c>
      <c r="P1344" s="17"/>
      <c r="Q1344" s="17"/>
      <c r="R1344" s="17"/>
      <c r="S1344" s="17">
        <v>3.45</v>
      </c>
      <c r="T1344" s="17">
        <v>5.85</v>
      </c>
      <c r="U1344" s="19">
        <f t="shared" si="92"/>
        <v>1.6956521739130432</v>
      </c>
      <c r="V1344" s="41">
        <f t="shared" si="91"/>
        <v>69.56521739130433</v>
      </c>
      <c r="W1344" s="17"/>
      <c r="X1344" s="17" t="s">
        <v>58</v>
      </c>
      <c r="Z1344" s="17" t="s">
        <v>56</v>
      </c>
      <c r="AA1344" s="17"/>
      <c r="AB1344" s="17" t="s">
        <v>57</v>
      </c>
      <c r="AC1344" s="17">
        <v>2016</v>
      </c>
      <c r="AD1344" s="17">
        <v>0</v>
      </c>
      <c r="AE1344" s="17"/>
      <c r="AF1344" s="17"/>
      <c r="AG1344" s="17">
        <v>2014</v>
      </c>
      <c r="AH1344" s="14">
        <f t="shared" ref="AH1344:AH1407" si="93">IF(OR(AG1344="NA",AC1344="NA"),"NA",IF(OR(AC1344="",AG1344=""), "", AC1344-AG1344))</f>
        <v>2</v>
      </c>
      <c r="AI1344" s="17">
        <f t="shared" ref="AI1344:AI1407" si="94">IF(AH1344="NA", "NA",IF(OR(AH1344="",AND(AD1344="",AE1344="")), "",AH1344+AD1344+AE1344/12))</f>
        <v>2</v>
      </c>
      <c r="AJ1344" s="17"/>
      <c r="AK1344" s="17" t="s">
        <v>56</v>
      </c>
      <c r="AL1344" s="16" t="s">
        <v>426</v>
      </c>
      <c r="AM1344" s="17">
        <v>2019</v>
      </c>
      <c r="AN1344" s="15" t="s">
        <v>332</v>
      </c>
      <c r="AO1344" s="15" t="s">
        <v>56</v>
      </c>
      <c r="AP1344" s="15"/>
      <c r="AQ1344" s="15" t="s">
        <v>56</v>
      </c>
      <c r="AR1344" s="15" t="s">
        <v>58</v>
      </c>
      <c r="AS1344" s="15" t="s">
        <v>62</v>
      </c>
      <c r="AT1344" s="12"/>
      <c r="AU1344" s="45" t="s">
        <v>427</v>
      </c>
      <c r="AV1344" s="15" t="s">
        <v>767</v>
      </c>
      <c r="AW1344" s="12" t="str">
        <f>B1344&amp;C1344&amp;L1344&amp;M1344&amp;O1344&amp;U1344&amp;AL1344&amp;AM1344</f>
        <v>AustraliaBatemans Marine Park Networkfishrichness1.69565217391304Ortodossi2019</v>
      </c>
    </row>
    <row r="1345" spans="1:49" ht="14.25" customHeight="1" x14ac:dyDescent="0.35">
      <c r="A1345" s="12">
        <v>1344</v>
      </c>
      <c r="B1345" s="15" t="s">
        <v>66</v>
      </c>
      <c r="C1345" s="43" t="s">
        <v>2769</v>
      </c>
      <c r="D1345" s="15" t="s">
        <v>1862</v>
      </c>
      <c r="E1345" s="15" t="s">
        <v>68</v>
      </c>
      <c r="F1345" s="16" t="s">
        <v>339</v>
      </c>
      <c r="G1345" s="16" t="s">
        <v>51</v>
      </c>
      <c r="H1345" s="16" t="s">
        <v>52</v>
      </c>
      <c r="I1345" s="16" t="s">
        <v>53</v>
      </c>
      <c r="J1345" s="17">
        <v>86</v>
      </c>
      <c r="K1345" s="17"/>
      <c r="L1345" s="17"/>
      <c r="M1345" s="17" t="s">
        <v>69</v>
      </c>
      <c r="N1345" s="14" t="s">
        <v>1070</v>
      </c>
      <c r="O1345" s="17" t="s">
        <v>55</v>
      </c>
      <c r="P1345" s="17"/>
      <c r="Q1345" s="17"/>
      <c r="R1345" s="17"/>
      <c r="S1345" s="17">
        <v>6.1538459999999997</v>
      </c>
      <c r="T1345" s="17">
        <v>5.2307689999999996</v>
      </c>
      <c r="U1345" s="20">
        <f t="shared" si="92"/>
        <v>0.84999998374999952</v>
      </c>
      <c r="V1345" s="41">
        <f t="shared" si="91"/>
        <v>-15.000001625000047</v>
      </c>
      <c r="W1345" s="17"/>
      <c r="X1345" s="17" t="s">
        <v>58</v>
      </c>
      <c r="Y1345" s="14">
        <v>80</v>
      </c>
      <c r="Z1345" s="17" t="s">
        <v>56</v>
      </c>
      <c r="AA1345" s="17"/>
      <c r="AB1345" s="17" t="s">
        <v>57</v>
      </c>
      <c r="AC1345" s="17">
        <v>2016</v>
      </c>
      <c r="AD1345" s="17">
        <v>0</v>
      </c>
      <c r="AE1345" s="17"/>
      <c r="AF1345" s="17"/>
      <c r="AG1345" s="17">
        <v>2014</v>
      </c>
      <c r="AH1345" s="14">
        <f t="shared" si="93"/>
        <v>2</v>
      </c>
      <c r="AI1345" s="17">
        <f t="shared" si="94"/>
        <v>2</v>
      </c>
      <c r="AJ1345" s="17"/>
      <c r="AK1345" s="17" t="s">
        <v>56</v>
      </c>
      <c r="AL1345" s="16" t="s">
        <v>426</v>
      </c>
      <c r="AM1345" s="17">
        <v>2019</v>
      </c>
      <c r="AN1345" s="15" t="s">
        <v>332</v>
      </c>
      <c r="AO1345" s="15" t="s">
        <v>56</v>
      </c>
      <c r="AP1345" s="15"/>
      <c r="AQ1345" s="15" t="s">
        <v>56</v>
      </c>
      <c r="AR1345" s="15" t="s">
        <v>58</v>
      </c>
      <c r="AS1345" s="15" t="s">
        <v>62</v>
      </c>
      <c r="AT1345" s="15"/>
      <c r="AU1345" s="45" t="s">
        <v>550</v>
      </c>
      <c r="AV1345" s="15" t="s">
        <v>767</v>
      </c>
      <c r="AW1345" s="12" t="str">
        <f>B1345&amp;C1345&amp;L1345&amp;M1345&amp;O1345&amp;U1345&amp;AL1345&amp;AM1345</f>
        <v>AustraliaSolitary Islands Marine Park fishrichness0.84999998375Ortodossi2019</v>
      </c>
    </row>
    <row r="1346" spans="1:49" ht="14.15" customHeight="1" x14ac:dyDescent="0.35">
      <c r="A1346" s="12">
        <v>1345</v>
      </c>
      <c r="B1346" s="15" t="s">
        <v>66</v>
      </c>
      <c r="C1346" s="15" t="s">
        <v>549</v>
      </c>
      <c r="D1346" s="15" t="s">
        <v>549</v>
      </c>
      <c r="E1346" s="15" t="s">
        <v>68</v>
      </c>
      <c r="F1346" s="16" t="s">
        <v>339</v>
      </c>
      <c r="G1346" s="16" t="s">
        <v>51</v>
      </c>
      <c r="H1346" s="16" t="s">
        <v>52</v>
      </c>
      <c r="I1346" s="16" t="s">
        <v>53</v>
      </c>
      <c r="J1346" s="17">
        <v>63.9</v>
      </c>
      <c r="K1346" s="17"/>
      <c r="L1346" s="17"/>
      <c r="M1346" s="17" t="s">
        <v>69</v>
      </c>
      <c r="N1346" s="14" t="s">
        <v>1070</v>
      </c>
      <c r="O1346" s="17" t="s">
        <v>55</v>
      </c>
      <c r="P1346" s="17"/>
      <c r="Q1346" s="17"/>
      <c r="R1346" s="17"/>
      <c r="S1346" s="17">
        <v>5.3023259999999999</v>
      </c>
      <c r="T1346" s="17">
        <v>5.3023259999999999</v>
      </c>
      <c r="U1346" s="20">
        <f t="shared" si="92"/>
        <v>1</v>
      </c>
      <c r="V1346" s="41">
        <f t="shared" ref="V1346:V1409" si="95">IFERROR(IF(U1346 = "", "",(U1346-1)*100),"N/A")</f>
        <v>0</v>
      </c>
      <c r="W1346" s="17"/>
      <c r="X1346" s="17" t="s">
        <v>56</v>
      </c>
      <c r="Z1346" s="17" t="s">
        <v>56</v>
      </c>
      <c r="AA1346" s="17"/>
      <c r="AB1346" s="17" t="s">
        <v>57</v>
      </c>
      <c r="AC1346" s="17">
        <v>2016</v>
      </c>
      <c r="AD1346" s="17">
        <v>0</v>
      </c>
      <c r="AE1346" s="17"/>
      <c r="AF1346" s="17"/>
      <c r="AG1346" s="17">
        <v>2014</v>
      </c>
      <c r="AH1346" s="14">
        <f t="shared" si="93"/>
        <v>2</v>
      </c>
      <c r="AI1346" s="17">
        <f t="shared" si="94"/>
        <v>2</v>
      </c>
      <c r="AJ1346" s="17"/>
      <c r="AK1346" s="17" t="s">
        <v>56</v>
      </c>
      <c r="AL1346" s="16" t="s">
        <v>426</v>
      </c>
      <c r="AM1346" s="17">
        <v>2019</v>
      </c>
      <c r="AN1346" s="15" t="s">
        <v>332</v>
      </c>
      <c r="AO1346" s="15" t="s">
        <v>56</v>
      </c>
      <c r="AP1346" s="15"/>
      <c r="AQ1346" s="15" t="s">
        <v>56</v>
      </c>
      <c r="AR1346" s="15" t="s">
        <v>58</v>
      </c>
      <c r="AS1346" s="15" t="s">
        <v>62</v>
      </c>
      <c r="AT1346" s="15"/>
      <c r="AU1346" s="45" t="s">
        <v>2563</v>
      </c>
      <c r="AV1346" s="15" t="s">
        <v>767</v>
      </c>
      <c r="AW1346" s="12" t="str">
        <f>B1346&amp;C1346&amp;L1346&amp;M1346&amp;O1346&amp;U1346&amp;AL1346&amp;AM1346</f>
        <v>AustraliaCape Byron Sancutuaryfishrichness1Ortodossi2019</v>
      </c>
    </row>
    <row r="1347" spans="1:49" ht="14.25" customHeight="1" x14ac:dyDescent="0.35">
      <c r="A1347" s="12">
        <v>1346</v>
      </c>
      <c r="B1347" s="15" t="s">
        <v>66</v>
      </c>
      <c r="C1347" s="15" t="s">
        <v>1080</v>
      </c>
      <c r="D1347" s="15" t="s">
        <v>660</v>
      </c>
      <c r="E1347" s="15" t="s">
        <v>68</v>
      </c>
      <c r="F1347" s="16" t="s">
        <v>339</v>
      </c>
      <c r="G1347" s="16" t="s">
        <v>51</v>
      </c>
      <c r="H1347" s="16" t="s">
        <v>52</v>
      </c>
      <c r="I1347" s="16" t="s">
        <v>53</v>
      </c>
      <c r="J1347" s="17">
        <v>2.2999999999999998</v>
      </c>
      <c r="K1347" s="17"/>
      <c r="L1347" s="17"/>
      <c r="M1347" s="17" t="s">
        <v>69</v>
      </c>
      <c r="N1347" s="14" t="s">
        <v>1070</v>
      </c>
      <c r="O1347" s="17" t="s">
        <v>55</v>
      </c>
      <c r="P1347" s="17"/>
      <c r="Q1347" s="17"/>
      <c r="R1347" s="17"/>
      <c r="S1347" s="17">
        <v>4.7692310000000004</v>
      </c>
      <c r="T1347" s="17">
        <v>3.8461539999999999</v>
      </c>
      <c r="U1347" s="20">
        <f t="shared" si="92"/>
        <v>0.80645160613943834</v>
      </c>
      <c r="V1347" s="41">
        <f t="shared" si="95"/>
        <v>-19.354839386056167</v>
      </c>
      <c r="W1347" s="17"/>
      <c r="X1347" s="17" t="s">
        <v>56</v>
      </c>
      <c r="Z1347" s="17" t="s">
        <v>56</v>
      </c>
      <c r="AA1347" s="17"/>
      <c r="AB1347" s="17" t="s">
        <v>57</v>
      </c>
      <c r="AC1347" s="17">
        <v>2016</v>
      </c>
      <c r="AD1347" s="17">
        <v>0</v>
      </c>
      <c r="AE1347" s="17"/>
      <c r="AF1347" s="17"/>
      <c r="AG1347" s="17">
        <v>2014</v>
      </c>
      <c r="AH1347" s="14">
        <f t="shared" si="93"/>
        <v>2</v>
      </c>
      <c r="AI1347" s="17">
        <f t="shared" si="94"/>
        <v>2</v>
      </c>
      <c r="AJ1347" s="17"/>
      <c r="AK1347" s="17" t="s">
        <v>56</v>
      </c>
      <c r="AL1347" s="16" t="s">
        <v>426</v>
      </c>
      <c r="AM1347" s="17">
        <v>2019</v>
      </c>
      <c r="AN1347" s="15" t="s">
        <v>332</v>
      </c>
      <c r="AO1347" s="15" t="s">
        <v>56</v>
      </c>
      <c r="AP1347" s="15"/>
      <c r="AQ1347" s="15" t="s">
        <v>56</v>
      </c>
      <c r="AR1347" s="15" t="s">
        <v>58</v>
      </c>
      <c r="AS1347" s="15" t="s">
        <v>62</v>
      </c>
      <c r="AT1347" s="15"/>
      <c r="AU1347" s="45" t="s">
        <v>550</v>
      </c>
      <c r="AV1347" s="15" t="s">
        <v>767</v>
      </c>
      <c r="AW1347" s="12" t="str">
        <f>B1347&amp;C1347&amp;L1347&amp;M1347&amp;O1347&amp;U1347&amp;AL1347&amp;AM1347</f>
        <v>AustraliaKinghorne Beachfishrichness0.806451606139438Ortodossi2019</v>
      </c>
    </row>
    <row r="1348" spans="1:49" ht="14.25" customHeight="1" x14ac:dyDescent="0.35">
      <c r="A1348" s="12">
        <v>1347</v>
      </c>
      <c r="B1348" s="15" t="s">
        <v>2672</v>
      </c>
      <c r="C1348" s="15" t="s">
        <v>1413</v>
      </c>
      <c r="D1348" s="15" t="s">
        <v>1419</v>
      </c>
      <c r="E1348" s="15" t="s">
        <v>68</v>
      </c>
      <c r="F1348" s="16" t="s">
        <v>50</v>
      </c>
      <c r="G1348" s="16" t="s">
        <v>51</v>
      </c>
      <c r="H1348" s="16" t="s">
        <v>108</v>
      </c>
      <c r="I1348" s="16" t="s">
        <v>156</v>
      </c>
      <c r="J1348" s="17">
        <v>81</v>
      </c>
      <c r="K1348" s="17"/>
      <c r="L1348" s="17" t="s">
        <v>778</v>
      </c>
      <c r="M1348" s="17"/>
      <c r="N1348" s="14" t="s">
        <v>85</v>
      </c>
      <c r="O1348" s="17" t="s">
        <v>104</v>
      </c>
      <c r="P1348" s="17" t="s">
        <v>1414</v>
      </c>
      <c r="Q1348" s="17"/>
      <c r="R1348" s="17"/>
      <c r="S1348" s="17">
        <v>13.856</v>
      </c>
      <c r="T1348" s="17">
        <v>25.454550000000001</v>
      </c>
      <c r="U1348" s="20">
        <f t="shared" si="92"/>
        <v>1.8370778002309469</v>
      </c>
      <c r="V1348" s="41">
        <f t="shared" si="95"/>
        <v>83.707780023094685</v>
      </c>
      <c r="W1348" s="17"/>
      <c r="X1348" s="17" t="s">
        <v>56</v>
      </c>
      <c r="Z1348" s="17" t="s">
        <v>58</v>
      </c>
      <c r="AA1348" s="17" t="s">
        <v>58</v>
      </c>
      <c r="AB1348" s="17" t="s">
        <v>57</v>
      </c>
      <c r="AC1348" s="17">
        <v>2005</v>
      </c>
      <c r="AD1348" s="17">
        <v>12</v>
      </c>
      <c r="AE1348" s="17"/>
      <c r="AF1348" s="17"/>
      <c r="AG1348" s="17">
        <v>2004</v>
      </c>
      <c r="AH1348" s="14">
        <f t="shared" si="93"/>
        <v>1</v>
      </c>
      <c r="AI1348" s="17">
        <f t="shared" si="94"/>
        <v>13</v>
      </c>
      <c r="AJ1348" s="17"/>
      <c r="AK1348" s="17" t="s">
        <v>56</v>
      </c>
      <c r="AL1348" s="16" t="s">
        <v>1415</v>
      </c>
      <c r="AM1348" s="17">
        <v>2019</v>
      </c>
      <c r="AN1348" s="15" t="s">
        <v>150</v>
      </c>
      <c r="AO1348" s="15" t="s">
        <v>56</v>
      </c>
      <c r="AP1348" s="15"/>
      <c r="AQ1348" s="15" t="s">
        <v>56</v>
      </c>
      <c r="AR1348" s="15" t="s">
        <v>58</v>
      </c>
      <c r="AS1348" s="15" t="s">
        <v>62</v>
      </c>
      <c r="AT1348" s="15"/>
      <c r="AU1348" s="45" t="s">
        <v>1416</v>
      </c>
      <c r="AV1348" s="15"/>
      <c r="AW1348" s="12" t="str">
        <f>B1348&amp;C1348&amp;L1348&amp;M1348&amp;O1348&amp;U1348&amp;AL1348&amp;AM1348</f>
        <v>Puerto Rico (US territory)Mona and Monito Island no-take zoneLutjanus apodussize1.83707780023095Olson2019</v>
      </c>
    </row>
    <row r="1349" spans="1:49" ht="14.25" customHeight="1" x14ac:dyDescent="0.35">
      <c r="A1349" s="12">
        <v>1348</v>
      </c>
      <c r="B1349" s="15" t="s">
        <v>2672</v>
      </c>
      <c r="C1349" s="15" t="s">
        <v>1413</v>
      </c>
      <c r="D1349" s="15" t="s">
        <v>1419</v>
      </c>
      <c r="E1349" s="15" t="s">
        <v>68</v>
      </c>
      <c r="F1349" s="16" t="s">
        <v>50</v>
      </c>
      <c r="G1349" s="16" t="s">
        <v>51</v>
      </c>
      <c r="H1349" s="16" t="s">
        <v>108</v>
      </c>
      <c r="I1349" s="16" t="s">
        <v>156</v>
      </c>
      <c r="J1349" s="17">
        <v>81</v>
      </c>
      <c r="K1349" s="17"/>
      <c r="L1349" s="17" t="s">
        <v>1417</v>
      </c>
      <c r="M1349" s="17"/>
      <c r="N1349" s="14" t="s">
        <v>85</v>
      </c>
      <c r="O1349" s="17" t="s">
        <v>104</v>
      </c>
      <c r="P1349" s="17" t="s">
        <v>1414</v>
      </c>
      <c r="Q1349" s="17"/>
      <c r="R1349" s="17"/>
      <c r="S1349" s="17">
        <v>16.429130000000001</v>
      </c>
      <c r="T1349" s="17">
        <v>14.494820000000001</v>
      </c>
      <c r="U1349" s="20">
        <f t="shared" si="92"/>
        <v>0.88226339434893997</v>
      </c>
      <c r="V1349" s="41">
        <f t="shared" si="95"/>
        <v>-11.773660565106002</v>
      </c>
      <c r="W1349" s="17"/>
      <c r="X1349" s="17" t="s">
        <v>56</v>
      </c>
      <c r="Z1349" s="17" t="s">
        <v>58</v>
      </c>
      <c r="AA1349" s="17" t="s">
        <v>58</v>
      </c>
      <c r="AB1349" s="17" t="s">
        <v>57</v>
      </c>
      <c r="AC1349" s="17">
        <v>2005</v>
      </c>
      <c r="AD1349" s="17">
        <v>12</v>
      </c>
      <c r="AE1349" s="17"/>
      <c r="AF1349" s="17"/>
      <c r="AG1349" s="17">
        <v>2004</v>
      </c>
      <c r="AH1349" s="14">
        <f t="shared" si="93"/>
        <v>1</v>
      </c>
      <c r="AI1349" s="17">
        <f t="shared" si="94"/>
        <v>13</v>
      </c>
      <c r="AJ1349" s="17"/>
      <c r="AK1349" s="17" t="s">
        <v>56</v>
      </c>
      <c r="AL1349" s="16" t="s">
        <v>1415</v>
      </c>
      <c r="AM1349" s="17">
        <v>2019</v>
      </c>
      <c r="AN1349" s="15" t="s">
        <v>150</v>
      </c>
      <c r="AO1349" s="15" t="s">
        <v>56</v>
      </c>
      <c r="AP1349" s="15"/>
      <c r="AQ1349" s="15" t="s">
        <v>56</v>
      </c>
      <c r="AR1349" s="15" t="s">
        <v>58</v>
      </c>
      <c r="AS1349" s="15" t="s">
        <v>62</v>
      </c>
      <c r="AT1349" s="15"/>
      <c r="AU1349" s="45" t="s">
        <v>1416</v>
      </c>
      <c r="AV1349" s="15"/>
      <c r="AW1349" s="12" t="str">
        <f>B1349&amp;C1349&amp;L1349&amp;M1349&amp;O1349&amp;U1349&amp;AL1349&amp;AM1349</f>
        <v>Puerto Rico (US territory)Mona and Monito Island no-take zoneCephalopholis fulvasize0.88226339434894Olson2019</v>
      </c>
    </row>
    <row r="1350" spans="1:49" ht="14.25" customHeight="1" x14ac:dyDescent="0.35">
      <c r="A1350" s="12">
        <v>1349</v>
      </c>
      <c r="B1350" s="15" t="s">
        <v>2672</v>
      </c>
      <c r="C1350" s="15" t="s">
        <v>1413</v>
      </c>
      <c r="D1350" s="15" t="s">
        <v>1419</v>
      </c>
      <c r="E1350" s="15" t="s">
        <v>68</v>
      </c>
      <c r="F1350" s="13" t="s">
        <v>50</v>
      </c>
      <c r="G1350" s="13" t="s">
        <v>51</v>
      </c>
      <c r="H1350" s="16" t="s">
        <v>108</v>
      </c>
      <c r="I1350" s="16" t="s">
        <v>156</v>
      </c>
      <c r="J1350" s="17">
        <v>81</v>
      </c>
      <c r="K1350" s="17"/>
      <c r="L1350" s="17" t="s">
        <v>1418</v>
      </c>
      <c r="M1350" s="17"/>
      <c r="N1350" s="14" t="s">
        <v>85</v>
      </c>
      <c r="O1350" s="17" t="s">
        <v>104</v>
      </c>
      <c r="P1350" s="17" t="s">
        <v>1414</v>
      </c>
      <c r="Q1350" s="17"/>
      <c r="R1350" s="17"/>
      <c r="S1350" s="17">
        <v>17.151160000000001</v>
      </c>
      <c r="T1350" s="17">
        <v>18.15476</v>
      </c>
      <c r="U1350" s="20">
        <f t="shared" si="92"/>
        <v>1.0585149925719308</v>
      </c>
      <c r="V1350" s="41">
        <f t="shared" si="95"/>
        <v>5.8514992571930824</v>
      </c>
      <c r="W1350" s="17"/>
      <c r="X1350" s="17" t="s">
        <v>56</v>
      </c>
      <c r="Z1350" s="17" t="s">
        <v>58</v>
      </c>
      <c r="AA1350" s="17" t="s">
        <v>58</v>
      </c>
      <c r="AB1350" s="17" t="s">
        <v>57</v>
      </c>
      <c r="AC1350" s="17">
        <v>2005</v>
      </c>
      <c r="AD1350" s="17">
        <v>12</v>
      </c>
      <c r="AE1350" s="17"/>
      <c r="AF1350" s="17"/>
      <c r="AG1350" s="17">
        <v>2004</v>
      </c>
      <c r="AH1350" s="14">
        <f t="shared" si="93"/>
        <v>1</v>
      </c>
      <c r="AI1350" s="17">
        <f t="shared" si="94"/>
        <v>13</v>
      </c>
      <c r="AJ1350" s="17"/>
      <c r="AK1350" s="17" t="s">
        <v>56</v>
      </c>
      <c r="AL1350" s="16" t="s">
        <v>1415</v>
      </c>
      <c r="AM1350" s="17">
        <v>2019</v>
      </c>
      <c r="AN1350" s="12" t="s">
        <v>150</v>
      </c>
      <c r="AO1350" s="15" t="s">
        <v>56</v>
      </c>
      <c r="AP1350" s="15"/>
      <c r="AQ1350" s="15" t="s">
        <v>56</v>
      </c>
      <c r="AR1350" s="15" t="s">
        <v>58</v>
      </c>
      <c r="AS1350" s="15" t="s">
        <v>62</v>
      </c>
      <c r="AT1350" s="15"/>
      <c r="AU1350" s="45" t="s">
        <v>1416</v>
      </c>
      <c r="AV1350" s="15"/>
      <c r="AW1350" s="12" t="str">
        <f>B1350&amp;C1350&amp;L1350&amp;M1350&amp;O1350&amp;U1350&amp;AL1350&amp;AM1350</f>
        <v>Puerto Rico (US territory)Mona and Monito Island no-take zoneLutjanus mahogonisize1.05851499257193Olson2019</v>
      </c>
    </row>
    <row r="1351" spans="1:49" ht="14.25" customHeight="1" x14ac:dyDescent="0.35">
      <c r="A1351" s="12">
        <v>1350</v>
      </c>
      <c r="B1351" s="15" t="s">
        <v>2714</v>
      </c>
      <c r="C1351" s="15" t="s">
        <v>1749</v>
      </c>
      <c r="D1351" s="15" t="s">
        <v>1750</v>
      </c>
      <c r="E1351" s="15" t="s">
        <v>68</v>
      </c>
      <c r="F1351" s="16" t="s">
        <v>50</v>
      </c>
      <c r="G1351" s="16" t="s">
        <v>51</v>
      </c>
      <c r="H1351" s="16" t="s">
        <v>108</v>
      </c>
      <c r="I1351" s="16" t="s">
        <v>156</v>
      </c>
      <c r="J1351" s="17">
        <v>4.3</v>
      </c>
      <c r="K1351" s="17"/>
      <c r="L1351" s="17"/>
      <c r="M1351" s="17" t="s">
        <v>1255</v>
      </c>
      <c r="N1351" s="14" t="s">
        <v>407</v>
      </c>
      <c r="O1351" s="17" t="s">
        <v>86</v>
      </c>
      <c r="P1351" s="17"/>
      <c r="Q1351" s="17"/>
      <c r="R1351" s="17"/>
      <c r="S1351" s="17">
        <v>102.5192</v>
      </c>
      <c r="T1351" s="17">
        <v>64.396479999999997</v>
      </c>
      <c r="U1351" s="20">
        <f t="shared" si="92"/>
        <v>0.62814067998969947</v>
      </c>
      <c r="V1351" s="41">
        <f t="shared" si="95"/>
        <v>-37.185932001030054</v>
      </c>
      <c r="W1351" s="17"/>
      <c r="X1351" s="17" t="s">
        <v>56</v>
      </c>
      <c r="Z1351" s="17" t="s">
        <v>56</v>
      </c>
      <c r="AA1351" s="17"/>
      <c r="AB1351" s="17" t="s">
        <v>57</v>
      </c>
      <c r="AC1351" s="17">
        <v>1991</v>
      </c>
      <c r="AD1351" s="17">
        <v>17</v>
      </c>
      <c r="AE1351" s="17"/>
      <c r="AF1351" s="17"/>
      <c r="AG1351" s="17">
        <v>1987</v>
      </c>
      <c r="AH1351" s="14">
        <f t="shared" si="93"/>
        <v>4</v>
      </c>
      <c r="AI1351" s="17">
        <f t="shared" si="94"/>
        <v>21</v>
      </c>
      <c r="AJ1351" s="17"/>
      <c r="AK1351" s="17" t="s">
        <v>58</v>
      </c>
      <c r="AL1351" s="16" t="s">
        <v>1751</v>
      </c>
      <c r="AM1351" s="17">
        <v>2013</v>
      </c>
      <c r="AN1351" s="12" t="s">
        <v>150</v>
      </c>
      <c r="AO1351" s="15" t="s">
        <v>56</v>
      </c>
      <c r="AP1351" s="15"/>
      <c r="AQ1351" s="15" t="s">
        <v>56</v>
      </c>
      <c r="AR1351" s="15" t="s">
        <v>58</v>
      </c>
      <c r="AS1351" s="15" t="s">
        <v>62</v>
      </c>
      <c r="AT1351" s="15"/>
      <c r="AU1351" s="45" t="s">
        <v>1752</v>
      </c>
      <c r="AV1351" s="15"/>
      <c r="AW1351" s="12" t="str">
        <f>B1351&amp;C1351&amp;L1351&amp;M1351&amp;O1351&amp;U1351&amp;AL1351&amp;AM1351</f>
        <v>Saba (Netherlands Territory)Saba Marine Park closed areaCarnivorous fishdensity0.628140679989699Noble2013</v>
      </c>
    </row>
    <row r="1352" spans="1:49" ht="14.25" customHeight="1" x14ac:dyDescent="0.35">
      <c r="A1352" s="12">
        <v>1351</v>
      </c>
      <c r="B1352" s="15" t="s">
        <v>2714</v>
      </c>
      <c r="C1352" s="15" t="s">
        <v>1749</v>
      </c>
      <c r="D1352" s="15" t="s">
        <v>1750</v>
      </c>
      <c r="E1352" s="15" t="s">
        <v>68</v>
      </c>
      <c r="F1352" s="16" t="s">
        <v>50</v>
      </c>
      <c r="G1352" s="16" t="s">
        <v>51</v>
      </c>
      <c r="H1352" s="16" t="s">
        <v>108</v>
      </c>
      <c r="I1352" s="16" t="s">
        <v>156</v>
      </c>
      <c r="J1352" s="17">
        <v>4.3</v>
      </c>
      <c r="K1352" s="17"/>
      <c r="L1352" s="17"/>
      <c r="M1352" s="17" t="s">
        <v>1255</v>
      </c>
      <c r="N1352" s="14" t="s">
        <v>407</v>
      </c>
      <c r="O1352" s="17" t="s">
        <v>70</v>
      </c>
      <c r="P1352" s="17"/>
      <c r="Q1352" s="17"/>
      <c r="R1352" s="17"/>
      <c r="S1352" s="17">
        <v>17.097259999999999</v>
      </c>
      <c r="T1352" s="17">
        <v>10.638299999999999</v>
      </c>
      <c r="U1352" s="20">
        <f t="shared" si="92"/>
        <v>0.62222250816797542</v>
      </c>
      <c r="V1352" s="41">
        <f t="shared" si="95"/>
        <v>-37.777749183202459</v>
      </c>
      <c r="W1352" s="17"/>
      <c r="X1352" s="17" t="s">
        <v>56</v>
      </c>
      <c r="Z1352" s="17" t="s">
        <v>56</v>
      </c>
      <c r="AA1352" s="17"/>
      <c r="AB1352" s="17" t="s">
        <v>57</v>
      </c>
      <c r="AC1352" s="17">
        <v>1991</v>
      </c>
      <c r="AD1352" s="17">
        <v>17</v>
      </c>
      <c r="AE1352" s="17"/>
      <c r="AF1352" s="17"/>
      <c r="AG1352" s="17">
        <v>1987</v>
      </c>
      <c r="AH1352" s="14">
        <f t="shared" si="93"/>
        <v>4</v>
      </c>
      <c r="AI1352" s="17">
        <f t="shared" si="94"/>
        <v>21</v>
      </c>
      <c r="AJ1352" s="17"/>
      <c r="AK1352" s="17" t="s">
        <v>58</v>
      </c>
      <c r="AL1352" s="16" t="s">
        <v>1751</v>
      </c>
      <c r="AM1352" s="17">
        <v>2013</v>
      </c>
      <c r="AN1352" s="15" t="s">
        <v>150</v>
      </c>
      <c r="AO1352" s="15" t="s">
        <v>56</v>
      </c>
      <c r="AP1352" s="15"/>
      <c r="AQ1352" s="15" t="s">
        <v>56</v>
      </c>
      <c r="AR1352" s="15" t="s">
        <v>58</v>
      </c>
      <c r="AS1352" s="15" t="s">
        <v>62</v>
      </c>
      <c r="AT1352" s="15"/>
      <c r="AU1352" s="45" t="s">
        <v>1752</v>
      </c>
      <c r="AV1352" s="15"/>
      <c r="AW1352" s="12" t="str">
        <f>B1352&amp;C1352&amp;L1352&amp;M1352&amp;O1352&amp;U1352&amp;AL1352&amp;AM1352</f>
        <v>Saba (Netherlands Territory)Saba Marine Park closed areaCarnivorous fishbiomassden0.622222508167975Noble2013</v>
      </c>
    </row>
    <row r="1353" spans="1:49" ht="14.25" customHeight="1" x14ac:dyDescent="0.35">
      <c r="A1353" s="12">
        <v>1352</v>
      </c>
      <c r="B1353" s="12" t="s">
        <v>2714</v>
      </c>
      <c r="C1353" s="15" t="s">
        <v>1749</v>
      </c>
      <c r="D1353" s="15" t="s">
        <v>1750</v>
      </c>
      <c r="E1353" s="12" t="s">
        <v>68</v>
      </c>
      <c r="F1353" s="13" t="s">
        <v>50</v>
      </c>
      <c r="G1353" s="13" t="s">
        <v>51</v>
      </c>
      <c r="H1353" s="13" t="s">
        <v>108</v>
      </c>
      <c r="I1353" s="13" t="s">
        <v>156</v>
      </c>
      <c r="J1353" s="14">
        <v>4.3</v>
      </c>
      <c r="K1353" s="17"/>
      <c r="L1353" s="14"/>
      <c r="M1353" s="14" t="s">
        <v>292</v>
      </c>
      <c r="N1353" s="14" t="s">
        <v>407</v>
      </c>
      <c r="O1353" s="17" t="s">
        <v>86</v>
      </c>
      <c r="P1353" s="14"/>
      <c r="Q1353" s="14"/>
      <c r="R1353" s="14"/>
      <c r="S1353" s="14">
        <v>191.9693</v>
      </c>
      <c r="T1353" s="14">
        <v>188.7698</v>
      </c>
      <c r="U1353" s="19">
        <f t="shared" si="92"/>
        <v>0.98333327255972702</v>
      </c>
      <c r="V1353" s="41">
        <f t="shared" si="95"/>
        <v>-1.6666727440272977</v>
      </c>
      <c r="W1353" s="14"/>
      <c r="X1353" s="14" t="s">
        <v>56</v>
      </c>
      <c r="Z1353" s="14" t="s">
        <v>56</v>
      </c>
      <c r="AA1353" s="14"/>
      <c r="AB1353" s="14" t="s">
        <v>57</v>
      </c>
      <c r="AC1353" s="14">
        <v>1991</v>
      </c>
      <c r="AD1353" s="14">
        <v>17</v>
      </c>
      <c r="AE1353" s="14"/>
      <c r="AF1353" s="14"/>
      <c r="AG1353" s="14">
        <v>1987</v>
      </c>
      <c r="AH1353" s="14">
        <f t="shared" si="93"/>
        <v>4</v>
      </c>
      <c r="AI1353" s="17">
        <f t="shared" si="94"/>
        <v>21</v>
      </c>
      <c r="AJ1353" s="14"/>
      <c r="AK1353" s="14" t="s">
        <v>58</v>
      </c>
      <c r="AL1353" s="13" t="s">
        <v>1751</v>
      </c>
      <c r="AM1353" s="14">
        <v>2013</v>
      </c>
      <c r="AN1353" s="12" t="s">
        <v>150</v>
      </c>
      <c r="AO1353" s="12" t="s">
        <v>56</v>
      </c>
      <c r="AP1353" s="12"/>
      <c r="AQ1353" s="12" t="s">
        <v>56</v>
      </c>
      <c r="AR1353" s="12" t="s">
        <v>58</v>
      </c>
      <c r="AS1353" s="12" t="s">
        <v>62</v>
      </c>
      <c r="AT1353" s="12"/>
      <c r="AU1353" s="45" t="s">
        <v>1752</v>
      </c>
      <c r="AV1353" s="15"/>
      <c r="AW1353" s="12" t="str">
        <f>B1353&amp;C1353&amp;L1353&amp;M1353&amp;O1353&amp;U1353&amp;AL1353&amp;AM1353</f>
        <v>Saba (Netherlands Territory)Saba Marine Park closed areaHerbivorous fishdensity0.983333272559727Noble2013</v>
      </c>
    </row>
    <row r="1354" spans="1:49" ht="14.25" customHeight="1" x14ac:dyDescent="0.35">
      <c r="A1354" s="12">
        <v>1353</v>
      </c>
      <c r="B1354" s="12" t="s">
        <v>2714</v>
      </c>
      <c r="C1354" s="15" t="s">
        <v>1749</v>
      </c>
      <c r="D1354" s="15" t="s">
        <v>1750</v>
      </c>
      <c r="E1354" s="12" t="s">
        <v>68</v>
      </c>
      <c r="F1354" s="13" t="s">
        <v>50</v>
      </c>
      <c r="G1354" s="13" t="s">
        <v>51</v>
      </c>
      <c r="H1354" s="13" t="s">
        <v>108</v>
      </c>
      <c r="I1354" s="13" t="s">
        <v>156</v>
      </c>
      <c r="J1354" s="14">
        <v>4.3</v>
      </c>
      <c r="K1354" s="17"/>
      <c r="L1354" s="17"/>
      <c r="M1354" s="14" t="s">
        <v>292</v>
      </c>
      <c r="N1354" s="14" t="s">
        <v>407</v>
      </c>
      <c r="O1354" s="17" t="s">
        <v>70</v>
      </c>
      <c r="P1354" s="14"/>
      <c r="Q1354" s="14"/>
      <c r="R1354" s="14"/>
      <c r="S1354" s="14">
        <v>22.22644</v>
      </c>
      <c r="T1354" s="14">
        <v>24.126139999999999</v>
      </c>
      <c r="U1354" s="19">
        <f t="shared" si="92"/>
        <v>1.0854702777412846</v>
      </c>
      <c r="V1354" s="41">
        <f t="shared" si="95"/>
        <v>8.5470277741284573</v>
      </c>
      <c r="W1354" s="14"/>
      <c r="X1354" s="14" t="s">
        <v>56</v>
      </c>
      <c r="Z1354" s="14" t="s">
        <v>56</v>
      </c>
      <c r="AA1354" s="14"/>
      <c r="AB1354" s="14" t="s">
        <v>57</v>
      </c>
      <c r="AC1354" s="14">
        <v>1991</v>
      </c>
      <c r="AD1354" s="14">
        <v>17</v>
      </c>
      <c r="AE1354" s="14"/>
      <c r="AF1354" s="14"/>
      <c r="AG1354" s="14">
        <v>1987</v>
      </c>
      <c r="AH1354" s="14">
        <f t="shared" si="93"/>
        <v>4</v>
      </c>
      <c r="AI1354" s="17">
        <f t="shared" si="94"/>
        <v>21</v>
      </c>
      <c r="AJ1354" s="14"/>
      <c r="AK1354" s="14" t="s">
        <v>58</v>
      </c>
      <c r="AL1354" s="13" t="s">
        <v>1751</v>
      </c>
      <c r="AM1354" s="14">
        <v>2013</v>
      </c>
      <c r="AN1354" s="12" t="s">
        <v>150</v>
      </c>
      <c r="AO1354" s="12" t="s">
        <v>56</v>
      </c>
      <c r="AP1354" s="12"/>
      <c r="AQ1354" s="12" t="s">
        <v>56</v>
      </c>
      <c r="AR1354" s="12" t="s">
        <v>58</v>
      </c>
      <c r="AS1354" s="12" t="s">
        <v>62</v>
      </c>
      <c r="AT1354" s="12"/>
      <c r="AU1354" s="45" t="s">
        <v>1752</v>
      </c>
      <c r="AV1354" s="15"/>
      <c r="AW1354" s="12" t="str">
        <f>B1354&amp;C1354&amp;L1354&amp;M1354&amp;O1354&amp;U1354&amp;AL1354&amp;AM1354</f>
        <v>Saba (Netherlands Territory)Saba Marine Park closed areaHerbivorous fishbiomassden1.08547027774128Noble2013</v>
      </c>
    </row>
    <row r="1355" spans="1:49" ht="14.25" customHeight="1" x14ac:dyDescent="0.35">
      <c r="A1355" s="12">
        <v>1354</v>
      </c>
      <c r="B1355" s="12" t="s">
        <v>2714</v>
      </c>
      <c r="C1355" s="15" t="s">
        <v>1749</v>
      </c>
      <c r="D1355" s="15" t="s">
        <v>1750</v>
      </c>
      <c r="E1355" s="12" t="s">
        <v>68</v>
      </c>
      <c r="F1355" s="13" t="s">
        <v>50</v>
      </c>
      <c r="G1355" s="13" t="s">
        <v>51</v>
      </c>
      <c r="H1355" s="13" t="s">
        <v>108</v>
      </c>
      <c r="I1355" s="13" t="s">
        <v>156</v>
      </c>
      <c r="J1355" s="14">
        <v>4.3</v>
      </c>
      <c r="K1355" s="17"/>
      <c r="L1355" s="14" t="s">
        <v>185</v>
      </c>
      <c r="M1355" s="14" t="s">
        <v>186</v>
      </c>
      <c r="N1355" s="17" t="s">
        <v>288</v>
      </c>
      <c r="O1355" s="14" t="s">
        <v>101</v>
      </c>
      <c r="P1355" s="14"/>
      <c r="Q1355" s="14"/>
      <c r="R1355" s="14"/>
      <c r="S1355" s="14">
        <v>7.8787880000000001</v>
      </c>
      <c r="T1355" s="14">
        <v>15.606059999999999</v>
      </c>
      <c r="U1355" s="19">
        <f t="shared" si="92"/>
        <v>1.9807691233727827</v>
      </c>
      <c r="V1355" s="41">
        <f t="shared" si="95"/>
        <v>98.076912337278259</v>
      </c>
      <c r="W1355" s="14"/>
      <c r="X1355" s="14" t="s">
        <v>56</v>
      </c>
      <c r="Z1355" s="14" t="s">
        <v>56</v>
      </c>
      <c r="AA1355" s="14"/>
      <c r="AB1355" s="14" t="s">
        <v>57</v>
      </c>
      <c r="AC1355" s="14">
        <v>1991</v>
      </c>
      <c r="AD1355" s="14">
        <v>17</v>
      </c>
      <c r="AE1355" s="14"/>
      <c r="AF1355" s="14"/>
      <c r="AG1355" s="14">
        <v>1987</v>
      </c>
      <c r="AH1355" s="14">
        <f t="shared" si="93"/>
        <v>4</v>
      </c>
      <c r="AI1355" s="17">
        <f t="shared" si="94"/>
        <v>21</v>
      </c>
      <c r="AJ1355" s="14"/>
      <c r="AK1355" s="14" t="s">
        <v>58</v>
      </c>
      <c r="AL1355" s="13" t="s">
        <v>1751</v>
      </c>
      <c r="AM1355" s="14">
        <v>2013</v>
      </c>
      <c r="AN1355" s="12" t="s">
        <v>150</v>
      </c>
      <c r="AO1355" s="12" t="s">
        <v>56</v>
      </c>
      <c r="AP1355" s="12"/>
      <c r="AQ1355" s="12" t="s">
        <v>56</v>
      </c>
      <c r="AR1355" s="12" t="s">
        <v>58</v>
      </c>
      <c r="AS1355" s="12" t="s">
        <v>62</v>
      </c>
      <c r="AT1355" s="12"/>
      <c r="AU1355" s="45" t="s">
        <v>1752</v>
      </c>
      <c r="AV1355" s="15"/>
      <c r="AW1355" s="12" t="str">
        <f>B1355&amp;C1355&amp;L1355&amp;M1355&amp;O1355&amp;U1355&amp;AL1355&amp;AM1355</f>
        <v>Saba (Netherlands Territory)Saba Marine Park closed areaScleractiniahard coralcover1.98076912337278Noble2013</v>
      </c>
    </row>
    <row r="1356" spans="1:49" ht="14.25" customHeight="1" x14ac:dyDescent="0.35">
      <c r="A1356" s="12">
        <v>1355</v>
      </c>
      <c r="B1356" s="15" t="s">
        <v>2714</v>
      </c>
      <c r="C1356" s="15" t="s">
        <v>1749</v>
      </c>
      <c r="D1356" s="15" t="s">
        <v>1750</v>
      </c>
      <c r="E1356" s="15" t="s">
        <v>68</v>
      </c>
      <c r="F1356" s="16" t="s">
        <v>50</v>
      </c>
      <c r="G1356" s="16" t="s">
        <v>51</v>
      </c>
      <c r="H1356" s="16" t="s">
        <v>108</v>
      </c>
      <c r="I1356" s="16" t="s">
        <v>156</v>
      </c>
      <c r="J1356" s="17">
        <v>4.3</v>
      </c>
      <c r="K1356" s="17"/>
      <c r="L1356" s="17"/>
      <c r="M1356" s="17" t="s">
        <v>69</v>
      </c>
      <c r="N1356" s="42" t="s">
        <v>98</v>
      </c>
      <c r="O1356" s="17" t="s">
        <v>55</v>
      </c>
      <c r="P1356" s="17"/>
      <c r="Q1356" s="17"/>
      <c r="R1356" s="17"/>
      <c r="S1356" s="17">
        <v>10.30303</v>
      </c>
      <c r="T1356" s="17">
        <v>9.8484850000000002</v>
      </c>
      <c r="U1356" s="20">
        <f t="shared" si="92"/>
        <v>0.95588239576124701</v>
      </c>
      <c r="V1356" s="41">
        <f t="shared" si="95"/>
        <v>-4.4117604238752994</v>
      </c>
      <c r="W1356" s="17"/>
      <c r="X1356" s="17" t="s">
        <v>56</v>
      </c>
      <c r="Z1356" s="17" t="s">
        <v>56</v>
      </c>
      <c r="AA1356" s="17"/>
      <c r="AB1356" s="17" t="s">
        <v>57</v>
      </c>
      <c r="AC1356" s="17">
        <v>1991</v>
      </c>
      <c r="AD1356" s="17">
        <v>17</v>
      </c>
      <c r="AE1356" s="17"/>
      <c r="AF1356" s="17"/>
      <c r="AG1356" s="17">
        <v>1987</v>
      </c>
      <c r="AH1356" s="14">
        <f t="shared" si="93"/>
        <v>4</v>
      </c>
      <c r="AI1356" s="17">
        <f t="shared" si="94"/>
        <v>21</v>
      </c>
      <c r="AJ1356" s="17"/>
      <c r="AK1356" s="17" t="s">
        <v>58</v>
      </c>
      <c r="AL1356" s="16" t="s">
        <v>1751</v>
      </c>
      <c r="AM1356" s="17">
        <v>2013</v>
      </c>
      <c r="AN1356" s="15" t="s">
        <v>150</v>
      </c>
      <c r="AO1356" s="15" t="s">
        <v>56</v>
      </c>
      <c r="AP1356" s="15"/>
      <c r="AQ1356" s="15" t="s">
        <v>56</v>
      </c>
      <c r="AR1356" s="15" t="s">
        <v>58</v>
      </c>
      <c r="AS1356" s="15" t="s">
        <v>62</v>
      </c>
      <c r="AT1356" s="15"/>
      <c r="AU1356" s="45" t="s">
        <v>1752</v>
      </c>
      <c r="AV1356" s="15"/>
      <c r="AW1356" s="12" t="str">
        <f>B1356&amp;C1356&amp;L1356&amp;M1356&amp;O1356&amp;U1356&amp;AL1356&amp;AM1356</f>
        <v>Saba (Netherlands Territory)Saba Marine Park closed areafishrichness0.955882395761247Noble2013</v>
      </c>
    </row>
    <row r="1357" spans="1:49" ht="14.25" customHeight="1" x14ac:dyDescent="0.35">
      <c r="A1357" s="12">
        <v>1356</v>
      </c>
      <c r="B1357" s="15" t="s">
        <v>2714</v>
      </c>
      <c r="C1357" s="15" t="s">
        <v>1749</v>
      </c>
      <c r="D1357" s="15" t="s">
        <v>1750</v>
      </c>
      <c r="E1357" s="15" t="s">
        <v>68</v>
      </c>
      <c r="F1357" s="16" t="s">
        <v>50</v>
      </c>
      <c r="G1357" s="16" t="s">
        <v>51</v>
      </c>
      <c r="H1357" s="16" t="s">
        <v>108</v>
      </c>
      <c r="I1357" s="16" t="s">
        <v>156</v>
      </c>
      <c r="J1357" s="17">
        <v>4.3</v>
      </c>
      <c r="K1357" s="17"/>
      <c r="L1357" s="17" t="s">
        <v>998</v>
      </c>
      <c r="M1357" s="17" t="s">
        <v>1754</v>
      </c>
      <c r="N1357" s="14" t="s">
        <v>85</v>
      </c>
      <c r="O1357" s="17" t="s">
        <v>70</v>
      </c>
      <c r="P1357" s="17"/>
      <c r="Q1357" s="17"/>
      <c r="R1357" s="17"/>
      <c r="S1357" s="17">
        <v>0.40368500000000002</v>
      </c>
      <c r="T1357" s="17">
        <v>0.73613200000000001</v>
      </c>
      <c r="U1357" s="20">
        <f t="shared" si="92"/>
        <v>1.8235307232124056</v>
      </c>
      <c r="V1357" s="41">
        <f t="shared" si="95"/>
        <v>82.35307232124056</v>
      </c>
      <c r="W1357" s="17"/>
      <c r="X1357" s="17" t="s">
        <v>56</v>
      </c>
      <c r="Z1357" s="17" t="s">
        <v>56</v>
      </c>
      <c r="AA1357" s="17"/>
      <c r="AB1357" s="17" t="s">
        <v>57</v>
      </c>
      <c r="AC1357" s="17">
        <v>2008</v>
      </c>
      <c r="AD1357" s="17">
        <v>1</v>
      </c>
      <c r="AE1357" s="17"/>
      <c r="AF1357" s="17"/>
      <c r="AG1357" s="17">
        <v>1987</v>
      </c>
      <c r="AH1357" s="14">
        <f t="shared" si="93"/>
        <v>21</v>
      </c>
      <c r="AI1357" s="17">
        <f t="shared" si="94"/>
        <v>22</v>
      </c>
      <c r="AJ1357" s="17"/>
      <c r="AK1357" s="17" t="s">
        <v>58</v>
      </c>
      <c r="AL1357" s="16" t="s">
        <v>1751</v>
      </c>
      <c r="AM1357" s="17">
        <v>2013</v>
      </c>
      <c r="AN1357" s="12" t="s">
        <v>150</v>
      </c>
      <c r="AO1357" s="15" t="s">
        <v>56</v>
      </c>
      <c r="AP1357" s="15"/>
      <c r="AQ1357" s="15" t="s">
        <v>56</v>
      </c>
      <c r="AR1357" s="15" t="s">
        <v>58</v>
      </c>
      <c r="AS1357" s="15" t="s">
        <v>62</v>
      </c>
      <c r="AT1357" s="15"/>
      <c r="AU1357" s="45" t="s">
        <v>1752</v>
      </c>
      <c r="AV1357" s="15"/>
      <c r="AW1357" s="12" t="str">
        <f>B1357&amp;C1357&amp;L1357&amp;M1357&amp;O1357&amp;U1357&amp;AL1357&amp;AM1357</f>
        <v>Saba (Netherlands Territory)Saba Marine Park closed areaAcanthurus chirurgusblack doctorfishbiomassden1.82353072321241Noble2013</v>
      </c>
    </row>
    <row r="1358" spans="1:49" ht="14.25" customHeight="1" x14ac:dyDescent="0.35">
      <c r="A1358" s="12">
        <v>1357</v>
      </c>
      <c r="B1358" s="15" t="s">
        <v>2714</v>
      </c>
      <c r="C1358" s="15" t="s">
        <v>1749</v>
      </c>
      <c r="D1358" s="15" t="s">
        <v>1750</v>
      </c>
      <c r="E1358" s="15" t="s">
        <v>68</v>
      </c>
      <c r="F1358" s="16" t="s">
        <v>50</v>
      </c>
      <c r="G1358" s="16" t="s">
        <v>51</v>
      </c>
      <c r="H1358" s="16" t="s">
        <v>108</v>
      </c>
      <c r="I1358" s="16" t="s">
        <v>156</v>
      </c>
      <c r="J1358" s="17">
        <v>4.3</v>
      </c>
      <c r="K1358" s="17"/>
      <c r="L1358" s="17" t="s">
        <v>917</v>
      </c>
      <c r="M1358" s="17" t="s">
        <v>1755</v>
      </c>
      <c r="N1358" s="14" t="s">
        <v>85</v>
      </c>
      <c r="O1358" s="17" t="s">
        <v>70</v>
      </c>
      <c r="P1358" s="17"/>
      <c r="Q1358" s="17"/>
      <c r="R1358" s="17"/>
      <c r="S1358" s="17">
        <v>1.3026439999999999</v>
      </c>
      <c r="T1358" s="17">
        <v>3.9320689999999998</v>
      </c>
      <c r="U1358" s="20">
        <f t="shared" si="92"/>
        <v>3.0185292374585844</v>
      </c>
      <c r="V1358" s="41">
        <f t="shared" si="95"/>
        <v>201.85292374585845</v>
      </c>
      <c r="W1358" s="17"/>
      <c r="X1358" s="17" t="s">
        <v>56</v>
      </c>
      <c r="Z1358" s="17" t="s">
        <v>56</v>
      </c>
      <c r="AA1358" s="17"/>
      <c r="AB1358" s="17" t="s">
        <v>57</v>
      </c>
      <c r="AC1358" s="17">
        <v>2008</v>
      </c>
      <c r="AD1358" s="17">
        <v>1</v>
      </c>
      <c r="AE1358" s="17"/>
      <c r="AF1358" s="17"/>
      <c r="AG1358" s="17">
        <v>1987</v>
      </c>
      <c r="AH1358" s="14">
        <f t="shared" si="93"/>
        <v>21</v>
      </c>
      <c r="AI1358" s="17">
        <f t="shared" si="94"/>
        <v>22</v>
      </c>
      <c r="AJ1358" s="17"/>
      <c r="AK1358" s="17" t="s">
        <v>58</v>
      </c>
      <c r="AL1358" s="16" t="s">
        <v>1751</v>
      </c>
      <c r="AM1358" s="17">
        <v>2013</v>
      </c>
      <c r="AN1358" s="12" t="s">
        <v>150</v>
      </c>
      <c r="AO1358" s="15" t="s">
        <v>56</v>
      </c>
      <c r="AP1358" s="15"/>
      <c r="AQ1358" s="15" t="s">
        <v>56</v>
      </c>
      <c r="AR1358" s="15" t="s">
        <v>58</v>
      </c>
      <c r="AS1358" s="15" t="s">
        <v>62</v>
      </c>
      <c r="AT1358" s="15"/>
      <c r="AU1358" s="45" t="s">
        <v>1752</v>
      </c>
      <c r="AV1358" s="15"/>
      <c r="AW1358" s="12" t="str">
        <f>B1358&amp;C1358&amp;L1358&amp;M1358&amp;O1358&amp;U1358&amp;AL1358&amp;AM1358</f>
        <v>Saba (Netherlands Territory)Saba Marine Park closed areaSparisoma viridestoplight parrotfishbiomassden3.01852923745858Noble2013</v>
      </c>
    </row>
    <row r="1359" spans="1:49" ht="14.25" customHeight="1" x14ac:dyDescent="0.35">
      <c r="A1359" s="12">
        <v>1358</v>
      </c>
      <c r="B1359" s="12" t="s">
        <v>2714</v>
      </c>
      <c r="C1359" s="15" t="s">
        <v>1749</v>
      </c>
      <c r="D1359" s="15" t="s">
        <v>1750</v>
      </c>
      <c r="E1359" s="12" t="s">
        <v>68</v>
      </c>
      <c r="F1359" s="16" t="s">
        <v>50</v>
      </c>
      <c r="G1359" s="16" t="s">
        <v>51</v>
      </c>
      <c r="H1359" s="13" t="s">
        <v>108</v>
      </c>
      <c r="I1359" s="13" t="s">
        <v>156</v>
      </c>
      <c r="J1359" s="14">
        <v>4.3</v>
      </c>
      <c r="K1359" s="17"/>
      <c r="L1359" s="14" t="s">
        <v>920</v>
      </c>
      <c r="M1359" s="14" t="s">
        <v>1756</v>
      </c>
      <c r="N1359" s="14" t="s">
        <v>85</v>
      </c>
      <c r="O1359" s="17" t="s">
        <v>70</v>
      </c>
      <c r="P1359" s="14"/>
      <c r="Q1359" s="14"/>
      <c r="R1359" s="14"/>
      <c r="S1359" s="14">
        <v>3.1359759999999999</v>
      </c>
      <c r="T1359" s="14">
        <v>3.039514</v>
      </c>
      <c r="U1359" s="19">
        <f t="shared" si="92"/>
        <v>0.9692401982668235</v>
      </c>
      <c r="V1359" s="41">
        <f t="shared" si="95"/>
        <v>-3.0759801733176495</v>
      </c>
      <c r="W1359" s="14"/>
      <c r="X1359" s="14" t="s">
        <v>56</v>
      </c>
      <c r="Z1359" s="14" t="s">
        <v>56</v>
      </c>
      <c r="AA1359" s="14"/>
      <c r="AB1359" s="14" t="s">
        <v>57</v>
      </c>
      <c r="AC1359" s="14">
        <v>2008</v>
      </c>
      <c r="AD1359" s="14">
        <v>1</v>
      </c>
      <c r="AE1359" s="14"/>
      <c r="AF1359" s="14"/>
      <c r="AG1359" s="14">
        <v>1987</v>
      </c>
      <c r="AH1359" s="14">
        <f t="shared" si="93"/>
        <v>21</v>
      </c>
      <c r="AI1359" s="17">
        <f t="shared" si="94"/>
        <v>22</v>
      </c>
      <c r="AJ1359" s="14"/>
      <c r="AK1359" s="14" t="s">
        <v>58</v>
      </c>
      <c r="AL1359" s="13" t="s">
        <v>1751</v>
      </c>
      <c r="AM1359" s="14">
        <v>2013</v>
      </c>
      <c r="AN1359" s="12" t="s">
        <v>150</v>
      </c>
      <c r="AO1359" s="12" t="s">
        <v>56</v>
      </c>
      <c r="AP1359" s="12"/>
      <c r="AQ1359" s="12" t="s">
        <v>56</v>
      </c>
      <c r="AR1359" s="12" t="s">
        <v>58</v>
      </c>
      <c r="AS1359" s="12" t="s">
        <v>62</v>
      </c>
      <c r="AT1359" s="12"/>
      <c r="AU1359" s="45" t="s">
        <v>1752</v>
      </c>
      <c r="AV1359" s="15"/>
      <c r="AW1359" s="12" t="str">
        <f>B1359&amp;C1359&amp;L1359&amp;M1359&amp;O1359&amp;U1359&amp;AL1359&amp;AM1359</f>
        <v>Saba (Netherlands Territory)Saba Marine Park closed areaSparisoma aurofrenatumredband parrotfishbiomassden0.969240198266824Noble2013</v>
      </c>
    </row>
    <row r="1360" spans="1:49" ht="14.25" customHeight="1" x14ac:dyDescent="0.35">
      <c r="A1360" s="12">
        <v>1359</v>
      </c>
      <c r="B1360" s="15" t="s">
        <v>2714</v>
      </c>
      <c r="C1360" s="15" t="s">
        <v>1749</v>
      </c>
      <c r="D1360" s="15" t="s">
        <v>1750</v>
      </c>
      <c r="E1360" s="15" t="s">
        <v>68</v>
      </c>
      <c r="F1360" s="16" t="s">
        <v>50</v>
      </c>
      <c r="G1360" s="16" t="s">
        <v>51</v>
      </c>
      <c r="H1360" s="16" t="s">
        <v>108</v>
      </c>
      <c r="I1360" s="16" t="s">
        <v>156</v>
      </c>
      <c r="J1360" s="17">
        <v>4.3</v>
      </c>
      <c r="K1360" s="17"/>
      <c r="L1360" s="17" t="s">
        <v>1757</v>
      </c>
      <c r="M1360" s="17" t="s">
        <v>1758</v>
      </c>
      <c r="N1360" s="14" t="s">
        <v>85</v>
      </c>
      <c r="O1360" s="17" t="s">
        <v>70</v>
      </c>
      <c r="P1360" s="17"/>
      <c r="Q1360" s="17"/>
      <c r="R1360" s="17"/>
      <c r="S1360" s="17">
        <v>1.1921029999999999</v>
      </c>
      <c r="T1360" s="17">
        <v>0.83656299999999995</v>
      </c>
      <c r="U1360" s="20">
        <f t="shared" si="92"/>
        <v>0.70175395917970174</v>
      </c>
      <c r="V1360" s="41">
        <f t="shared" si="95"/>
        <v>-29.824604082029825</v>
      </c>
      <c r="W1360" s="17"/>
      <c r="X1360" s="17" t="s">
        <v>56</v>
      </c>
      <c r="Z1360" s="17" t="s">
        <v>56</v>
      </c>
      <c r="AA1360" s="17"/>
      <c r="AB1360" s="17" t="s">
        <v>57</v>
      </c>
      <c r="AC1360" s="17">
        <v>2008</v>
      </c>
      <c r="AD1360" s="17">
        <v>1</v>
      </c>
      <c r="AE1360" s="17"/>
      <c r="AF1360" s="17"/>
      <c r="AG1360" s="17">
        <v>1987</v>
      </c>
      <c r="AH1360" s="14">
        <f t="shared" si="93"/>
        <v>21</v>
      </c>
      <c r="AI1360" s="17">
        <f t="shared" si="94"/>
        <v>22</v>
      </c>
      <c r="AJ1360" s="17"/>
      <c r="AK1360" s="17" t="s">
        <v>58</v>
      </c>
      <c r="AL1360" s="16" t="s">
        <v>1751</v>
      </c>
      <c r="AM1360" s="17">
        <v>2013</v>
      </c>
      <c r="AN1360" s="12" t="s">
        <v>150</v>
      </c>
      <c r="AO1360" s="15" t="s">
        <v>56</v>
      </c>
      <c r="AP1360" s="15"/>
      <c r="AQ1360" s="15" t="s">
        <v>56</v>
      </c>
      <c r="AR1360" s="15" t="s">
        <v>58</v>
      </c>
      <c r="AS1360" s="15" t="s">
        <v>62</v>
      </c>
      <c r="AT1360" s="15"/>
      <c r="AU1360" s="45" t="s">
        <v>1752</v>
      </c>
      <c r="AV1360" s="15"/>
      <c r="AW1360" s="12" t="str">
        <f>B1360&amp;C1360&amp;L1360&amp;M1360&amp;O1360&amp;U1360&amp;AL1360&amp;AM1360</f>
        <v>Saba (Netherlands Territory)Saba Marine Park closed areaHaemulon carbonariumcaaesar gruntbiomassden0.701753959179702Noble2013</v>
      </c>
    </row>
    <row r="1361" spans="1:49" ht="14.25" customHeight="1" x14ac:dyDescent="0.35">
      <c r="A1361" s="12">
        <v>1360</v>
      </c>
      <c r="B1361" s="12" t="s">
        <v>2714</v>
      </c>
      <c r="C1361" s="15" t="s">
        <v>1749</v>
      </c>
      <c r="D1361" s="15" t="s">
        <v>1750</v>
      </c>
      <c r="E1361" s="12" t="s">
        <v>68</v>
      </c>
      <c r="F1361" s="13" t="s">
        <v>50</v>
      </c>
      <c r="G1361" s="16" t="s">
        <v>51</v>
      </c>
      <c r="H1361" s="13" t="s">
        <v>108</v>
      </c>
      <c r="I1361" s="13" t="s">
        <v>156</v>
      </c>
      <c r="J1361" s="14">
        <v>4.3</v>
      </c>
      <c r="K1361" s="17"/>
      <c r="L1361" s="14" t="s">
        <v>1704</v>
      </c>
      <c r="M1361" s="14" t="s">
        <v>1759</v>
      </c>
      <c r="N1361" s="14" t="s">
        <v>85</v>
      </c>
      <c r="O1361" s="17" t="s">
        <v>70</v>
      </c>
      <c r="P1361" s="14"/>
      <c r="Q1361" s="14"/>
      <c r="R1361" s="14"/>
      <c r="S1361" s="14">
        <v>0.68319300000000005</v>
      </c>
      <c r="T1361" s="14">
        <v>1.003876</v>
      </c>
      <c r="U1361" s="19">
        <f t="shared" si="92"/>
        <v>1.4693885915107443</v>
      </c>
      <c r="V1361" s="41">
        <f t="shared" si="95"/>
        <v>46.938859151074432</v>
      </c>
      <c r="W1361" s="14"/>
      <c r="X1361" s="14" t="s">
        <v>56</v>
      </c>
      <c r="Z1361" s="14" t="s">
        <v>56</v>
      </c>
      <c r="AA1361" s="14"/>
      <c r="AB1361" s="14" t="s">
        <v>57</v>
      </c>
      <c r="AC1361" s="14">
        <v>2008</v>
      </c>
      <c r="AD1361" s="14">
        <v>1</v>
      </c>
      <c r="AE1361" s="14"/>
      <c r="AF1361" s="14"/>
      <c r="AG1361" s="14">
        <v>1987</v>
      </c>
      <c r="AH1361" s="14">
        <f t="shared" si="93"/>
        <v>21</v>
      </c>
      <c r="AI1361" s="17">
        <f t="shared" si="94"/>
        <v>22</v>
      </c>
      <c r="AJ1361" s="14"/>
      <c r="AK1361" s="14" t="s">
        <v>58</v>
      </c>
      <c r="AL1361" s="13" t="s">
        <v>1751</v>
      </c>
      <c r="AM1361" s="14">
        <v>2013</v>
      </c>
      <c r="AN1361" s="12" t="s">
        <v>150</v>
      </c>
      <c r="AO1361" s="12" t="s">
        <v>56</v>
      </c>
      <c r="AP1361" s="12"/>
      <c r="AQ1361" s="12" t="s">
        <v>56</v>
      </c>
      <c r="AR1361" s="12" t="s">
        <v>58</v>
      </c>
      <c r="AS1361" s="12" t="s">
        <v>62</v>
      </c>
      <c r="AT1361" s="12"/>
      <c r="AU1361" s="45" t="s">
        <v>1752</v>
      </c>
      <c r="AV1361" s="15"/>
      <c r="AW1361" s="12" t="str">
        <f>B1361&amp;C1361&amp;L1361&amp;M1361&amp;O1361&amp;U1361&amp;AL1361&amp;AM1361</f>
        <v>Saba (Netherlands Territory)Saba Marine Park closed areaHaemulon flavolineatumfrench gruntbiomassden1.46938859151074Noble2013</v>
      </c>
    </row>
    <row r="1362" spans="1:49" ht="14.25" customHeight="1" x14ac:dyDescent="0.35">
      <c r="A1362" s="12">
        <v>1361</v>
      </c>
      <c r="B1362" s="15" t="s">
        <v>2714</v>
      </c>
      <c r="C1362" s="15" t="s">
        <v>1749</v>
      </c>
      <c r="D1362" s="15" t="s">
        <v>1750</v>
      </c>
      <c r="E1362" s="15" t="s">
        <v>68</v>
      </c>
      <c r="F1362" s="16" t="s">
        <v>50</v>
      </c>
      <c r="G1362" s="16" t="s">
        <v>51</v>
      </c>
      <c r="H1362" s="16" t="s">
        <v>108</v>
      </c>
      <c r="I1362" s="16" t="s">
        <v>156</v>
      </c>
      <c r="J1362" s="17">
        <v>4.3</v>
      </c>
      <c r="K1362" s="17"/>
      <c r="L1362" s="17" t="s">
        <v>1417</v>
      </c>
      <c r="M1362" s="17" t="s">
        <v>1760</v>
      </c>
      <c r="N1362" s="14" t="s">
        <v>85</v>
      </c>
      <c r="O1362" s="17" t="s">
        <v>70</v>
      </c>
      <c r="P1362" s="17"/>
      <c r="Q1362" s="17"/>
      <c r="R1362" s="17"/>
      <c r="S1362" s="17">
        <v>3.8556020000000002</v>
      </c>
      <c r="T1362" s="17">
        <v>3.3249680000000001</v>
      </c>
      <c r="U1362" s="20">
        <f t="shared" si="92"/>
        <v>0.86237324288139694</v>
      </c>
      <c r="V1362" s="41">
        <f t="shared" si="95"/>
        <v>-13.762675711860306</v>
      </c>
      <c r="W1362" s="17"/>
      <c r="X1362" s="17" t="s">
        <v>56</v>
      </c>
      <c r="Z1362" s="17" t="s">
        <v>56</v>
      </c>
      <c r="AA1362" s="17"/>
      <c r="AB1362" s="17" t="s">
        <v>57</v>
      </c>
      <c r="AC1362" s="17">
        <v>2008</v>
      </c>
      <c r="AD1362" s="17">
        <v>1</v>
      </c>
      <c r="AE1362" s="17"/>
      <c r="AF1362" s="17"/>
      <c r="AG1362" s="17">
        <v>1987</v>
      </c>
      <c r="AH1362" s="14">
        <f t="shared" si="93"/>
        <v>21</v>
      </c>
      <c r="AI1362" s="17">
        <f t="shared" si="94"/>
        <v>22</v>
      </c>
      <c r="AJ1362" s="17"/>
      <c r="AK1362" s="17" t="s">
        <v>58</v>
      </c>
      <c r="AL1362" s="16" t="s">
        <v>1751</v>
      </c>
      <c r="AM1362" s="17">
        <v>2013</v>
      </c>
      <c r="AN1362" s="12" t="s">
        <v>150</v>
      </c>
      <c r="AO1362" s="15" t="s">
        <v>56</v>
      </c>
      <c r="AP1362" s="15"/>
      <c r="AQ1362" s="15" t="s">
        <v>56</v>
      </c>
      <c r="AR1362" s="15" t="s">
        <v>58</v>
      </c>
      <c r="AS1362" s="15" t="s">
        <v>62</v>
      </c>
      <c r="AT1362" s="15"/>
      <c r="AU1362" s="45" t="s">
        <v>1752</v>
      </c>
      <c r="AV1362" s="15"/>
      <c r="AW1362" s="12" t="str">
        <f>B1362&amp;C1362&amp;L1362&amp;M1362&amp;O1362&amp;U1362&amp;AL1362&amp;AM1362</f>
        <v>Saba (Netherlands Territory)Saba Marine Park closed areaCephalopholis fulvabutterfishbiomassden0.862373242881397Noble2013</v>
      </c>
    </row>
    <row r="1363" spans="1:49" ht="14.25" customHeight="1" x14ac:dyDescent="0.35">
      <c r="A1363" s="12">
        <v>1362</v>
      </c>
      <c r="B1363" s="12" t="s">
        <v>2714</v>
      </c>
      <c r="C1363" s="15" t="s">
        <v>1749</v>
      </c>
      <c r="D1363" s="15" t="s">
        <v>1750</v>
      </c>
      <c r="E1363" s="12" t="s">
        <v>68</v>
      </c>
      <c r="F1363" s="13" t="s">
        <v>50</v>
      </c>
      <c r="G1363" s="13" t="s">
        <v>51</v>
      </c>
      <c r="H1363" s="13" t="s">
        <v>108</v>
      </c>
      <c r="I1363" s="13" t="s">
        <v>156</v>
      </c>
      <c r="J1363" s="14">
        <v>4.3</v>
      </c>
      <c r="K1363" s="14"/>
      <c r="L1363" s="14" t="s">
        <v>1761</v>
      </c>
      <c r="M1363" s="14" t="s">
        <v>1762</v>
      </c>
      <c r="N1363" s="14" t="s">
        <v>85</v>
      </c>
      <c r="O1363" s="17" t="s">
        <v>70</v>
      </c>
      <c r="P1363" s="14"/>
      <c r="Q1363" s="14"/>
      <c r="R1363" s="14"/>
      <c r="S1363" s="14">
        <v>0.26804899999999998</v>
      </c>
      <c r="T1363" s="14">
        <v>0.42241299999999998</v>
      </c>
      <c r="U1363" s="19">
        <f t="shared" si="92"/>
        <v>1.5758797831739719</v>
      </c>
      <c r="V1363" s="41">
        <f t="shared" si="95"/>
        <v>57.587978317397194</v>
      </c>
      <c r="W1363" s="14"/>
      <c r="X1363" s="14" t="s">
        <v>56</v>
      </c>
      <c r="Z1363" s="14" t="s">
        <v>56</v>
      </c>
      <c r="AA1363" s="14"/>
      <c r="AB1363" s="14" t="s">
        <v>57</v>
      </c>
      <c r="AC1363" s="14">
        <v>2008</v>
      </c>
      <c r="AD1363" s="14">
        <v>1</v>
      </c>
      <c r="AE1363" s="14"/>
      <c r="AF1363" s="14"/>
      <c r="AG1363" s="14">
        <v>1987</v>
      </c>
      <c r="AH1363" s="14">
        <f t="shared" si="93"/>
        <v>21</v>
      </c>
      <c r="AI1363" s="17">
        <f t="shared" si="94"/>
        <v>22</v>
      </c>
      <c r="AJ1363" s="14"/>
      <c r="AK1363" s="14" t="s">
        <v>58</v>
      </c>
      <c r="AL1363" s="13" t="s">
        <v>1751</v>
      </c>
      <c r="AM1363" s="14">
        <v>2013</v>
      </c>
      <c r="AN1363" s="12" t="s">
        <v>150</v>
      </c>
      <c r="AO1363" s="12" t="s">
        <v>56</v>
      </c>
      <c r="AP1363" s="12"/>
      <c r="AQ1363" s="12" t="s">
        <v>56</v>
      </c>
      <c r="AR1363" s="12" t="s">
        <v>58</v>
      </c>
      <c r="AS1363" s="12" t="s">
        <v>62</v>
      </c>
      <c r="AT1363" s="12"/>
      <c r="AU1363" s="45" t="s">
        <v>1752</v>
      </c>
      <c r="AV1363" s="15"/>
      <c r="AW1363" s="12" t="str">
        <f>B1363&amp;C1363&amp;L1363&amp;M1363&amp;O1363&amp;U1363&amp;AL1363&amp;AM1363</f>
        <v>Saba (Netherlands Territory)Saba Marine Park closed areaCephalopholis cruentatagraysbybiomassden1.57587978317397Noble2013</v>
      </c>
    </row>
    <row r="1364" spans="1:49" ht="14.25" customHeight="1" x14ac:dyDescent="0.35">
      <c r="A1364" s="12">
        <v>1363</v>
      </c>
      <c r="B1364" s="12" t="s">
        <v>2714</v>
      </c>
      <c r="C1364" s="15" t="s">
        <v>1749</v>
      </c>
      <c r="D1364" s="15" t="s">
        <v>1750</v>
      </c>
      <c r="E1364" s="12" t="s">
        <v>68</v>
      </c>
      <c r="F1364" s="13" t="s">
        <v>50</v>
      </c>
      <c r="G1364" s="13" t="s">
        <v>51</v>
      </c>
      <c r="H1364" s="13" t="s">
        <v>108</v>
      </c>
      <c r="I1364" s="13" t="s">
        <v>156</v>
      </c>
      <c r="J1364" s="14">
        <v>4.3</v>
      </c>
      <c r="K1364" s="14"/>
      <c r="L1364" s="14" t="s">
        <v>778</v>
      </c>
      <c r="M1364" s="14" t="s">
        <v>1763</v>
      </c>
      <c r="N1364" s="14" t="s">
        <v>85</v>
      </c>
      <c r="O1364" s="17" t="s">
        <v>70</v>
      </c>
      <c r="P1364" s="14"/>
      <c r="Q1364" s="14"/>
      <c r="R1364" s="14"/>
      <c r="S1364" s="14">
        <v>1.0466249999999999</v>
      </c>
      <c r="T1364" s="14">
        <v>1.3763840000000001</v>
      </c>
      <c r="U1364" s="19">
        <f t="shared" si="92"/>
        <v>1.3150689119789802</v>
      </c>
      <c r="V1364" s="41">
        <f t="shared" si="95"/>
        <v>31.506891197898025</v>
      </c>
      <c r="W1364" s="14"/>
      <c r="X1364" s="14" t="s">
        <v>56</v>
      </c>
      <c r="Z1364" s="14" t="s">
        <v>56</v>
      </c>
      <c r="AA1364" s="14"/>
      <c r="AB1364" s="14" t="s">
        <v>57</v>
      </c>
      <c r="AC1364" s="14">
        <v>2008</v>
      </c>
      <c r="AD1364" s="14">
        <v>1</v>
      </c>
      <c r="AE1364" s="14"/>
      <c r="AF1364" s="14"/>
      <c r="AG1364" s="14">
        <v>1987</v>
      </c>
      <c r="AH1364" s="14">
        <f t="shared" si="93"/>
        <v>21</v>
      </c>
      <c r="AI1364" s="17">
        <f t="shared" si="94"/>
        <v>22</v>
      </c>
      <c r="AJ1364" s="14"/>
      <c r="AK1364" s="14" t="s">
        <v>58</v>
      </c>
      <c r="AL1364" s="13" t="s">
        <v>1751</v>
      </c>
      <c r="AM1364" s="14">
        <v>2013</v>
      </c>
      <c r="AN1364" s="15" t="s">
        <v>150</v>
      </c>
      <c r="AO1364" s="12" t="s">
        <v>56</v>
      </c>
      <c r="AP1364" s="12"/>
      <c r="AQ1364" s="12" t="s">
        <v>56</v>
      </c>
      <c r="AR1364" s="12" t="s">
        <v>58</v>
      </c>
      <c r="AS1364" s="12" t="s">
        <v>62</v>
      </c>
      <c r="AT1364" s="12"/>
      <c r="AU1364" s="45" t="s">
        <v>1752</v>
      </c>
      <c r="AV1364" s="15"/>
      <c r="AW1364" s="12" t="str">
        <f>B1364&amp;C1364&amp;L1364&amp;M1364&amp;O1364&amp;U1364&amp;AL1364&amp;AM1364</f>
        <v>Saba (Netherlands Territory)Saba Marine Park closed areaLutjanus apodusdogtooth snapperbiomassden1.31506891197898Noble2013</v>
      </c>
    </row>
    <row r="1365" spans="1:49" ht="14.25" customHeight="1" x14ac:dyDescent="0.35">
      <c r="A1365" s="12">
        <v>1364</v>
      </c>
      <c r="B1365" s="12" t="s">
        <v>2714</v>
      </c>
      <c r="C1365" s="15" t="s">
        <v>1749</v>
      </c>
      <c r="D1365" s="15" t="s">
        <v>1750</v>
      </c>
      <c r="E1365" s="12" t="s">
        <v>68</v>
      </c>
      <c r="F1365" s="13" t="s">
        <v>50</v>
      </c>
      <c r="G1365" s="13" t="s">
        <v>51</v>
      </c>
      <c r="H1365" s="13" t="s">
        <v>108</v>
      </c>
      <c r="I1365" s="13" t="s">
        <v>156</v>
      </c>
      <c r="J1365" s="14">
        <v>4.3</v>
      </c>
      <c r="K1365" s="14"/>
      <c r="L1365" s="14" t="s">
        <v>1418</v>
      </c>
      <c r="M1365" s="14" t="s">
        <v>1764</v>
      </c>
      <c r="N1365" s="14" t="s">
        <v>85</v>
      </c>
      <c r="O1365" s="17" t="s">
        <v>70</v>
      </c>
      <c r="P1365" s="14"/>
      <c r="Q1365" s="14"/>
      <c r="R1365" s="14"/>
      <c r="S1365" s="14">
        <v>0.27240900000000001</v>
      </c>
      <c r="T1365" s="14">
        <v>0.25807200000000002</v>
      </c>
      <c r="U1365" s="19">
        <f t="shared" si="92"/>
        <v>0.94736958030021035</v>
      </c>
      <c r="V1365" s="41">
        <f t="shared" si="95"/>
        <v>-5.2630419699789659</v>
      </c>
      <c r="W1365" s="14"/>
      <c r="X1365" s="14" t="s">
        <v>56</v>
      </c>
      <c r="Z1365" s="14" t="s">
        <v>56</v>
      </c>
      <c r="AA1365" s="14"/>
      <c r="AB1365" s="14" t="s">
        <v>57</v>
      </c>
      <c r="AC1365" s="14">
        <v>2008</v>
      </c>
      <c r="AD1365" s="14">
        <v>1</v>
      </c>
      <c r="AE1365" s="14"/>
      <c r="AF1365" s="14"/>
      <c r="AG1365" s="14">
        <v>1987</v>
      </c>
      <c r="AH1365" s="14">
        <f t="shared" si="93"/>
        <v>21</v>
      </c>
      <c r="AI1365" s="17">
        <f t="shared" si="94"/>
        <v>22</v>
      </c>
      <c r="AJ1365" s="14"/>
      <c r="AK1365" s="14" t="s">
        <v>58</v>
      </c>
      <c r="AL1365" s="13" t="s">
        <v>1751</v>
      </c>
      <c r="AM1365" s="14">
        <v>2013</v>
      </c>
      <c r="AN1365" s="15" t="s">
        <v>150</v>
      </c>
      <c r="AO1365" s="12" t="s">
        <v>56</v>
      </c>
      <c r="AP1365" s="12"/>
      <c r="AQ1365" s="12" t="s">
        <v>56</v>
      </c>
      <c r="AR1365" s="12" t="s">
        <v>58</v>
      </c>
      <c r="AS1365" s="12" t="s">
        <v>62</v>
      </c>
      <c r="AT1365" s="12"/>
      <c r="AU1365" s="45" t="s">
        <v>1752</v>
      </c>
      <c r="AV1365" s="15"/>
      <c r="AW1365" s="12" t="str">
        <f>B1365&amp;C1365&amp;L1365&amp;M1365&amp;O1365&amp;U1365&amp;AL1365&amp;AM1365</f>
        <v>Saba (Netherlands Territory)Saba Marine Park closed areaLutjanus mahogonimahogany snapperbiomassden0.94736958030021Noble2013</v>
      </c>
    </row>
    <row r="1366" spans="1:49" ht="14.25" customHeight="1" x14ac:dyDescent="0.35">
      <c r="A1366" s="12">
        <v>1365</v>
      </c>
      <c r="B1366" s="12" t="s">
        <v>254</v>
      </c>
      <c r="C1366" s="15" t="s">
        <v>324</v>
      </c>
      <c r="D1366" s="15" t="s">
        <v>324</v>
      </c>
      <c r="E1366" s="12" t="s">
        <v>68</v>
      </c>
      <c r="F1366" s="13" t="s">
        <v>50</v>
      </c>
      <c r="G1366" s="13" t="s">
        <v>51</v>
      </c>
      <c r="H1366" s="13" t="s">
        <v>78</v>
      </c>
      <c r="I1366" s="13" t="s">
        <v>53</v>
      </c>
      <c r="J1366" s="14">
        <v>1.94</v>
      </c>
      <c r="K1366" s="14"/>
      <c r="L1366" s="14" t="s">
        <v>307</v>
      </c>
      <c r="M1366" s="14"/>
      <c r="N1366" s="14" t="s">
        <v>85</v>
      </c>
      <c r="O1366" s="17" t="s">
        <v>86</v>
      </c>
      <c r="P1366" s="14"/>
      <c r="Q1366" s="14"/>
      <c r="R1366" s="14"/>
      <c r="S1366" s="14">
        <v>11300</v>
      </c>
      <c r="T1366" s="14">
        <v>169700</v>
      </c>
      <c r="U1366" s="19">
        <f t="shared" si="92"/>
        <v>15.017699115044248</v>
      </c>
      <c r="V1366" s="41">
        <f t="shared" si="95"/>
        <v>1401.7699115044247</v>
      </c>
      <c r="W1366" s="14"/>
      <c r="X1366" s="14" t="s">
        <v>56</v>
      </c>
      <c r="Z1366" s="14" t="s">
        <v>56</v>
      </c>
      <c r="AA1366" s="14"/>
      <c r="AB1366" s="14" t="s">
        <v>57</v>
      </c>
      <c r="AC1366" s="14">
        <v>2014</v>
      </c>
      <c r="AD1366" s="14">
        <v>1</v>
      </c>
      <c r="AE1366" s="14"/>
      <c r="AF1366" s="14"/>
      <c r="AG1366" s="14">
        <v>2013</v>
      </c>
      <c r="AH1366" s="14">
        <f t="shared" si="93"/>
        <v>1</v>
      </c>
      <c r="AI1366" s="17">
        <f t="shared" si="94"/>
        <v>2</v>
      </c>
      <c r="AJ1366" s="14"/>
      <c r="AK1366" s="14" t="s">
        <v>56</v>
      </c>
      <c r="AL1366" s="13" t="s">
        <v>308</v>
      </c>
      <c r="AM1366" s="14">
        <v>2020</v>
      </c>
      <c r="AN1366" s="15" t="s">
        <v>309</v>
      </c>
      <c r="AO1366" s="12" t="s">
        <v>56</v>
      </c>
      <c r="AP1366" s="12"/>
      <c r="AQ1366" s="12" t="s">
        <v>56</v>
      </c>
      <c r="AR1366" s="12" t="s">
        <v>58</v>
      </c>
      <c r="AS1366" s="12" t="s">
        <v>62</v>
      </c>
      <c r="AT1366" s="12"/>
      <c r="AU1366" s="45"/>
      <c r="AV1366" s="15"/>
      <c r="AW1366" s="12" t="str">
        <f>B1366&amp;C1366&amp;L1366&amp;M1366&amp;O1366&amp;U1366&amp;AL1366&amp;AM1366</f>
        <v>MexicoBahía de los ÁngelesEucidaris thouarsiidensity15.0176991150442Rojas-Montiel2020</v>
      </c>
    </row>
    <row r="1367" spans="1:49" ht="14.25" customHeight="1" x14ac:dyDescent="0.35">
      <c r="A1367" s="12">
        <v>1366</v>
      </c>
      <c r="B1367" s="15" t="s">
        <v>254</v>
      </c>
      <c r="C1367" s="15" t="s">
        <v>324</v>
      </c>
      <c r="D1367" s="15" t="s">
        <v>324</v>
      </c>
      <c r="E1367" s="15" t="s">
        <v>68</v>
      </c>
      <c r="F1367" s="13" t="s">
        <v>50</v>
      </c>
      <c r="G1367" s="13" t="s">
        <v>51</v>
      </c>
      <c r="H1367" s="16" t="s">
        <v>78</v>
      </c>
      <c r="I1367" s="16" t="s">
        <v>53</v>
      </c>
      <c r="J1367" s="17">
        <v>1.94</v>
      </c>
      <c r="K1367" s="14"/>
      <c r="L1367" s="17" t="s">
        <v>310</v>
      </c>
      <c r="M1367" s="17" t="s">
        <v>513</v>
      </c>
      <c r="N1367" s="14" t="s">
        <v>85</v>
      </c>
      <c r="O1367" s="17" t="s">
        <v>86</v>
      </c>
      <c r="P1367" s="17"/>
      <c r="Q1367" s="17"/>
      <c r="R1367" s="17"/>
      <c r="S1367" s="17">
        <v>10400</v>
      </c>
      <c r="T1367" s="17">
        <v>300</v>
      </c>
      <c r="U1367" s="20">
        <f t="shared" si="92"/>
        <v>2.8846153846153848E-2</v>
      </c>
      <c r="V1367" s="41">
        <f t="shared" si="95"/>
        <v>-97.115384615384613</v>
      </c>
      <c r="W1367" s="17"/>
      <c r="X1367" s="17" t="s">
        <v>56</v>
      </c>
      <c r="Y1367" s="17"/>
      <c r="Z1367" s="17" t="s">
        <v>56</v>
      </c>
      <c r="AA1367" s="17"/>
      <c r="AB1367" s="17" t="s">
        <v>57</v>
      </c>
      <c r="AC1367" s="17">
        <v>2014</v>
      </c>
      <c r="AD1367" s="17">
        <v>1</v>
      </c>
      <c r="AE1367" s="17"/>
      <c r="AF1367" s="17"/>
      <c r="AG1367" s="17">
        <v>2013</v>
      </c>
      <c r="AH1367" s="14">
        <f t="shared" si="93"/>
        <v>1</v>
      </c>
      <c r="AI1367" s="17">
        <f t="shared" si="94"/>
        <v>2</v>
      </c>
      <c r="AJ1367" s="17"/>
      <c r="AK1367" s="17" t="s">
        <v>56</v>
      </c>
      <c r="AL1367" s="16" t="s">
        <v>308</v>
      </c>
      <c r="AM1367" s="17">
        <v>2020</v>
      </c>
      <c r="AN1367" s="15" t="s">
        <v>309</v>
      </c>
      <c r="AO1367" s="15" t="s">
        <v>56</v>
      </c>
      <c r="AP1367" s="15"/>
      <c r="AQ1367" s="15" t="s">
        <v>56</v>
      </c>
      <c r="AR1367" s="15" t="s">
        <v>58</v>
      </c>
      <c r="AS1367" s="15" t="s">
        <v>62</v>
      </c>
      <c r="AT1367" s="15"/>
      <c r="AU1367" s="45"/>
      <c r="AV1367" s="15"/>
      <c r="AW1367" s="12" t="str">
        <f>B1367&amp;C1367&amp;L1367&amp;M1367&amp;O1367&amp;U1367&amp;AL1367&amp;AM1367</f>
        <v>MexicoBahía de los ÁngelesTripneustes depressuswhite sea urchindensity0.0288461538461538Rojas-Montiel2020</v>
      </c>
    </row>
    <row r="1368" spans="1:49" ht="14.25" customHeight="1" x14ac:dyDescent="0.35">
      <c r="A1368" s="12">
        <v>1367</v>
      </c>
      <c r="B1368" s="12" t="s">
        <v>254</v>
      </c>
      <c r="C1368" s="15" t="s">
        <v>324</v>
      </c>
      <c r="D1368" s="15" t="s">
        <v>324</v>
      </c>
      <c r="E1368" s="12" t="s">
        <v>68</v>
      </c>
      <c r="F1368" s="13" t="s">
        <v>50</v>
      </c>
      <c r="G1368" s="13" t="s">
        <v>51</v>
      </c>
      <c r="H1368" s="13" t="s">
        <v>78</v>
      </c>
      <c r="I1368" s="13" t="s">
        <v>53</v>
      </c>
      <c r="J1368" s="14">
        <v>1.94</v>
      </c>
      <c r="K1368" s="14"/>
      <c r="L1368" s="14" t="s">
        <v>311</v>
      </c>
      <c r="M1368" s="14"/>
      <c r="N1368" s="14" t="s">
        <v>85</v>
      </c>
      <c r="O1368" s="17" t="s">
        <v>86</v>
      </c>
      <c r="P1368" s="14"/>
      <c r="Q1368" s="14"/>
      <c r="R1368" s="14"/>
      <c r="S1368" s="14">
        <v>1700</v>
      </c>
      <c r="T1368" s="14">
        <v>200</v>
      </c>
      <c r="U1368" s="19">
        <f t="shared" si="92"/>
        <v>0.11764705882352941</v>
      </c>
      <c r="V1368" s="41">
        <f t="shared" si="95"/>
        <v>-88.235294117647058</v>
      </c>
      <c r="W1368" s="14"/>
      <c r="X1368" s="14" t="s">
        <v>56</v>
      </c>
      <c r="Z1368" s="14" t="s">
        <v>56</v>
      </c>
      <c r="AA1368" s="14"/>
      <c r="AB1368" s="14" t="s">
        <v>57</v>
      </c>
      <c r="AC1368" s="14">
        <v>2014</v>
      </c>
      <c r="AD1368" s="14">
        <v>1</v>
      </c>
      <c r="AE1368" s="14"/>
      <c r="AF1368" s="14"/>
      <c r="AG1368" s="14">
        <v>2013</v>
      </c>
      <c r="AH1368" s="14">
        <f t="shared" si="93"/>
        <v>1</v>
      </c>
      <c r="AI1368" s="17">
        <f t="shared" si="94"/>
        <v>2</v>
      </c>
      <c r="AJ1368" s="14"/>
      <c r="AK1368" s="14" t="s">
        <v>56</v>
      </c>
      <c r="AL1368" s="13" t="s">
        <v>308</v>
      </c>
      <c r="AM1368" s="14">
        <v>2020</v>
      </c>
      <c r="AN1368" s="15" t="s">
        <v>309</v>
      </c>
      <c r="AO1368" s="12" t="s">
        <v>56</v>
      </c>
      <c r="AP1368" s="12"/>
      <c r="AQ1368" s="12" t="s">
        <v>56</v>
      </c>
      <c r="AR1368" s="12" t="s">
        <v>58</v>
      </c>
      <c r="AS1368" s="12" t="s">
        <v>62</v>
      </c>
      <c r="AT1368" s="12"/>
      <c r="AU1368" s="45"/>
      <c r="AV1368" s="15"/>
      <c r="AW1368" s="12" t="str">
        <f>B1368&amp;C1368&amp;L1368&amp;M1368&amp;O1368&amp;U1368&amp;AL1368&amp;AM1368</f>
        <v>MexicoBahía de los ÁngelesToxopneustes roseusdensity0.117647058823529Rojas-Montiel2020</v>
      </c>
    </row>
    <row r="1369" spans="1:49" ht="14.25" customHeight="1" x14ac:dyDescent="0.35">
      <c r="A1369" s="12">
        <v>1368</v>
      </c>
      <c r="B1369" s="15" t="s">
        <v>254</v>
      </c>
      <c r="C1369" s="15" t="s">
        <v>324</v>
      </c>
      <c r="D1369" s="15" t="s">
        <v>324</v>
      </c>
      <c r="E1369" s="15" t="s">
        <v>68</v>
      </c>
      <c r="F1369" s="13" t="s">
        <v>50</v>
      </c>
      <c r="G1369" s="13" t="s">
        <v>51</v>
      </c>
      <c r="H1369" s="16" t="s">
        <v>78</v>
      </c>
      <c r="I1369" s="16" t="s">
        <v>53</v>
      </c>
      <c r="J1369" s="17">
        <v>1.94</v>
      </c>
      <c r="K1369" s="14"/>
      <c r="L1369" s="17" t="s">
        <v>312</v>
      </c>
      <c r="M1369" s="17"/>
      <c r="N1369" s="14" t="s">
        <v>85</v>
      </c>
      <c r="O1369" s="17" t="s">
        <v>86</v>
      </c>
      <c r="P1369" s="17"/>
      <c r="Q1369" s="17"/>
      <c r="R1369" s="17"/>
      <c r="S1369" s="17">
        <v>0</v>
      </c>
      <c r="T1369" s="17">
        <v>0</v>
      </c>
      <c r="U1369" s="20" t="str">
        <f t="shared" si="92"/>
        <v>N/A</v>
      </c>
      <c r="V1369" s="41" t="str">
        <f t="shared" si="95"/>
        <v>N/A</v>
      </c>
      <c r="W1369" s="17"/>
      <c r="X1369" s="17" t="s">
        <v>56</v>
      </c>
      <c r="Y1369" s="17"/>
      <c r="Z1369" s="17" t="s">
        <v>56</v>
      </c>
      <c r="AA1369" s="17"/>
      <c r="AB1369" s="17" t="s">
        <v>57</v>
      </c>
      <c r="AC1369" s="17">
        <v>2014</v>
      </c>
      <c r="AD1369" s="17">
        <v>1</v>
      </c>
      <c r="AE1369" s="17"/>
      <c r="AF1369" s="17"/>
      <c r="AG1369" s="17">
        <v>2013</v>
      </c>
      <c r="AH1369" s="14">
        <f t="shared" si="93"/>
        <v>1</v>
      </c>
      <c r="AI1369" s="17">
        <f t="shared" si="94"/>
        <v>2</v>
      </c>
      <c r="AJ1369" s="17"/>
      <c r="AK1369" s="17" t="s">
        <v>56</v>
      </c>
      <c r="AL1369" s="16" t="s">
        <v>308</v>
      </c>
      <c r="AM1369" s="17">
        <v>2020</v>
      </c>
      <c r="AN1369" s="15" t="s">
        <v>309</v>
      </c>
      <c r="AO1369" s="15" t="s">
        <v>56</v>
      </c>
      <c r="AP1369" s="15"/>
      <c r="AQ1369" s="15" t="s">
        <v>56</v>
      </c>
      <c r="AR1369" s="15" t="s">
        <v>58</v>
      </c>
      <c r="AS1369" s="15" t="s">
        <v>62</v>
      </c>
      <c r="AT1369" s="15"/>
      <c r="AU1369" s="45"/>
      <c r="AV1369" s="15"/>
      <c r="AW1369" s="12" t="str">
        <f>B1369&amp;C1369&amp;L1369&amp;M1369&amp;O1369&amp;U1369&amp;AL1369&amp;AM1369</f>
        <v>MexicoBahía de los ÁngelesEchinometra vanbruntidensityN/ARojas-Montiel2020</v>
      </c>
    </row>
    <row r="1370" spans="1:49" ht="14.25" customHeight="1" x14ac:dyDescent="0.35">
      <c r="A1370" s="12">
        <v>1369</v>
      </c>
      <c r="B1370" s="15" t="s">
        <v>254</v>
      </c>
      <c r="C1370" s="15" t="s">
        <v>324</v>
      </c>
      <c r="D1370" s="15" t="s">
        <v>324</v>
      </c>
      <c r="E1370" s="15" t="s">
        <v>68</v>
      </c>
      <c r="F1370" s="13" t="s">
        <v>50</v>
      </c>
      <c r="G1370" s="13" t="s">
        <v>51</v>
      </c>
      <c r="H1370" s="16" t="s">
        <v>78</v>
      </c>
      <c r="I1370" s="16" t="s">
        <v>53</v>
      </c>
      <c r="J1370" s="17">
        <v>1.94</v>
      </c>
      <c r="K1370" s="14"/>
      <c r="L1370" s="17" t="s">
        <v>313</v>
      </c>
      <c r="M1370" s="17"/>
      <c r="N1370" s="14" t="s">
        <v>85</v>
      </c>
      <c r="O1370" s="17" t="s">
        <v>86</v>
      </c>
      <c r="P1370" s="17"/>
      <c r="Q1370" s="17"/>
      <c r="R1370" s="17"/>
      <c r="S1370" s="17">
        <v>0</v>
      </c>
      <c r="T1370" s="17">
        <v>512600</v>
      </c>
      <c r="U1370" s="20" t="str">
        <f t="shared" si="92"/>
        <v>N/A</v>
      </c>
      <c r="V1370" s="41" t="str">
        <f t="shared" si="95"/>
        <v>N/A</v>
      </c>
      <c r="W1370" s="17"/>
      <c r="X1370" s="17" t="s">
        <v>56</v>
      </c>
      <c r="Y1370" s="17"/>
      <c r="Z1370" s="17" t="s">
        <v>56</v>
      </c>
      <c r="AA1370" s="17"/>
      <c r="AB1370" s="17" t="s">
        <v>57</v>
      </c>
      <c r="AC1370" s="17">
        <v>2014</v>
      </c>
      <c r="AD1370" s="17">
        <v>1</v>
      </c>
      <c r="AE1370" s="17"/>
      <c r="AF1370" s="17"/>
      <c r="AG1370" s="17">
        <v>2013</v>
      </c>
      <c r="AH1370" s="14">
        <f t="shared" si="93"/>
        <v>1</v>
      </c>
      <c r="AI1370" s="17">
        <f t="shared" si="94"/>
        <v>2</v>
      </c>
      <c r="AJ1370" s="17"/>
      <c r="AK1370" s="17" t="s">
        <v>56</v>
      </c>
      <c r="AL1370" s="16" t="s">
        <v>308</v>
      </c>
      <c r="AM1370" s="17">
        <v>2020</v>
      </c>
      <c r="AN1370" s="15" t="s">
        <v>309</v>
      </c>
      <c r="AO1370" s="15" t="s">
        <v>56</v>
      </c>
      <c r="AP1370" s="15"/>
      <c r="AQ1370" s="15" t="s">
        <v>56</v>
      </c>
      <c r="AR1370" s="15" t="s">
        <v>58</v>
      </c>
      <c r="AS1370" s="15" t="s">
        <v>62</v>
      </c>
      <c r="AT1370" s="15"/>
      <c r="AU1370" s="45"/>
      <c r="AV1370" s="15"/>
      <c r="AW1370" s="12" t="str">
        <f>B1370&amp;C1370&amp;L1370&amp;M1370&amp;O1370&amp;U1370&amp;AL1370&amp;AM1370</f>
        <v>MexicoBahía de los ÁngelesDiadema mexicanumdensityN/ARojas-Montiel2020</v>
      </c>
    </row>
    <row r="1371" spans="1:49" ht="14.25" customHeight="1" x14ac:dyDescent="0.35">
      <c r="A1371" s="12">
        <v>1370</v>
      </c>
      <c r="B1371" s="15" t="s">
        <v>254</v>
      </c>
      <c r="C1371" s="15" t="s">
        <v>324</v>
      </c>
      <c r="D1371" s="15" t="s">
        <v>324</v>
      </c>
      <c r="E1371" s="15" t="s">
        <v>68</v>
      </c>
      <c r="F1371" s="13" t="s">
        <v>50</v>
      </c>
      <c r="G1371" s="13" t="s">
        <v>51</v>
      </c>
      <c r="H1371" s="16" t="s">
        <v>78</v>
      </c>
      <c r="I1371" s="16" t="s">
        <v>53</v>
      </c>
      <c r="J1371" s="17">
        <v>1.94</v>
      </c>
      <c r="K1371" s="14"/>
      <c r="L1371" s="17" t="s">
        <v>314</v>
      </c>
      <c r="M1371" s="17"/>
      <c r="N1371" s="14" t="s">
        <v>85</v>
      </c>
      <c r="O1371" s="17" t="s">
        <v>86</v>
      </c>
      <c r="P1371" s="17"/>
      <c r="Q1371" s="17"/>
      <c r="R1371" s="17"/>
      <c r="S1371" s="17">
        <v>7000</v>
      </c>
      <c r="T1371" s="17">
        <v>0</v>
      </c>
      <c r="U1371" s="20">
        <f t="shared" si="92"/>
        <v>0</v>
      </c>
      <c r="V1371" s="41">
        <f t="shared" si="95"/>
        <v>-100</v>
      </c>
      <c r="W1371" s="17"/>
      <c r="X1371" s="17" t="s">
        <v>56</v>
      </c>
      <c r="Y1371" s="17"/>
      <c r="Z1371" s="17" t="s">
        <v>56</v>
      </c>
      <c r="AA1371" s="17"/>
      <c r="AB1371" s="17" t="s">
        <v>57</v>
      </c>
      <c r="AC1371" s="17">
        <v>2014</v>
      </c>
      <c r="AD1371" s="17">
        <v>1</v>
      </c>
      <c r="AE1371" s="17"/>
      <c r="AF1371" s="17"/>
      <c r="AG1371" s="17">
        <v>2013</v>
      </c>
      <c r="AH1371" s="14">
        <f t="shared" si="93"/>
        <v>1</v>
      </c>
      <c r="AI1371" s="17">
        <f t="shared" si="94"/>
        <v>2</v>
      </c>
      <c r="AJ1371" s="17"/>
      <c r="AK1371" s="17" t="s">
        <v>56</v>
      </c>
      <c r="AL1371" s="16" t="s">
        <v>308</v>
      </c>
      <c r="AM1371" s="17">
        <v>2020</v>
      </c>
      <c r="AN1371" s="15" t="s">
        <v>309</v>
      </c>
      <c r="AO1371" s="15" t="s">
        <v>56</v>
      </c>
      <c r="AP1371" s="15"/>
      <c r="AQ1371" s="15" t="s">
        <v>56</v>
      </c>
      <c r="AR1371" s="15" t="s">
        <v>58</v>
      </c>
      <c r="AS1371" s="15" t="s">
        <v>62</v>
      </c>
      <c r="AT1371" s="15"/>
      <c r="AU1371" s="45"/>
      <c r="AV1371" s="15"/>
      <c r="AW1371" s="12" t="str">
        <f>B1371&amp;C1371&amp;L1371&amp;M1371&amp;O1371&amp;U1371&amp;AL1371&amp;AM1371</f>
        <v>MexicoBahía de los ÁngelesCentrostephanus coronatudensity0Rojas-Montiel2020</v>
      </c>
    </row>
    <row r="1372" spans="1:49" ht="14.25" customHeight="1" x14ac:dyDescent="0.35">
      <c r="A1372" s="12">
        <v>1371</v>
      </c>
      <c r="B1372" s="15" t="s">
        <v>254</v>
      </c>
      <c r="C1372" s="15" t="s">
        <v>324</v>
      </c>
      <c r="D1372" s="15" t="s">
        <v>324</v>
      </c>
      <c r="E1372" s="15" t="s">
        <v>68</v>
      </c>
      <c r="F1372" s="13" t="s">
        <v>50</v>
      </c>
      <c r="G1372" s="13" t="s">
        <v>51</v>
      </c>
      <c r="H1372" s="16" t="s">
        <v>78</v>
      </c>
      <c r="I1372" s="16" t="s">
        <v>53</v>
      </c>
      <c r="J1372" s="17">
        <v>1.94</v>
      </c>
      <c r="K1372" s="14"/>
      <c r="L1372" s="17" t="s">
        <v>315</v>
      </c>
      <c r="M1372" s="17"/>
      <c r="N1372" s="14" t="s">
        <v>85</v>
      </c>
      <c r="O1372" s="17" t="s">
        <v>86</v>
      </c>
      <c r="P1372" s="17"/>
      <c r="Q1372" s="17"/>
      <c r="R1372" s="17"/>
      <c r="S1372" s="17">
        <v>0</v>
      </c>
      <c r="T1372" s="17">
        <v>0</v>
      </c>
      <c r="U1372" s="20" t="str">
        <f t="shared" si="92"/>
        <v>N/A</v>
      </c>
      <c r="V1372" s="41" t="str">
        <f t="shared" si="95"/>
        <v>N/A</v>
      </c>
      <c r="W1372" s="17"/>
      <c r="X1372" s="17" t="s">
        <v>56</v>
      </c>
      <c r="Y1372" s="17"/>
      <c r="Z1372" s="17" t="s">
        <v>56</v>
      </c>
      <c r="AA1372" s="17"/>
      <c r="AB1372" s="17" t="s">
        <v>57</v>
      </c>
      <c r="AC1372" s="17">
        <v>2014</v>
      </c>
      <c r="AD1372" s="17">
        <v>1</v>
      </c>
      <c r="AE1372" s="17"/>
      <c r="AF1372" s="17"/>
      <c r="AG1372" s="17">
        <v>2013</v>
      </c>
      <c r="AH1372" s="14">
        <f t="shared" si="93"/>
        <v>1</v>
      </c>
      <c r="AI1372" s="17">
        <f t="shared" si="94"/>
        <v>2</v>
      </c>
      <c r="AJ1372" s="17"/>
      <c r="AK1372" s="17" t="s">
        <v>56</v>
      </c>
      <c r="AL1372" s="16" t="s">
        <v>308</v>
      </c>
      <c r="AM1372" s="17">
        <v>2020</v>
      </c>
      <c r="AN1372" s="15" t="s">
        <v>309</v>
      </c>
      <c r="AO1372" s="15" t="s">
        <v>56</v>
      </c>
      <c r="AP1372" s="15"/>
      <c r="AQ1372" s="15" t="s">
        <v>56</v>
      </c>
      <c r="AR1372" s="15" t="s">
        <v>58</v>
      </c>
      <c r="AS1372" s="15" t="s">
        <v>62</v>
      </c>
      <c r="AT1372" s="15"/>
      <c r="AU1372" s="45"/>
      <c r="AV1372" s="15"/>
      <c r="AW1372" s="12" t="str">
        <f>B1372&amp;C1372&amp;L1372&amp;M1372&amp;O1372&amp;U1372&amp;AL1372&amp;AM1372</f>
        <v>MexicoBahía de los ÁngelesArbacia stellatadensityN/ARojas-Montiel2020</v>
      </c>
    </row>
    <row r="1373" spans="1:49" ht="14.25" customHeight="1" x14ac:dyDescent="0.35">
      <c r="A1373" s="12">
        <v>1372</v>
      </c>
      <c r="B1373" s="15" t="s">
        <v>254</v>
      </c>
      <c r="C1373" s="15" t="s">
        <v>324</v>
      </c>
      <c r="D1373" s="15" t="s">
        <v>324</v>
      </c>
      <c r="E1373" s="12" t="s">
        <v>68</v>
      </c>
      <c r="F1373" s="13" t="s">
        <v>50</v>
      </c>
      <c r="G1373" s="13" t="s">
        <v>51</v>
      </c>
      <c r="H1373" s="16" t="s">
        <v>78</v>
      </c>
      <c r="I1373" s="16" t="s">
        <v>53</v>
      </c>
      <c r="J1373" s="17">
        <v>1.94</v>
      </c>
      <c r="K1373" s="14"/>
      <c r="L1373" s="17" t="s">
        <v>316</v>
      </c>
      <c r="M1373" s="17"/>
      <c r="N1373" s="14" t="s">
        <v>85</v>
      </c>
      <c r="O1373" s="17" t="s">
        <v>86</v>
      </c>
      <c r="P1373" s="17"/>
      <c r="Q1373" s="17"/>
      <c r="R1373" s="17"/>
      <c r="S1373" s="17">
        <v>2600</v>
      </c>
      <c r="T1373" s="17">
        <v>4400</v>
      </c>
      <c r="U1373" s="19">
        <f t="shared" si="92"/>
        <v>1.6923076923076923</v>
      </c>
      <c r="V1373" s="41">
        <f t="shared" si="95"/>
        <v>69.230769230769226</v>
      </c>
      <c r="W1373" s="14"/>
      <c r="X1373" s="17" t="s">
        <v>56</v>
      </c>
      <c r="Y1373" s="17"/>
      <c r="Z1373" s="17" t="s">
        <v>56</v>
      </c>
      <c r="AA1373" s="17"/>
      <c r="AB1373" s="17" t="s">
        <v>57</v>
      </c>
      <c r="AC1373" s="17">
        <v>2014</v>
      </c>
      <c r="AD1373" s="17">
        <v>1</v>
      </c>
      <c r="AE1373" s="17"/>
      <c r="AF1373" s="17"/>
      <c r="AG1373" s="17">
        <v>2013</v>
      </c>
      <c r="AH1373" s="14">
        <f t="shared" si="93"/>
        <v>1</v>
      </c>
      <c r="AI1373" s="17">
        <f t="shared" si="94"/>
        <v>2</v>
      </c>
      <c r="AJ1373" s="17"/>
      <c r="AK1373" s="17" t="s">
        <v>56</v>
      </c>
      <c r="AL1373" s="16" t="s">
        <v>308</v>
      </c>
      <c r="AM1373" s="17">
        <v>2020</v>
      </c>
      <c r="AN1373" s="12" t="s">
        <v>309</v>
      </c>
      <c r="AO1373" s="15" t="s">
        <v>56</v>
      </c>
      <c r="AP1373" s="15"/>
      <c r="AQ1373" s="15" t="s">
        <v>56</v>
      </c>
      <c r="AR1373" s="15" t="s">
        <v>58</v>
      </c>
      <c r="AS1373" s="15" t="s">
        <v>62</v>
      </c>
      <c r="AT1373" s="12"/>
      <c r="AU1373" s="45"/>
      <c r="AV1373" s="15"/>
      <c r="AW1373" s="12" t="str">
        <f>B1373&amp;C1373&amp;L1373&amp;M1373&amp;O1373&amp;U1373&amp;AL1373&amp;AM1373</f>
        <v>MexicoBahía de los ÁngelesPhataria unifascialisdensity1.69230769230769Rojas-Montiel2020</v>
      </c>
    </row>
    <row r="1374" spans="1:49" ht="14.25" customHeight="1" x14ac:dyDescent="0.35">
      <c r="A1374" s="12">
        <v>1373</v>
      </c>
      <c r="B1374" s="15" t="s">
        <v>254</v>
      </c>
      <c r="C1374" s="15" t="s">
        <v>324</v>
      </c>
      <c r="D1374" s="15" t="s">
        <v>324</v>
      </c>
      <c r="E1374" s="12" t="s">
        <v>68</v>
      </c>
      <c r="F1374" s="13" t="s">
        <v>50</v>
      </c>
      <c r="G1374" s="13" t="s">
        <v>51</v>
      </c>
      <c r="H1374" s="16" t="s">
        <v>78</v>
      </c>
      <c r="I1374" s="16" t="s">
        <v>53</v>
      </c>
      <c r="J1374" s="17">
        <v>1.94</v>
      </c>
      <c r="K1374" s="14"/>
      <c r="L1374" s="17" t="s">
        <v>317</v>
      </c>
      <c r="M1374" s="17"/>
      <c r="N1374" s="14" t="s">
        <v>85</v>
      </c>
      <c r="O1374" s="17" t="s">
        <v>86</v>
      </c>
      <c r="P1374" s="17"/>
      <c r="Q1374" s="17"/>
      <c r="R1374" s="17"/>
      <c r="S1374" s="17">
        <v>1700</v>
      </c>
      <c r="T1374" s="17">
        <v>8500</v>
      </c>
      <c r="U1374" s="19">
        <f t="shared" si="92"/>
        <v>5</v>
      </c>
      <c r="V1374" s="41">
        <f t="shared" si="95"/>
        <v>400</v>
      </c>
      <c r="W1374" s="14"/>
      <c r="X1374" s="17" t="s">
        <v>56</v>
      </c>
      <c r="Y1374" s="17"/>
      <c r="Z1374" s="17" t="s">
        <v>56</v>
      </c>
      <c r="AA1374" s="17"/>
      <c r="AB1374" s="17" t="s">
        <v>57</v>
      </c>
      <c r="AC1374" s="17">
        <v>2014</v>
      </c>
      <c r="AD1374" s="17">
        <v>1</v>
      </c>
      <c r="AE1374" s="17"/>
      <c r="AF1374" s="17"/>
      <c r="AG1374" s="17">
        <v>2013</v>
      </c>
      <c r="AH1374" s="14">
        <f t="shared" si="93"/>
        <v>1</v>
      </c>
      <c r="AI1374" s="17">
        <f t="shared" si="94"/>
        <v>2</v>
      </c>
      <c r="AJ1374" s="17"/>
      <c r="AK1374" s="17" t="s">
        <v>56</v>
      </c>
      <c r="AL1374" s="16" t="s">
        <v>308</v>
      </c>
      <c r="AM1374" s="17">
        <v>2020</v>
      </c>
      <c r="AN1374" s="12" t="s">
        <v>309</v>
      </c>
      <c r="AO1374" s="15" t="s">
        <v>56</v>
      </c>
      <c r="AP1374" s="15"/>
      <c r="AQ1374" s="15" t="s">
        <v>56</v>
      </c>
      <c r="AR1374" s="15" t="s">
        <v>58</v>
      </c>
      <c r="AS1374" s="15" t="s">
        <v>62</v>
      </c>
      <c r="AT1374" s="12"/>
      <c r="AU1374" s="45"/>
      <c r="AV1374" s="15"/>
      <c r="AW1374" s="12" t="str">
        <f>B1374&amp;C1374&amp;L1374&amp;M1374&amp;O1374&amp;U1374&amp;AL1374&amp;AM1374</f>
        <v>MexicoBahía de los ÁngelesPharia pyramidatadensity5Rojas-Montiel2020</v>
      </c>
    </row>
    <row r="1375" spans="1:49" ht="14.25" customHeight="1" x14ac:dyDescent="0.35">
      <c r="A1375" s="12">
        <v>1374</v>
      </c>
      <c r="B1375" s="15" t="s">
        <v>254</v>
      </c>
      <c r="C1375" s="15" t="s">
        <v>324</v>
      </c>
      <c r="D1375" s="15" t="s">
        <v>324</v>
      </c>
      <c r="E1375" s="12" t="s">
        <v>68</v>
      </c>
      <c r="F1375" s="13" t="s">
        <v>50</v>
      </c>
      <c r="G1375" s="13" t="s">
        <v>51</v>
      </c>
      <c r="H1375" s="16" t="s">
        <v>78</v>
      </c>
      <c r="I1375" s="16" t="s">
        <v>53</v>
      </c>
      <c r="J1375" s="17">
        <v>1.94</v>
      </c>
      <c r="K1375" s="14"/>
      <c r="L1375" s="17" t="s">
        <v>318</v>
      </c>
      <c r="M1375" s="17"/>
      <c r="N1375" s="14" t="s">
        <v>85</v>
      </c>
      <c r="O1375" s="17" t="s">
        <v>86</v>
      </c>
      <c r="P1375" s="17"/>
      <c r="Q1375" s="17"/>
      <c r="R1375" s="17"/>
      <c r="S1375" s="17">
        <v>900</v>
      </c>
      <c r="T1375" s="17">
        <v>7400</v>
      </c>
      <c r="U1375" s="19">
        <f t="shared" si="92"/>
        <v>8.2222222222222214</v>
      </c>
      <c r="V1375" s="41">
        <f t="shared" si="95"/>
        <v>722.22222222222217</v>
      </c>
      <c r="W1375" s="14"/>
      <c r="X1375" s="17" t="s">
        <v>56</v>
      </c>
      <c r="Y1375" s="17"/>
      <c r="Z1375" s="17" t="s">
        <v>56</v>
      </c>
      <c r="AA1375" s="17"/>
      <c r="AB1375" s="17" t="s">
        <v>57</v>
      </c>
      <c r="AC1375" s="17">
        <v>2014</v>
      </c>
      <c r="AD1375" s="17">
        <v>1</v>
      </c>
      <c r="AE1375" s="17"/>
      <c r="AF1375" s="17"/>
      <c r="AG1375" s="17">
        <v>2013</v>
      </c>
      <c r="AH1375" s="14">
        <f t="shared" si="93"/>
        <v>1</v>
      </c>
      <c r="AI1375" s="17">
        <f t="shared" si="94"/>
        <v>2</v>
      </c>
      <c r="AJ1375" s="17"/>
      <c r="AK1375" s="17" t="s">
        <v>56</v>
      </c>
      <c r="AL1375" s="16" t="s">
        <v>308</v>
      </c>
      <c r="AM1375" s="17">
        <v>2020</v>
      </c>
      <c r="AN1375" s="12" t="s">
        <v>309</v>
      </c>
      <c r="AO1375" s="15" t="s">
        <v>56</v>
      </c>
      <c r="AP1375" s="15"/>
      <c r="AQ1375" s="15" t="s">
        <v>56</v>
      </c>
      <c r="AR1375" s="15" t="s">
        <v>58</v>
      </c>
      <c r="AS1375" s="15" t="s">
        <v>62</v>
      </c>
      <c r="AT1375" s="12"/>
      <c r="AU1375" s="45"/>
      <c r="AV1375" s="15"/>
      <c r="AW1375" s="12" t="str">
        <f>B1375&amp;C1375&amp;L1375&amp;M1375&amp;O1375&amp;U1375&amp;AL1375&amp;AM1375</f>
        <v>MexicoBahía de los ÁngelesPentaceraster cumingidensity8.22222222222222Rojas-Montiel2020</v>
      </c>
    </row>
    <row r="1376" spans="1:49" ht="14.25" customHeight="1" x14ac:dyDescent="0.35">
      <c r="A1376" s="12">
        <v>1375</v>
      </c>
      <c r="B1376" s="15" t="s">
        <v>254</v>
      </c>
      <c r="C1376" s="15" t="s">
        <v>324</v>
      </c>
      <c r="D1376" s="15" t="s">
        <v>324</v>
      </c>
      <c r="E1376" s="15" t="s">
        <v>68</v>
      </c>
      <c r="F1376" s="16" t="s">
        <v>50</v>
      </c>
      <c r="G1376" s="16" t="s">
        <v>51</v>
      </c>
      <c r="H1376" s="16" t="s">
        <v>78</v>
      </c>
      <c r="I1376" s="16" t="s">
        <v>53</v>
      </c>
      <c r="J1376" s="17">
        <v>1.94</v>
      </c>
      <c r="K1376" s="14"/>
      <c r="L1376" s="17" t="s">
        <v>319</v>
      </c>
      <c r="M1376" s="17"/>
      <c r="N1376" s="14" t="s">
        <v>85</v>
      </c>
      <c r="O1376" s="17" t="s">
        <v>86</v>
      </c>
      <c r="P1376" s="17"/>
      <c r="Q1376" s="17"/>
      <c r="R1376" s="17"/>
      <c r="S1376" s="17">
        <v>0</v>
      </c>
      <c r="T1376" s="17">
        <v>3000</v>
      </c>
      <c r="U1376" s="19" t="str">
        <f t="shared" si="92"/>
        <v>N/A</v>
      </c>
      <c r="V1376" s="41" t="str">
        <f t="shared" si="95"/>
        <v>N/A</v>
      </c>
      <c r="W1376" s="17"/>
      <c r="X1376" s="17" t="s">
        <v>56</v>
      </c>
      <c r="Y1376" s="17"/>
      <c r="Z1376" s="17" t="s">
        <v>56</v>
      </c>
      <c r="AA1376" s="17"/>
      <c r="AB1376" s="17" t="s">
        <v>57</v>
      </c>
      <c r="AC1376" s="17">
        <v>2014</v>
      </c>
      <c r="AD1376" s="17">
        <v>1</v>
      </c>
      <c r="AE1376" s="17"/>
      <c r="AF1376" s="17"/>
      <c r="AG1376" s="17">
        <v>2013</v>
      </c>
      <c r="AH1376" s="14">
        <f t="shared" si="93"/>
        <v>1</v>
      </c>
      <c r="AI1376" s="17">
        <f t="shared" si="94"/>
        <v>2</v>
      </c>
      <c r="AJ1376" s="17"/>
      <c r="AK1376" s="17" t="s">
        <v>56</v>
      </c>
      <c r="AL1376" s="16" t="s">
        <v>308</v>
      </c>
      <c r="AM1376" s="17">
        <v>2020</v>
      </c>
      <c r="AN1376" s="12" t="s">
        <v>309</v>
      </c>
      <c r="AO1376" s="15" t="s">
        <v>56</v>
      </c>
      <c r="AP1376" s="15"/>
      <c r="AQ1376" s="15" t="s">
        <v>56</v>
      </c>
      <c r="AR1376" s="15" t="s">
        <v>58</v>
      </c>
      <c r="AS1376" s="15" t="s">
        <v>62</v>
      </c>
      <c r="AT1376" s="12"/>
      <c r="AU1376" s="45"/>
      <c r="AV1376" s="15"/>
      <c r="AW1376" s="12" t="str">
        <f>B1376&amp;C1376&amp;L1376&amp;M1376&amp;O1376&amp;U1376&amp;AL1376&amp;AM1376</f>
        <v>MexicoBahía de los ÁngelesNidorellia armatadensityN/ARojas-Montiel2020</v>
      </c>
    </row>
    <row r="1377" spans="1:49" ht="14.25" customHeight="1" x14ac:dyDescent="0.35">
      <c r="A1377" s="12">
        <v>1376</v>
      </c>
      <c r="B1377" s="15" t="s">
        <v>254</v>
      </c>
      <c r="C1377" s="15" t="s">
        <v>324</v>
      </c>
      <c r="D1377" s="15" t="s">
        <v>324</v>
      </c>
      <c r="E1377" s="15" t="s">
        <v>68</v>
      </c>
      <c r="F1377" s="16" t="s">
        <v>50</v>
      </c>
      <c r="G1377" s="16" t="s">
        <v>51</v>
      </c>
      <c r="H1377" s="16" t="s">
        <v>78</v>
      </c>
      <c r="I1377" s="16" t="s">
        <v>53</v>
      </c>
      <c r="J1377" s="17">
        <v>1.94</v>
      </c>
      <c r="K1377" s="14"/>
      <c r="L1377" s="17" t="s">
        <v>320</v>
      </c>
      <c r="M1377" s="17"/>
      <c r="N1377" s="14" t="s">
        <v>85</v>
      </c>
      <c r="O1377" s="17" t="s">
        <v>86</v>
      </c>
      <c r="P1377" s="17"/>
      <c r="Q1377" s="17"/>
      <c r="R1377" s="17"/>
      <c r="S1377" s="17">
        <v>0</v>
      </c>
      <c r="T1377" s="17">
        <v>0</v>
      </c>
      <c r="U1377" s="19" t="str">
        <f t="shared" si="92"/>
        <v>N/A</v>
      </c>
      <c r="V1377" s="41" t="str">
        <f t="shared" si="95"/>
        <v>N/A</v>
      </c>
      <c r="W1377" s="17"/>
      <c r="X1377" s="17" t="s">
        <v>56</v>
      </c>
      <c r="Y1377" s="17"/>
      <c r="Z1377" s="17" t="s">
        <v>56</v>
      </c>
      <c r="AA1377" s="17"/>
      <c r="AB1377" s="17" t="s">
        <v>57</v>
      </c>
      <c r="AC1377" s="17">
        <v>2014</v>
      </c>
      <c r="AD1377" s="17">
        <v>1</v>
      </c>
      <c r="AE1377" s="17"/>
      <c r="AF1377" s="17"/>
      <c r="AG1377" s="17">
        <v>2013</v>
      </c>
      <c r="AH1377" s="14">
        <f t="shared" si="93"/>
        <v>1</v>
      </c>
      <c r="AI1377" s="17">
        <f t="shared" si="94"/>
        <v>2</v>
      </c>
      <c r="AJ1377" s="17"/>
      <c r="AK1377" s="17" t="s">
        <v>56</v>
      </c>
      <c r="AL1377" s="16" t="s">
        <v>308</v>
      </c>
      <c r="AM1377" s="17">
        <v>2020</v>
      </c>
      <c r="AN1377" s="12" t="s">
        <v>309</v>
      </c>
      <c r="AO1377" s="15" t="s">
        <v>56</v>
      </c>
      <c r="AP1377" s="15"/>
      <c r="AQ1377" s="15" t="s">
        <v>56</v>
      </c>
      <c r="AR1377" s="15" t="s">
        <v>58</v>
      </c>
      <c r="AS1377" s="15" t="s">
        <v>62</v>
      </c>
      <c r="AT1377" s="12"/>
      <c r="AU1377" s="45"/>
      <c r="AV1377" s="15"/>
      <c r="AW1377" s="12" t="str">
        <f>B1377&amp;C1377&amp;L1377&amp;M1377&amp;O1377&amp;U1377&amp;AL1377&amp;AM1377</f>
        <v>MexicoBahía de los ÁngelesAcanthaster plancidensityN/ARojas-Montiel2020</v>
      </c>
    </row>
    <row r="1378" spans="1:49" ht="14.25" customHeight="1" x14ac:dyDescent="0.35">
      <c r="A1378" s="12">
        <v>1377</v>
      </c>
      <c r="B1378" s="15" t="s">
        <v>254</v>
      </c>
      <c r="C1378" s="15" t="s">
        <v>324</v>
      </c>
      <c r="D1378" s="15" t="s">
        <v>324</v>
      </c>
      <c r="E1378" s="15" t="s">
        <v>68</v>
      </c>
      <c r="F1378" s="16" t="s">
        <v>50</v>
      </c>
      <c r="G1378" s="16" t="s">
        <v>51</v>
      </c>
      <c r="H1378" s="16" t="s">
        <v>78</v>
      </c>
      <c r="I1378" s="16" t="s">
        <v>53</v>
      </c>
      <c r="J1378" s="17">
        <v>1.94</v>
      </c>
      <c r="K1378" s="14"/>
      <c r="L1378" s="17" t="s">
        <v>321</v>
      </c>
      <c r="M1378" s="17"/>
      <c r="N1378" s="14" t="s">
        <v>85</v>
      </c>
      <c r="O1378" s="17" t="s">
        <v>86</v>
      </c>
      <c r="P1378" s="17"/>
      <c r="Q1378" s="17"/>
      <c r="R1378" s="17"/>
      <c r="S1378" s="17">
        <v>0</v>
      </c>
      <c r="T1378" s="17">
        <v>300</v>
      </c>
      <c r="U1378" s="19" t="str">
        <f t="shared" si="92"/>
        <v>N/A</v>
      </c>
      <c r="V1378" s="41" t="str">
        <f t="shared" si="95"/>
        <v>N/A</v>
      </c>
      <c r="W1378" s="17"/>
      <c r="X1378" s="17" t="s">
        <v>56</v>
      </c>
      <c r="Y1378" s="17"/>
      <c r="Z1378" s="17" t="s">
        <v>56</v>
      </c>
      <c r="AA1378" s="17"/>
      <c r="AB1378" s="17" t="s">
        <v>57</v>
      </c>
      <c r="AC1378" s="17">
        <v>2014</v>
      </c>
      <c r="AD1378" s="17">
        <v>1</v>
      </c>
      <c r="AE1378" s="17"/>
      <c r="AF1378" s="17"/>
      <c r="AG1378" s="17">
        <v>2013</v>
      </c>
      <c r="AH1378" s="14">
        <f t="shared" si="93"/>
        <v>1</v>
      </c>
      <c r="AI1378" s="17">
        <f t="shared" si="94"/>
        <v>2</v>
      </c>
      <c r="AJ1378" s="17"/>
      <c r="AK1378" s="17" t="s">
        <v>56</v>
      </c>
      <c r="AL1378" s="16" t="s">
        <v>308</v>
      </c>
      <c r="AM1378" s="17">
        <v>2020</v>
      </c>
      <c r="AN1378" s="12" t="s">
        <v>309</v>
      </c>
      <c r="AO1378" s="15" t="s">
        <v>56</v>
      </c>
      <c r="AP1378" s="15"/>
      <c r="AQ1378" s="15" t="s">
        <v>56</v>
      </c>
      <c r="AR1378" s="15" t="s">
        <v>58</v>
      </c>
      <c r="AS1378" s="15" t="s">
        <v>62</v>
      </c>
      <c r="AT1378" s="12"/>
      <c r="AU1378" s="45"/>
      <c r="AV1378" s="15"/>
      <c r="AW1378" s="12" t="str">
        <f>B1378&amp;C1378&amp;L1378&amp;M1378&amp;O1378&amp;U1378&amp;AL1378&amp;AM1378</f>
        <v>MexicoBahía de los ÁngelesMithrodia bradleyidensityN/ARojas-Montiel2020</v>
      </c>
    </row>
    <row r="1379" spans="1:49" ht="14.25" customHeight="1" x14ac:dyDescent="0.35">
      <c r="A1379" s="12">
        <v>1378</v>
      </c>
      <c r="B1379" s="15" t="s">
        <v>254</v>
      </c>
      <c r="C1379" s="15" t="s">
        <v>324</v>
      </c>
      <c r="D1379" s="15" t="s">
        <v>324</v>
      </c>
      <c r="E1379" s="15" t="s">
        <v>68</v>
      </c>
      <c r="F1379" s="16" t="s">
        <v>50</v>
      </c>
      <c r="G1379" s="16" t="s">
        <v>51</v>
      </c>
      <c r="H1379" s="16" t="s">
        <v>78</v>
      </c>
      <c r="I1379" s="16" t="s">
        <v>53</v>
      </c>
      <c r="J1379" s="17">
        <v>1.94</v>
      </c>
      <c r="K1379" s="14"/>
      <c r="L1379" s="17" t="s">
        <v>322</v>
      </c>
      <c r="M1379" s="17"/>
      <c r="N1379" s="14" t="s">
        <v>85</v>
      </c>
      <c r="O1379" s="17" t="s">
        <v>86</v>
      </c>
      <c r="P1379" s="17"/>
      <c r="Q1379" s="17"/>
      <c r="R1379" s="17"/>
      <c r="S1379" s="17">
        <v>0</v>
      </c>
      <c r="T1379" s="17">
        <v>0</v>
      </c>
      <c r="U1379" s="19" t="str">
        <f t="shared" si="92"/>
        <v>N/A</v>
      </c>
      <c r="V1379" s="41" t="str">
        <f t="shared" si="95"/>
        <v>N/A</v>
      </c>
      <c r="W1379" s="17"/>
      <c r="X1379" s="17" t="s">
        <v>56</v>
      </c>
      <c r="Y1379" s="17"/>
      <c r="Z1379" s="17" t="s">
        <v>56</v>
      </c>
      <c r="AA1379" s="17"/>
      <c r="AB1379" s="17" t="s">
        <v>57</v>
      </c>
      <c r="AC1379" s="17">
        <v>2014</v>
      </c>
      <c r="AD1379" s="17">
        <v>1</v>
      </c>
      <c r="AE1379" s="17"/>
      <c r="AF1379" s="17"/>
      <c r="AG1379" s="17">
        <v>2013</v>
      </c>
      <c r="AH1379" s="14">
        <f t="shared" si="93"/>
        <v>1</v>
      </c>
      <c r="AI1379" s="17">
        <f t="shared" si="94"/>
        <v>2</v>
      </c>
      <c r="AJ1379" s="17"/>
      <c r="AK1379" s="17" t="s">
        <v>56</v>
      </c>
      <c r="AL1379" s="16" t="s">
        <v>308</v>
      </c>
      <c r="AM1379" s="17">
        <v>2020</v>
      </c>
      <c r="AN1379" s="12" t="s">
        <v>309</v>
      </c>
      <c r="AO1379" s="15" t="s">
        <v>56</v>
      </c>
      <c r="AP1379" s="15"/>
      <c r="AQ1379" s="15" t="s">
        <v>56</v>
      </c>
      <c r="AR1379" s="15" t="s">
        <v>58</v>
      </c>
      <c r="AS1379" s="15" t="s">
        <v>62</v>
      </c>
      <c r="AT1379" s="12"/>
      <c r="AU1379" s="45"/>
      <c r="AV1379" s="15"/>
      <c r="AW1379" s="12" t="str">
        <f>B1379&amp;C1379&amp;L1379&amp;M1379&amp;O1379&amp;U1379&amp;AL1379&amp;AM1379</f>
        <v>MexicoBahía de los ÁngelesHeliaster kubinijidensityN/ARojas-Montiel2020</v>
      </c>
    </row>
    <row r="1380" spans="1:49" ht="14.25" customHeight="1" x14ac:dyDescent="0.35">
      <c r="A1380" s="12">
        <v>1379</v>
      </c>
      <c r="B1380" s="15" t="s">
        <v>254</v>
      </c>
      <c r="C1380" s="15" t="s">
        <v>324</v>
      </c>
      <c r="D1380" s="15" t="s">
        <v>324</v>
      </c>
      <c r="E1380" s="15" t="s">
        <v>68</v>
      </c>
      <c r="F1380" s="16" t="s">
        <v>50</v>
      </c>
      <c r="G1380" s="16" t="s">
        <v>51</v>
      </c>
      <c r="H1380" s="16" t="s">
        <v>78</v>
      </c>
      <c r="I1380" s="16" t="s">
        <v>53</v>
      </c>
      <c r="J1380" s="17">
        <v>1.94</v>
      </c>
      <c r="K1380" s="14"/>
      <c r="L1380" s="17" t="s">
        <v>323</v>
      </c>
      <c r="M1380" s="17"/>
      <c r="N1380" s="14" t="s">
        <v>85</v>
      </c>
      <c r="O1380" s="17" t="s">
        <v>86</v>
      </c>
      <c r="P1380" s="17"/>
      <c r="Q1380" s="17"/>
      <c r="R1380" s="17"/>
      <c r="S1380" s="17">
        <v>0</v>
      </c>
      <c r="T1380" s="17">
        <v>0</v>
      </c>
      <c r="U1380" s="19" t="str">
        <f t="shared" si="92"/>
        <v>N/A</v>
      </c>
      <c r="V1380" s="41" t="str">
        <f t="shared" si="95"/>
        <v>N/A</v>
      </c>
      <c r="W1380" s="17"/>
      <c r="X1380" s="17" t="s">
        <v>56</v>
      </c>
      <c r="Y1380" s="17"/>
      <c r="Z1380" s="17" t="s">
        <v>56</v>
      </c>
      <c r="AA1380" s="17"/>
      <c r="AB1380" s="17" t="s">
        <v>57</v>
      </c>
      <c r="AC1380" s="17">
        <v>2014</v>
      </c>
      <c r="AD1380" s="17">
        <v>1</v>
      </c>
      <c r="AE1380" s="17"/>
      <c r="AF1380" s="17"/>
      <c r="AG1380" s="17">
        <v>2013</v>
      </c>
      <c r="AH1380" s="14">
        <f t="shared" si="93"/>
        <v>1</v>
      </c>
      <c r="AI1380" s="17">
        <f t="shared" si="94"/>
        <v>2</v>
      </c>
      <c r="AJ1380" s="17"/>
      <c r="AK1380" s="17" t="s">
        <v>56</v>
      </c>
      <c r="AL1380" s="16" t="s">
        <v>308</v>
      </c>
      <c r="AM1380" s="17">
        <v>2020</v>
      </c>
      <c r="AN1380" s="12" t="s">
        <v>309</v>
      </c>
      <c r="AO1380" s="15" t="s">
        <v>56</v>
      </c>
      <c r="AP1380" s="15"/>
      <c r="AQ1380" s="15" t="s">
        <v>56</v>
      </c>
      <c r="AR1380" s="15" t="s">
        <v>58</v>
      </c>
      <c r="AS1380" s="15" t="s">
        <v>62</v>
      </c>
      <c r="AT1380" s="12"/>
      <c r="AU1380" s="45"/>
      <c r="AV1380" s="15"/>
      <c r="AW1380" s="12" t="str">
        <f>B1380&amp;C1380&amp;L1380&amp;M1380&amp;O1380&amp;U1380&amp;AL1380&amp;AM1380</f>
        <v>MexicoBahía de los ÁngelesEchinaster tenuispinadensityN/ARojas-Montiel2020</v>
      </c>
    </row>
    <row r="1381" spans="1:49" ht="14.25" customHeight="1" x14ac:dyDescent="0.35">
      <c r="A1381" s="12">
        <v>1380</v>
      </c>
      <c r="B1381" s="15" t="s">
        <v>254</v>
      </c>
      <c r="C1381" s="15" t="s">
        <v>2712</v>
      </c>
      <c r="D1381" s="15" t="s">
        <v>2712</v>
      </c>
      <c r="E1381" s="15" t="s">
        <v>68</v>
      </c>
      <c r="F1381" s="16" t="s">
        <v>50</v>
      </c>
      <c r="G1381" s="16" t="s">
        <v>51</v>
      </c>
      <c r="H1381" s="16" t="s">
        <v>78</v>
      </c>
      <c r="I1381" s="16" t="s">
        <v>53</v>
      </c>
      <c r="J1381" s="17">
        <v>11</v>
      </c>
      <c r="K1381" s="14"/>
      <c r="L1381" s="17" t="s">
        <v>307</v>
      </c>
      <c r="M1381" s="17"/>
      <c r="N1381" s="14" t="s">
        <v>85</v>
      </c>
      <c r="O1381" s="17" t="s">
        <v>86</v>
      </c>
      <c r="P1381" s="17"/>
      <c r="Q1381" s="17"/>
      <c r="R1381" s="17"/>
      <c r="S1381" s="17">
        <v>12700</v>
      </c>
      <c r="T1381" s="17">
        <v>294400</v>
      </c>
      <c r="U1381" s="19">
        <f t="shared" si="92"/>
        <v>23.181102362204726</v>
      </c>
      <c r="V1381" s="41">
        <f t="shared" si="95"/>
        <v>2218.1102362204724</v>
      </c>
      <c r="W1381" s="17"/>
      <c r="X1381" s="17" t="s">
        <v>56</v>
      </c>
      <c r="Y1381" s="17"/>
      <c r="Z1381" s="17" t="s">
        <v>56</v>
      </c>
      <c r="AA1381" s="17"/>
      <c r="AB1381" s="17" t="s">
        <v>57</v>
      </c>
      <c r="AC1381" s="17">
        <v>2014</v>
      </c>
      <c r="AD1381" s="17">
        <v>1</v>
      </c>
      <c r="AE1381" s="17"/>
      <c r="AF1381" s="17"/>
      <c r="AG1381" s="17">
        <v>2011</v>
      </c>
      <c r="AH1381" s="14">
        <f t="shared" si="93"/>
        <v>3</v>
      </c>
      <c r="AI1381" s="17">
        <f t="shared" si="94"/>
        <v>4</v>
      </c>
      <c r="AJ1381" s="17"/>
      <c r="AK1381" s="17" t="s">
        <v>56</v>
      </c>
      <c r="AL1381" s="16" t="s">
        <v>308</v>
      </c>
      <c r="AM1381" s="17">
        <v>2020</v>
      </c>
      <c r="AN1381" s="12" t="s">
        <v>309</v>
      </c>
      <c r="AO1381" s="15" t="s">
        <v>56</v>
      </c>
      <c r="AP1381" s="15"/>
      <c r="AQ1381" s="15" t="s">
        <v>56</v>
      </c>
      <c r="AR1381" s="15" t="s">
        <v>58</v>
      </c>
      <c r="AS1381" s="15" t="s">
        <v>62</v>
      </c>
      <c r="AT1381" s="12"/>
      <c r="AU1381" s="45"/>
      <c r="AV1381" s="15"/>
      <c r="AW1381" s="12" t="str">
        <f>B1381&amp;C1381&amp;L1381&amp;M1381&amp;O1381&amp;U1381&amp;AL1381&amp;AM1381</f>
        <v>MexicoSan Pedro Mártir Biosphere ReserveEucidaris thouarsiidensity23.1811023622047Rojas-Montiel2020</v>
      </c>
    </row>
    <row r="1382" spans="1:49" ht="14.25" customHeight="1" x14ac:dyDescent="0.35">
      <c r="A1382" s="12">
        <v>1381</v>
      </c>
      <c r="B1382" s="15" t="s">
        <v>254</v>
      </c>
      <c r="C1382" s="15" t="s">
        <v>2712</v>
      </c>
      <c r="D1382" s="15" t="s">
        <v>2712</v>
      </c>
      <c r="E1382" s="15" t="s">
        <v>68</v>
      </c>
      <c r="F1382" s="16" t="s">
        <v>50</v>
      </c>
      <c r="G1382" s="16" t="s">
        <v>51</v>
      </c>
      <c r="H1382" s="16" t="s">
        <v>78</v>
      </c>
      <c r="I1382" s="16" t="s">
        <v>53</v>
      </c>
      <c r="J1382" s="17">
        <v>11</v>
      </c>
      <c r="K1382" s="14"/>
      <c r="L1382" s="17" t="s">
        <v>310</v>
      </c>
      <c r="M1382" s="17" t="s">
        <v>513</v>
      </c>
      <c r="N1382" s="14" t="s">
        <v>85</v>
      </c>
      <c r="O1382" s="17" t="s">
        <v>86</v>
      </c>
      <c r="P1382" s="17"/>
      <c r="Q1382" s="17"/>
      <c r="R1382" s="17"/>
      <c r="S1382" s="17">
        <v>59600</v>
      </c>
      <c r="T1382" s="17">
        <v>64200</v>
      </c>
      <c r="U1382" s="19">
        <f t="shared" si="92"/>
        <v>1.0771812080536913</v>
      </c>
      <c r="V1382" s="41">
        <f t="shared" si="95"/>
        <v>7.718120805369133</v>
      </c>
      <c r="W1382" s="17"/>
      <c r="X1382" s="17" t="s">
        <v>56</v>
      </c>
      <c r="Y1382" s="17"/>
      <c r="Z1382" s="17" t="s">
        <v>56</v>
      </c>
      <c r="AA1382" s="17"/>
      <c r="AB1382" s="17" t="s">
        <v>57</v>
      </c>
      <c r="AC1382" s="17">
        <v>2014</v>
      </c>
      <c r="AD1382" s="17">
        <v>1</v>
      </c>
      <c r="AE1382" s="17"/>
      <c r="AF1382" s="17"/>
      <c r="AG1382" s="17">
        <v>2011</v>
      </c>
      <c r="AH1382" s="14">
        <f t="shared" si="93"/>
        <v>3</v>
      </c>
      <c r="AI1382" s="17">
        <f t="shared" si="94"/>
        <v>4</v>
      </c>
      <c r="AJ1382" s="17"/>
      <c r="AK1382" s="17" t="s">
        <v>56</v>
      </c>
      <c r="AL1382" s="16" t="s">
        <v>308</v>
      </c>
      <c r="AM1382" s="17">
        <v>2020</v>
      </c>
      <c r="AN1382" s="12" t="s">
        <v>309</v>
      </c>
      <c r="AO1382" s="15" t="s">
        <v>56</v>
      </c>
      <c r="AP1382" s="15"/>
      <c r="AQ1382" s="15" t="s">
        <v>56</v>
      </c>
      <c r="AR1382" s="15" t="s">
        <v>58</v>
      </c>
      <c r="AS1382" s="15" t="s">
        <v>62</v>
      </c>
      <c r="AT1382" s="12"/>
      <c r="AU1382" s="45"/>
      <c r="AV1382" s="15"/>
      <c r="AW1382" s="12" t="str">
        <f>B1382&amp;C1382&amp;L1382&amp;M1382&amp;O1382&amp;U1382&amp;AL1382&amp;AM1382</f>
        <v>MexicoSan Pedro Mártir Biosphere ReserveTripneustes depressuswhite sea urchindensity1.07718120805369Rojas-Montiel2020</v>
      </c>
    </row>
    <row r="1383" spans="1:49" ht="14.25" customHeight="1" x14ac:dyDescent="0.35">
      <c r="A1383" s="12">
        <v>1382</v>
      </c>
      <c r="B1383" s="15" t="s">
        <v>254</v>
      </c>
      <c r="C1383" s="15" t="s">
        <v>2712</v>
      </c>
      <c r="D1383" s="15" t="s">
        <v>2712</v>
      </c>
      <c r="E1383" s="15" t="s">
        <v>68</v>
      </c>
      <c r="F1383" s="16" t="s">
        <v>50</v>
      </c>
      <c r="G1383" s="16" t="s">
        <v>51</v>
      </c>
      <c r="H1383" s="16" t="s">
        <v>78</v>
      </c>
      <c r="I1383" s="16" t="s">
        <v>53</v>
      </c>
      <c r="J1383" s="17">
        <v>11</v>
      </c>
      <c r="K1383" s="14"/>
      <c r="L1383" s="17" t="s">
        <v>311</v>
      </c>
      <c r="M1383" s="17"/>
      <c r="N1383" s="14" t="s">
        <v>85</v>
      </c>
      <c r="O1383" s="17" t="s">
        <v>86</v>
      </c>
      <c r="P1383" s="17"/>
      <c r="Q1383" s="17"/>
      <c r="R1383" s="17"/>
      <c r="S1383" s="17">
        <v>9000</v>
      </c>
      <c r="T1383" s="17">
        <v>200</v>
      </c>
      <c r="U1383" s="20">
        <f t="shared" si="92"/>
        <v>2.2222222222222223E-2</v>
      </c>
      <c r="V1383" s="41">
        <f t="shared" si="95"/>
        <v>-97.777777777777771</v>
      </c>
      <c r="W1383" s="17"/>
      <c r="X1383" s="17" t="s">
        <v>56</v>
      </c>
      <c r="Y1383" s="17"/>
      <c r="Z1383" s="17" t="s">
        <v>56</v>
      </c>
      <c r="AA1383" s="17"/>
      <c r="AB1383" s="17" t="s">
        <v>57</v>
      </c>
      <c r="AC1383" s="17">
        <v>2014</v>
      </c>
      <c r="AD1383" s="17">
        <v>1</v>
      </c>
      <c r="AE1383" s="17"/>
      <c r="AF1383" s="17"/>
      <c r="AG1383" s="17">
        <v>2011</v>
      </c>
      <c r="AH1383" s="14">
        <f t="shared" si="93"/>
        <v>3</v>
      </c>
      <c r="AI1383" s="17">
        <f t="shared" si="94"/>
        <v>4</v>
      </c>
      <c r="AJ1383" s="17"/>
      <c r="AK1383" s="17" t="s">
        <v>56</v>
      </c>
      <c r="AL1383" s="16" t="s">
        <v>308</v>
      </c>
      <c r="AM1383" s="17">
        <v>2020</v>
      </c>
      <c r="AN1383" s="12" t="s">
        <v>309</v>
      </c>
      <c r="AO1383" s="15" t="s">
        <v>56</v>
      </c>
      <c r="AP1383" s="15"/>
      <c r="AQ1383" s="15" t="s">
        <v>56</v>
      </c>
      <c r="AR1383" s="15" t="s">
        <v>58</v>
      </c>
      <c r="AS1383" s="15" t="s">
        <v>62</v>
      </c>
      <c r="AT1383" s="15"/>
      <c r="AU1383" s="45"/>
      <c r="AV1383" s="15"/>
      <c r="AW1383" s="12" t="str">
        <f>B1383&amp;C1383&amp;L1383&amp;M1383&amp;O1383&amp;U1383&amp;AL1383&amp;AM1383</f>
        <v>MexicoSan Pedro Mártir Biosphere ReserveToxopneustes roseusdensity0.0222222222222222Rojas-Montiel2020</v>
      </c>
    </row>
    <row r="1384" spans="1:49" ht="14.25" customHeight="1" x14ac:dyDescent="0.35">
      <c r="A1384" s="12">
        <v>1383</v>
      </c>
      <c r="B1384" s="15" t="s">
        <v>254</v>
      </c>
      <c r="C1384" s="15" t="s">
        <v>2712</v>
      </c>
      <c r="D1384" s="15" t="s">
        <v>2712</v>
      </c>
      <c r="E1384" s="15" t="s">
        <v>68</v>
      </c>
      <c r="F1384" s="16" t="s">
        <v>50</v>
      </c>
      <c r="G1384" s="16" t="s">
        <v>51</v>
      </c>
      <c r="H1384" s="16" t="s">
        <v>78</v>
      </c>
      <c r="I1384" s="16" t="s">
        <v>53</v>
      </c>
      <c r="J1384" s="17">
        <v>11</v>
      </c>
      <c r="K1384" s="14"/>
      <c r="L1384" s="17" t="s">
        <v>312</v>
      </c>
      <c r="M1384" s="17"/>
      <c r="N1384" s="14" t="s">
        <v>85</v>
      </c>
      <c r="O1384" s="17" t="s">
        <v>86</v>
      </c>
      <c r="P1384" s="17"/>
      <c r="Q1384" s="17"/>
      <c r="R1384" s="17"/>
      <c r="S1384" s="17">
        <v>0</v>
      </c>
      <c r="T1384" s="17">
        <v>0</v>
      </c>
      <c r="U1384" s="19" t="str">
        <f t="shared" si="92"/>
        <v>N/A</v>
      </c>
      <c r="V1384" s="41" t="str">
        <f t="shared" si="95"/>
        <v>N/A</v>
      </c>
      <c r="W1384" s="17"/>
      <c r="X1384" s="17" t="s">
        <v>56</v>
      </c>
      <c r="Y1384" s="17"/>
      <c r="Z1384" s="17" t="s">
        <v>56</v>
      </c>
      <c r="AA1384" s="17"/>
      <c r="AB1384" s="17" t="s">
        <v>57</v>
      </c>
      <c r="AC1384" s="17">
        <v>2014</v>
      </c>
      <c r="AD1384" s="17">
        <v>1</v>
      </c>
      <c r="AE1384" s="17"/>
      <c r="AF1384" s="17"/>
      <c r="AG1384" s="17">
        <v>2011</v>
      </c>
      <c r="AH1384" s="14">
        <f t="shared" si="93"/>
        <v>3</v>
      </c>
      <c r="AI1384" s="17">
        <f t="shared" si="94"/>
        <v>4</v>
      </c>
      <c r="AJ1384" s="17"/>
      <c r="AK1384" s="17" t="s">
        <v>56</v>
      </c>
      <c r="AL1384" s="16" t="s">
        <v>308</v>
      </c>
      <c r="AM1384" s="17">
        <v>2020</v>
      </c>
      <c r="AN1384" s="12" t="s">
        <v>309</v>
      </c>
      <c r="AO1384" s="15" t="s">
        <v>56</v>
      </c>
      <c r="AP1384" s="15"/>
      <c r="AQ1384" s="15" t="s">
        <v>56</v>
      </c>
      <c r="AR1384" s="15" t="s">
        <v>58</v>
      </c>
      <c r="AS1384" s="15" t="s">
        <v>62</v>
      </c>
      <c r="AT1384" s="12"/>
      <c r="AU1384" s="45"/>
      <c r="AV1384" s="15"/>
      <c r="AW1384" s="12" t="str">
        <f>B1384&amp;C1384&amp;L1384&amp;M1384&amp;O1384&amp;U1384&amp;AL1384&amp;AM1384</f>
        <v>MexicoSan Pedro Mártir Biosphere ReserveEchinometra vanbruntidensityN/ARojas-Montiel2020</v>
      </c>
    </row>
    <row r="1385" spans="1:49" ht="14.25" customHeight="1" x14ac:dyDescent="0.35">
      <c r="A1385" s="12">
        <v>1384</v>
      </c>
      <c r="B1385" s="12" t="s">
        <v>254</v>
      </c>
      <c r="C1385" s="15" t="s">
        <v>2712</v>
      </c>
      <c r="D1385" s="15" t="s">
        <v>2712</v>
      </c>
      <c r="E1385" s="12" t="s">
        <v>68</v>
      </c>
      <c r="F1385" s="13" t="s">
        <v>50</v>
      </c>
      <c r="G1385" s="13" t="s">
        <v>51</v>
      </c>
      <c r="H1385" s="13" t="s">
        <v>78</v>
      </c>
      <c r="I1385" s="13" t="s">
        <v>53</v>
      </c>
      <c r="J1385" s="14">
        <v>11</v>
      </c>
      <c r="K1385" s="14"/>
      <c r="L1385" s="14" t="s">
        <v>313</v>
      </c>
      <c r="M1385" s="14"/>
      <c r="N1385" s="14" t="s">
        <v>85</v>
      </c>
      <c r="O1385" s="17" t="s">
        <v>86</v>
      </c>
      <c r="P1385" s="14"/>
      <c r="Q1385" s="14"/>
      <c r="R1385" s="14"/>
      <c r="S1385" s="14">
        <v>1100</v>
      </c>
      <c r="T1385" s="14">
        <v>15700</v>
      </c>
      <c r="U1385" s="19">
        <f t="shared" si="92"/>
        <v>14.272727272727273</v>
      </c>
      <c r="V1385" s="41">
        <f t="shared" si="95"/>
        <v>1327.2727272727273</v>
      </c>
      <c r="W1385" s="14"/>
      <c r="X1385" s="14" t="s">
        <v>56</v>
      </c>
      <c r="Z1385" s="14" t="s">
        <v>56</v>
      </c>
      <c r="AA1385" s="14"/>
      <c r="AB1385" s="14" t="s">
        <v>57</v>
      </c>
      <c r="AC1385" s="14">
        <v>2014</v>
      </c>
      <c r="AD1385" s="14">
        <v>1</v>
      </c>
      <c r="AE1385" s="14"/>
      <c r="AF1385" s="14"/>
      <c r="AG1385" s="17">
        <v>2011</v>
      </c>
      <c r="AH1385" s="14">
        <f t="shared" si="93"/>
        <v>3</v>
      </c>
      <c r="AI1385" s="17">
        <f t="shared" si="94"/>
        <v>4</v>
      </c>
      <c r="AJ1385" s="14"/>
      <c r="AK1385" s="14" t="s">
        <v>56</v>
      </c>
      <c r="AL1385" s="13" t="s">
        <v>308</v>
      </c>
      <c r="AM1385" s="14">
        <v>2020</v>
      </c>
      <c r="AN1385" s="12" t="s">
        <v>309</v>
      </c>
      <c r="AO1385" s="12" t="s">
        <v>56</v>
      </c>
      <c r="AP1385" s="12"/>
      <c r="AQ1385" s="12" t="s">
        <v>56</v>
      </c>
      <c r="AR1385" s="12" t="s">
        <v>58</v>
      </c>
      <c r="AS1385" s="12" t="s">
        <v>62</v>
      </c>
      <c r="AT1385" s="12"/>
      <c r="AU1385" s="45"/>
      <c r="AV1385" s="15"/>
      <c r="AW1385" s="12" t="str">
        <f>B1385&amp;C1385&amp;L1385&amp;M1385&amp;O1385&amp;U1385&amp;AL1385&amp;AM1385</f>
        <v>MexicoSan Pedro Mártir Biosphere ReserveDiadema mexicanumdensity14.2727272727273Rojas-Montiel2020</v>
      </c>
    </row>
    <row r="1386" spans="1:49" ht="14.25" customHeight="1" x14ac:dyDescent="0.35">
      <c r="A1386" s="12">
        <v>1385</v>
      </c>
      <c r="B1386" s="12" t="s">
        <v>254</v>
      </c>
      <c r="C1386" s="15" t="s">
        <v>2712</v>
      </c>
      <c r="D1386" s="15" t="s">
        <v>2712</v>
      </c>
      <c r="E1386" s="12" t="s">
        <v>68</v>
      </c>
      <c r="F1386" s="13" t="s">
        <v>50</v>
      </c>
      <c r="G1386" s="13" t="s">
        <v>51</v>
      </c>
      <c r="H1386" s="13" t="s">
        <v>78</v>
      </c>
      <c r="I1386" s="13" t="s">
        <v>53</v>
      </c>
      <c r="J1386" s="17">
        <v>11</v>
      </c>
      <c r="K1386" s="14"/>
      <c r="L1386" s="14" t="s">
        <v>314</v>
      </c>
      <c r="M1386" s="14"/>
      <c r="N1386" s="14" t="s">
        <v>85</v>
      </c>
      <c r="O1386" s="17" t="s">
        <v>86</v>
      </c>
      <c r="P1386" s="14"/>
      <c r="Q1386" s="14"/>
      <c r="R1386" s="14"/>
      <c r="S1386" s="14">
        <v>600</v>
      </c>
      <c r="T1386" s="14">
        <v>2000</v>
      </c>
      <c r="U1386" s="19">
        <f t="shared" si="92"/>
        <v>3.3333333333333335</v>
      </c>
      <c r="V1386" s="41">
        <f t="shared" si="95"/>
        <v>233.33333333333334</v>
      </c>
      <c r="W1386" s="14"/>
      <c r="X1386" s="14" t="s">
        <v>56</v>
      </c>
      <c r="Z1386" s="14" t="s">
        <v>56</v>
      </c>
      <c r="AA1386" s="14"/>
      <c r="AB1386" s="14" t="s">
        <v>57</v>
      </c>
      <c r="AC1386" s="14">
        <v>2014</v>
      </c>
      <c r="AD1386" s="14">
        <v>1</v>
      </c>
      <c r="AE1386" s="14"/>
      <c r="AF1386" s="14"/>
      <c r="AG1386" s="17">
        <v>2011</v>
      </c>
      <c r="AH1386" s="14">
        <f t="shared" si="93"/>
        <v>3</v>
      </c>
      <c r="AI1386" s="17">
        <f t="shared" si="94"/>
        <v>4</v>
      </c>
      <c r="AJ1386" s="14"/>
      <c r="AK1386" s="14" t="s">
        <v>56</v>
      </c>
      <c r="AL1386" s="13" t="s">
        <v>308</v>
      </c>
      <c r="AM1386" s="14">
        <v>2020</v>
      </c>
      <c r="AN1386" s="12" t="s">
        <v>309</v>
      </c>
      <c r="AO1386" s="12" t="s">
        <v>56</v>
      </c>
      <c r="AP1386" s="12"/>
      <c r="AQ1386" s="12" t="s">
        <v>56</v>
      </c>
      <c r="AR1386" s="12" t="s">
        <v>58</v>
      </c>
      <c r="AS1386" s="12" t="s">
        <v>62</v>
      </c>
      <c r="AT1386" s="12"/>
      <c r="AU1386" s="45"/>
      <c r="AV1386" s="15"/>
      <c r="AW1386" s="12" t="str">
        <f>B1386&amp;C1386&amp;L1386&amp;M1386&amp;O1386&amp;U1386&amp;AL1386&amp;AM1386</f>
        <v>MexicoSan Pedro Mártir Biosphere ReserveCentrostephanus coronatudensity3.33333333333333Rojas-Montiel2020</v>
      </c>
    </row>
    <row r="1387" spans="1:49" ht="14.25" customHeight="1" x14ac:dyDescent="0.35">
      <c r="A1387" s="12">
        <v>1386</v>
      </c>
      <c r="B1387" s="12" t="s">
        <v>254</v>
      </c>
      <c r="C1387" s="15" t="s">
        <v>2712</v>
      </c>
      <c r="D1387" s="15" t="s">
        <v>2712</v>
      </c>
      <c r="E1387" s="12" t="s">
        <v>68</v>
      </c>
      <c r="F1387" s="13" t="s">
        <v>50</v>
      </c>
      <c r="G1387" s="13" t="s">
        <v>51</v>
      </c>
      <c r="H1387" s="13" t="s">
        <v>78</v>
      </c>
      <c r="I1387" s="13" t="s">
        <v>53</v>
      </c>
      <c r="J1387" s="17">
        <v>11</v>
      </c>
      <c r="K1387" s="14"/>
      <c r="L1387" s="14" t="s">
        <v>315</v>
      </c>
      <c r="M1387" s="14"/>
      <c r="N1387" s="14" t="s">
        <v>85</v>
      </c>
      <c r="O1387" s="17" t="s">
        <v>86</v>
      </c>
      <c r="P1387" s="14"/>
      <c r="Q1387" s="14"/>
      <c r="R1387" s="14"/>
      <c r="S1387" s="14">
        <v>0</v>
      </c>
      <c r="T1387" s="14">
        <v>0</v>
      </c>
      <c r="U1387" s="19" t="str">
        <f t="shared" si="92"/>
        <v>N/A</v>
      </c>
      <c r="V1387" s="41" t="str">
        <f t="shared" si="95"/>
        <v>N/A</v>
      </c>
      <c r="W1387" s="14"/>
      <c r="X1387" s="14" t="s">
        <v>56</v>
      </c>
      <c r="Z1387" s="14" t="s">
        <v>56</v>
      </c>
      <c r="AA1387" s="14"/>
      <c r="AB1387" s="14" t="s">
        <v>57</v>
      </c>
      <c r="AC1387" s="14">
        <v>2014</v>
      </c>
      <c r="AD1387" s="14">
        <v>1</v>
      </c>
      <c r="AE1387" s="14"/>
      <c r="AF1387" s="14"/>
      <c r="AG1387" s="17">
        <v>2011</v>
      </c>
      <c r="AH1387" s="14">
        <f t="shared" si="93"/>
        <v>3</v>
      </c>
      <c r="AI1387" s="17">
        <f t="shared" si="94"/>
        <v>4</v>
      </c>
      <c r="AJ1387" s="14"/>
      <c r="AK1387" s="14" t="s">
        <v>56</v>
      </c>
      <c r="AL1387" s="13" t="s">
        <v>308</v>
      </c>
      <c r="AM1387" s="14">
        <v>2020</v>
      </c>
      <c r="AN1387" s="12" t="s">
        <v>309</v>
      </c>
      <c r="AO1387" s="12" t="s">
        <v>56</v>
      </c>
      <c r="AP1387" s="12"/>
      <c r="AQ1387" s="12" t="s">
        <v>56</v>
      </c>
      <c r="AR1387" s="12" t="s">
        <v>58</v>
      </c>
      <c r="AS1387" s="12" t="s">
        <v>62</v>
      </c>
      <c r="AT1387" s="12"/>
      <c r="AU1387" s="45"/>
      <c r="AV1387" s="15"/>
      <c r="AW1387" s="12" t="str">
        <f>B1387&amp;C1387&amp;L1387&amp;M1387&amp;O1387&amp;U1387&amp;AL1387&amp;AM1387</f>
        <v>MexicoSan Pedro Mártir Biosphere ReserveArbacia stellatadensityN/ARojas-Montiel2020</v>
      </c>
    </row>
    <row r="1388" spans="1:49" ht="14.25" customHeight="1" x14ac:dyDescent="0.35">
      <c r="A1388" s="12">
        <v>1387</v>
      </c>
      <c r="B1388" s="12" t="s">
        <v>254</v>
      </c>
      <c r="C1388" s="15" t="s">
        <v>2712</v>
      </c>
      <c r="D1388" s="15" t="s">
        <v>2712</v>
      </c>
      <c r="E1388" s="12" t="s">
        <v>68</v>
      </c>
      <c r="F1388" s="13" t="s">
        <v>50</v>
      </c>
      <c r="G1388" s="13" t="s">
        <v>51</v>
      </c>
      <c r="H1388" s="13" t="s">
        <v>78</v>
      </c>
      <c r="I1388" s="13" t="s">
        <v>53</v>
      </c>
      <c r="J1388" s="17">
        <v>11</v>
      </c>
      <c r="K1388" s="14"/>
      <c r="L1388" s="14" t="s">
        <v>316</v>
      </c>
      <c r="M1388" s="14"/>
      <c r="N1388" s="14" t="s">
        <v>85</v>
      </c>
      <c r="O1388" s="17" t="s">
        <v>86</v>
      </c>
      <c r="P1388" s="14"/>
      <c r="Q1388" s="14"/>
      <c r="R1388" s="14"/>
      <c r="S1388" s="14">
        <v>88400</v>
      </c>
      <c r="T1388" s="14">
        <v>73300</v>
      </c>
      <c r="U1388" s="19">
        <f t="shared" si="92"/>
        <v>0.829185520361991</v>
      </c>
      <c r="V1388" s="41">
        <f t="shared" si="95"/>
        <v>-17.081447963800901</v>
      </c>
      <c r="W1388" s="14"/>
      <c r="X1388" s="14" t="s">
        <v>56</v>
      </c>
      <c r="Z1388" s="14" t="s">
        <v>56</v>
      </c>
      <c r="AA1388" s="14"/>
      <c r="AB1388" s="14" t="s">
        <v>57</v>
      </c>
      <c r="AC1388" s="14">
        <v>2014</v>
      </c>
      <c r="AD1388" s="14">
        <v>1</v>
      </c>
      <c r="AE1388" s="14"/>
      <c r="AF1388" s="14"/>
      <c r="AG1388" s="17">
        <v>2011</v>
      </c>
      <c r="AH1388" s="14">
        <f t="shared" si="93"/>
        <v>3</v>
      </c>
      <c r="AI1388" s="17">
        <f t="shared" si="94"/>
        <v>4</v>
      </c>
      <c r="AJ1388" s="14"/>
      <c r="AK1388" s="14" t="s">
        <v>56</v>
      </c>
      <c r="AL1388" s="13" t="s">
        <v>308</v>
      </c>
      <c r="AM1388" s="14">
        <v>2020</v>
      </c>
      <c r="AN1388" s="12" t="s">
        <v>309</v>
      </c>
      <c r="AO1388" s="12" t="s">
        <v>56</v>
      </c>
      <c r="AP1388" s="12"/>
      <c r="AQ1388" s="12" t="s">
        <v>56</v>
      </c>
      <c r="AR1388" s="12" t="s">
        <v>58</v>
      </c>
      <c r="AS1388" s="12" t="s">
        <v>62</v>
      </c>
      <c r="AT1388" s="12"/>
      <c r="AU1388" s="45"/>
      <c r="AV1388" s="15"/>
      <c r="AW1388" s="12" t="str">
        <f>B1388&amp;C1388&amp;L1388&amp;M1388&amp;O1388&amp;U1388&amp;AL1388&amp;AM1388</f>
        <v>MexicoSan Pedro Mártir Biosphere ReservePhataria unifascialisdensity0.829185520361991Rojas-Montiel2020</v>
      </c>
    </row>
    <row r="1389" spans="1:49" ht="14.25" customHeight="1" x14ac:dyDescent="0.35">
      <c r="A1389" s="12">
        <v>1388</v>
      </c>
      <c r="B1389" s="12" t="s">
        <v>254</v>
      </c>
      <c r="C1389" s="15" t="s">
        <v>2712</v>
      </c>
      <c r="D1389" s="15" t="s">
        <v>2712</v>
      </c>
      <c r="E1389" s="12" t="s">
        <v>68</v>
      </c>
      <c r="F1389" s="13" t="s">
        <v>50</v>
      </c>
      <c r="G1389" s="13" t="s">
        <v>51</v>
      </c>
      <c r="H1389" s="13" t="s">
        <v>78</v>
      </c>
      <c r="I1389" s="13" t="s">
        <v>53</v>
      </c>
      <c r="J1389" s="17">
        <v>11</v>
      </c>
      <c r="K1389" s="14"/>
      <c r="L1389" s="14" t="s">
        <v>317</v>
      </c>
      <c r="M1389" s="14"/>
      <c r="N1389" s="14" t="s">
        <v>85</v>
      </c>
      <c r="O1389" s="17" t="s">
        <v>86</v>
      </c>
      <c r="P1389" s="14"/>
      <c r="Q1389" s="14"/>
      <c r="R1389" s="14"/>
      <c r="S1389" s="14">
        <v>6800</v>
      </c>
      <c r="T1389" s="14">
        <v>57600</v>
      </c>
      <c r="U1389" s="19">
        <f t="shared" si="92"/>
        <v>8.4705882352941178</v>
      </c>
      <c r="V1389" s="41">
        <f t="shared" si="95"/>
        <v>747.05882352941182</v>
      </c>
      <c r="W1389" s="14"/>
      <c r="X1389" s="14" t="s">
        <v>56</v>
      </c>
      <c r="Z1389" s="14" t="s">
        <v>56</v>
      </c>
      <c r="AA1389" s="14"/>
      <c r="AB1389" s="14" t="s">
        <v>57</v>
      </c>
      <c r="AC1389" s="14">
        <v>2014</v>
      </c>
      <c r="AD1389" s="14">
        <v>1</v>
      </c>
      <c r="AE1389" s="14"/>
      <c r="AF1389" s="14"/>
      <c r="AG1389" s="17">
        <v>2011</v>
      </c>
      <c r="AH1389" s="14">
        <f t="shared" si="93"/>
        <v>3</v>
      </c>
      <c r="AI1389" s="17">
        <f t="shared" si="94"/>
        <v>4</v>
      </c>
      <c r="AJ1389" s="14"/>
      <c r="AK1389" s="14" t="s">
        <v>56</v>
      </c>
      <c r="AL1389" s="13" t="s">
        <v>308</v>
      </c>
      <c r="AM1389" s="14">
        <v>2020</v>
      </c>
      <c r="AN1389" s="12" t="s">
        <v>309</v>
      </c>
      <c r="AO1389" s="12" t="s">
        <v>56</v>
      </c>
      <c r="AP1389" s="12"/>
      <c r="AQ1389" s="12" t="s">
        <v>56</v>
      </c>
      <c r="AR1389" s="12" t="s">
        <v>58</v>
      </c>
      <c r="AS1389" s="12" t="s">
        <v>62</v>
      </c>
      <c r="AT1389" s="12"/>
      <c r="AU1389" s="45"/>
      <c r="AV1389" s="15"/>
      <c r="AW1389" s="12" t="str">
        <f>B1389&amp;C1389&amp;L1389&amp;M1389&amp;O1389&amp;U1389&amp;AL1389&amp;AM1389</f>
        <v>MexicoSan Pedro Mártir Biosphere ReservePharia pyramidatadensity8.47058823529412Rojas-Montiel2020</v>
      </c>
    </row>
    <row r="1390" spans="1:49" ht="14.25" customHeight="1" x14ac:dyDescent="0.35">
      <c r="A1390" s="12">
        <v>1389</v>
      </c>
      <c r="B1390" s="12" t="s">
        <v>254</v>
      </c>
      <c r="C1390" s="15" t="s">
        <v>2712</v>
      </c>
      <c r="D1390" s="15" t="s">
        <v>2712</v>
      </c>
      <c r="E1390" s="12" t="s">
        <v>68</v>
      </c>
      <c r="F1390" s="13" t="s">
        <v>50</v>
      </c>
      <c r="G1390" s="13" t="s">
        <v>51</v>
      </c>
      <c r="H1390" s="13" t="s">
        <v>78</v>
      </c>
      <c r="I1390" s="13" t="s">
        <v>53</v>
      </c>
      <c r="J1390" s="17">
        <v>11</v>
      </c>
      <c r="K1390" s="14"/>
      <c r="L1390" s="14" t="s">
        <v>318</v>
      </c>
      <c r="M1390" s="14"/>
      <c r="N1390" s="14" t="s">
        <v>85</v>
      </c>
      <c r="O1390" s="17" t="s">
        <v>86</v>
      </c>
      <c r="P1390" s="14"/>
      <c r="Q1390" s="14"/>
      <c r="R1390" s="14"/>
      <c r="S1390" s="14">
        <v>265000</v>
      </c>
      <c r="T1390" s="14">
        <v>5600</v>
      </c>
      <c r="U1390" s="19">
        <f t="shared" si="92"/>
        <v>2.1132075471698115E-2</v>
      </c>
      <c r="V1390" s="41">
        <f t="shared" si="95"/>
        <v>-97.886792452830178</v>
      </c>
      <c r="W1390" s="14"/>
      <c r="X1390" s="14" t="s">
        <v>56</v>
      </c>
      <c r="Z1390" s="14" t="s">
        <v>56</v>
      </c>
      <c r="AA1390" s="14"/>
      <c r="AB1390" s="14" t="s">
        <v>57</v>
      </c>
      <c r="AC1390" s="14">
        <v>2014</v>
      </c>
      <c r="AD1390" s="14">
        <v>1</v>
      </c>
      <c r="AE1390" s="14"/>
      <c r="AF1390" s="14"/>
      <c r="AG1390" s="17">
        <v>2011</v>
      </c>
      <c r="AH1390" s="14">
        <f t="shared" si="93"/>
        <v>3</v>
      </c>
      <c r="AI1390" s="17">
        <f t="shared" si="94"/>
        <v>4</v>
      </c>
      <c r="AJ1390" s="14"/>
      <c r="AK1390" s="14" t="s">
        <v>56</v>
      </c>
      <c r="AL1390" s="13" t="s">
        <v>308</v>
      </c>
      <c r="AM1390" s="14">
        <v>2020</v>
      </c>
      <c r="AN1390" s="12" t="s">
        <v>309</v>
      </c>
      <c r="AO1390" s="12" t="s">
        <v>56</v>
      </c>
      <c r="AP1390" s="12"/>
      <c r="AQ1390" s="12" t="s">
        <v>56</v>
      </c>
      <c r="AR1390" s="12" t="s">
        <v>58</v>
      </c>
      <c r="AS1390" s="12" t="s">
        <v>62</v>
      </c>
      <c r="AT1390" s="12"/>
      <c r="AU1390" s="45"/>
      <c r="AV1390" s="15"/>
      <c r="AW1390" s="12" t="str">
        <f>B1390&amp;C1390&amp;L1390&amp;M1390&amp;O1390&amp;U1390&amp;AL1390&amp;AM1390</f>
        <v>MexicoSan Pedro Mártir Biosphere ReservePentaceraster cumingidensity0.0211320754716981Rojas-Montiel2020</v>
      </c>
    </row>
    <row r="1391" spans="1:49" ht="14.25" customHeight="1" x14ac:dyDescent="0.35">
      <c r="A1391" s="12">
        <v>1390</v>
      </c>
      <c r="B1391" s="15" t="s">
        <v>254</v>
      </c>
      <c r="C1391" s="15" t="s">
        <v>2712</v>
      </c>
      <c r="D1391" s="15" t="s">
        <v>2712</v>
      </c>
      <c r="E1391" s="15" t="s">
        <v>68</v>
      </c>
      <c r="F1391" s="13" t="s">
        <v>50</v>
      </c>
      <c r="G1391" s="13" t="s">
        <v>51</v>
      </c>
      <c r="H1391" s="16" t="s">
        <v>78</v>
      </c>
      <c r="I1391" s="16" t="s">
        <v>53</v>
      </c>
      <c r="J1391" s="17">
        <v>11</v>
      </c>
      <c r="K1391" s="14"/>
      <c r="L1391" s="17" t="s">
        <v>319</v>
      </c>
      <c r="M1391" s="17"/>
      <c r="N1391" s="14" t="s">
        <v>85</v>
      </c>
      <c r="O1391" s="17" t="s">
        <v>86</v>
      </c>
      <c r="P1391" s="17"/>
      <c r="Q1391" s="17"/>
      <c r="R1391" s="17"/>
      <c r="S1391" s="17">
        <v>300</v>
      </c>
      <c r="T1391" s="17">
        <v>500</v>
      </c>
      <c r="U1391" s="20">
        <f t="shared" si="92"/>
        <v>1.6666666666666667</v>
      </c>
      <c r="V1391" s="41">
        <f t="shared" si="95"/>
        <v>66.666666666666671</v>
      </c>
      <c r="W1391" s="17"/>
      <c r="X1391" s="14" t="s">
        <v>56</v>
      </c>
      <c r="Y1391" s="17"/>
      <c r="Z1391" s="17" t="s">
        <v>56</v>
      </c>
      <c r="AA1391" s="17"/>
      <c r="AB1391" s="17" t="s">
        <v>57</v>
      </c>
      <c r="AC1391" s="17">
        <v>2014</v>
      </c>
      <c r="AD1391" s="17">
        <v>1</v>
      </c>
      <c r="AE1391" s="17"/>
      <c r="AF1391" s="17"/>
      <c r="AG1391" s="17">
        <v>2011</v>
      </c>
      <c r="AH1391" s="14">
        <f t="shared" si="93"/>
        <v>3</v>
      </c>
      <c r="AI1391" s="17">
        <f t="shared" si="94"/>
        <v>4</v>
      </c>
      <c r="AJ1391" s="17"/>
      <c r="AK1391" s="17" t="s">
        <v>56</v>
      </c>
      <c r="AL1391" s="16" t="s">
        <v>308</v>
      </c>
      <c r="AM1391" s="17">
        <v>2020</v>
      </c>
      <c r="AN1391" s="15" t="s">
        <v>309</v>
      </c>
      <c r="AO1391" s="15" t="s">
        <v>56</v>
      </c>
      <c r="AP1391" s="15"/>
      <c r="AQ1391" s="15" t="s">
        <v>56</v>
      </c>
      <c r="AR1391" s="15" t="s">
        <v>58</v>
      </c>
      <c r="AS1391" s="15" t="s">
        <v>62</v>
      </c>
      <c r="AT1391" s="15"/>
      <c r="AU1391" s="45"/>
      <c r="AV1391" s="15"/>
      <c r="AW1391" s="12" t="str">
        <f>B1391&amp;C1391&amp;L1391&amp;M1391&amp;O1391&amp;U1391&amp;AL1391&amp;AM1391</f>
        <v>MexicoSan Pedro Mártir Biosphere ReserveNidorellia armatadensity1.66666666666667Rojas-Montiel2020</v>
      </c>
    </row>
    <row r="1392" spans="1:49" ht="14.25" customHeight="1" x14ac:dyDescent="0.35">
      <c r="A1392" s="12">
        <v>1391</v>
      </c>
      <c r="B1392" s="15" t="s">
        <v>254</v>
      </c>
      <c r="C1392" s="15" t="s">
        <v>2712</v>
      </c>
      <c r="D1392" s="15" t="s">
        <v>2712</v>
      </c>
      <c r="E1392" s="15" t="s">
        <v>68</v>
      </c>
      <c r="F1392" s="13" t="s">
        <v>50</v>
      </c>
      <c r="G1392" s="13" t="s">
        <v>51</v>
      </c>
      <c r="H1392" s="16" t="s">
        <v>78</v>
      </c>
      <c r="I1392" s="16" t="s">
        <v>53</v>
      </c>
      <c r="J1392" s="17">
        <v>11</v>
      </c>
      <c r="K1392" s="14"/>
      <c r="L1392" s="17" t="s">
        <v>320</v>
      </c>
      <c r="M1392" s="17"/>
      <c r="N1392" s="14" t="s">
        <v>85</v>
      </c>
      <c r="O1392" s="17" t="s">
        <v>86</v>
      </c>
      <c r="P1392" s="17"/>
      <c r="Q1392" s="17"/>
      <c r="R1392" s="17"/>
      <c r="S1392" s="17">
        <v>600</v>
      </c>
      <c r="T1392" s="17">
        <v>3200</v>
      </c>
      <c r="U1392" s="20">
        <f t="shared" si="92"/>
        <v>5.333333333333333</v>
      </c>
      <c r="V1392" s="41">
        <f t="shared" si="95"/>
        <v>433.33333333333331</v>
      </c>
      <c r="W1392" s="17"/>
      <c r="X1392" s="14" t="s">
        <v>56</v>
      </c>
      <c r="Z1392" s="17" t="s">
        <v>56</v>
      </c>
      <c r="AA1392" s="17"/>
      <c r="AB1392" s="17" t="s">
        <v>57</v>
      </c>
      <c r="AC1392" s="17">
        <v>2014</v>
      </c>
      <c r="AD1392" s="17">
        <v>1</v>
      </c>
      <c r="AE1392" s="17"/>
      <c r="AF1392" s="17"/>
      <c r="AG1392" s="17">
        <v>2011</v>
      </c>
      <c r="AH1392" s="14">
        <f t="shared" si="93"/>
        <v>3</v>
      </c>
      <c r="AI1392" s="17">
        <f t="shared" si="94"/>
        <v>4</v>
      </c>
      <c r="AJ1392" s="17"/>
      <c r="AK1392" s="17" t="s">
        <v>56</v>
      </c>
      <c r="AL1392" s="16" t="s">
        <v>308</v>
      </c>
      <c r="AM1392" s="17">
        <v>2020</v>
      </c>
      <c r="AN1392" s="15" t="s">
        <v>309</v>
      </c>
      <c r="AO1392" s="15" t="s">
        <v>56</v>
      </c>
      <c r="AP1392" s="15"/>
      <c r="AQ1392" s="15" t="s">
        <v>56</v>
      </c>
      <c r="AR1392" s="15" t="s">
        <v>58</v>
      </c>
      <c r="AS1392" s="15" t="s">
        <v>62</v>
      </c>
      <c r="AT1392" s="15"/>
      <c r="AU1392" s="45"/>
      <c r="AV1392" s="15"/>
      <c r="AW1392" s="12" t="str">
        <f>B1392&amp;C1392&amp;L1392&amp;M1392&amp;O1392&amp;U1392&amp;AL1392&amp;AM1392</f>
        <v>MexicoSan Pedro Mártir Biosphere ReserveAcanthaster plancidensity5.33333333333333Rojas-Montiel2020</v>
      </c>
    </row>
    <row r="1393" spans="1:49" ht="14.25" customHeight="1" x14ac:dyDescent="0.35">
      <c r="A1393" s="12">
        <v>1392</v>
      </c>
      <c r="B1393" s="12" t="s">
        <v>254</v>
      </c>
      <c r="C1393" s="12" t="s">
        <v>2712</v>
      </c>
      <c r="D1393" s="15" t="s">
        <v>2712</v>
      </c>
      <c r="E1393" s="12" t="s">
        <v>68</v>
      </c>
      <c r="F1393" s="13" t="s">
        <v>50</v>
      </c>
      <c r="G1393" s="13" t="s">
        <v>51</v>
      </c>
      <c r="H1393" s="13" t="s">
        <v>78</v>
      </c>
      <c r="I1393" s="13" t="s">
        <v>53</v>
      </c>
      <c r="J1393" s="17">
        <v>11</v>
      </c>
      <c r="K1393" s="14"/>
      <c r="L1393" s="14" t="s">
        <v>321</v>
      </c>
      <c r="M1393" s="14"/>
      <c r="N1393" s="14" t="s">
        <v>85</v>
      </c>
      <c r="O1393" s="17" t="s">
        <v>86</v>
      </c>
      <c r="P1393" s="14"/>
      <c r="Q1393" s="14"/>
      <c r="R1393" s="14"/>
      <c r="S1393" s="14">
        <v>600</v>
      </c>
      <c r="T1393" s="14">
        <v>0</v>
      </c>
      <c r="U1393" s="19">
        <f t="shared" si="92"/>
        <v>0</v>
      </c>
      <c r="V1393" s="41">
        <f t="shared" si="95"/>
        <v>-100</v>
      </c>
      <c r="W1393" s="14"/>
      <c r="X1393" s="14" t="s">
        <v>56</v>
      </c>
      <c r="Z1393" s="14" t="s">
        <v>56</v>
      </c>
      <c r="AA1393" s="14"/>
      <c r="AB1393" s="14" t="s">
        <v>57</v>
      </c>
      <c r="AC1393" s="14">
        <v>2014</v>
      </c>
      <c r="AD1393" s="14">
        <v>1</v>
      </c>
      <c r="AE1393" s="14"/>
      <c r="AF1393" s="14"/>
      <c r="AG1393" s="14">
        <v>2011</v>
      </c>
      <c r="AH1393" s="14">
        <f t="shared" si="93"/>
        <v>3</v>
      </c>
      <c r="AI1393" s="17">
        <f t="shared" si="94"/>
        <v>4</v>
      </c>
      <c r="AJ1393" s="14"/>
      <c r="AK1393" s="14" t="s">
        <v>56</v>
      </c>
      <c r="AL1393" s="13" t="s">
        <v>308</v>
      </c>
      <c r="AM1393" s="14">
        <v>2020</v>
      </c>
      <c r="AN1393" s="12" t="s">
        <v>309</v>
      </c>
      <c r="AO1393" s="12" t="s">
        <v>56</v>
      </c>
      <c r="AP1393" s="12"/>
      <c r="AQ1393" s="12" t="s">
        <v>56</v>
      </c>
      <c r="AR1393" s="12" t="s">
        <v>58</v>
      </c>
      <c r="AS1393" s="12" t="s">
        <v>62</v>
      </c>
      <c r="AT1393" s="12"/>
      <c r="AU1393" s="45"/>
      <c r="AV1393" s="15"/>
      <c r="AW1393" s="12" t="str">
        <f>B1393&amp;C1393&amp;L1393&amp;M1393&amp;O1393&amp;U1393&amp;AL1393&amp;AM1393</f>
        <v>MexicoSan Pedro Mártir Biosphere ReserveMithrodia bradleyidensity0Rojas-Montiel2020</v>
      </c>
    </row>
    <row r="1394" spans="1:49" ht="14.25" customHeight="1" x14ac:dyDescent="0.35">
      <c r="A1394" s="12">
        <v>1393</v>
      </c>
      <c r="B1394" s="12" t="s">
        <v>254</v>
      </c>
      <c r="C1394" s="12" t="s">
        <v>2712</v>
      </c>
      <c r="D1394" s="15" t="s">
        <v>2712</v>
      </c>
      <c r="E1394" s="12" t="s">
        <v>68</v>
      </c>
      <c r="F1394" s="13" t="s">
        <v>50</v>
      </c>
      <c r="G1394" s="13" t="s">
        <v>51</v>
      </c>
      <c r="H1394" s="13" t="s">
        <v>78</v>
      </c>
      <c r="I1394" s="13" t="s">
        <v>53</v>
      </c>
      <c r="J1394" s="17">
        <v>11</v>
      </c>
      <c r="K1394" s="14"/>
      <c r="L1394" s="14" t="s">
        <v>322</v>
      </c>
      <c r="M1394" s="14"/>
      <c r="N1394" s="14" t="s">
        <v>85</v>
      </c>
      <c r="O1394" s="17" t="s">
        <v>86</v>
      </c>
      <c r="P1394" s="14"/>
      <c r="Q1394" s="14"/>
      <c r="R1394" s="14"/>
      <c r="S1394" s="14">
        <v>0</v>
      </c>
      <c r="T1394" s="14">
        <v>200</v>
      </c>
      <c r="U1394" s="19" t="str">
        <f t="shared" si="92"/>
        <v>N/A</v>
      </c>
      <c r="V1394" s="41" t="str">
        <f t="shared" si="95"/>
        <v>N/A</v>
      </c>
      <c r="W1394" s="14"/>
      <c r="X1394" s="14" t="s">
        <v>56</v>
      </c>
      <c r="Z1394" s="14" t="s">
        <v>56</v>
      </c>
      <c r="AA1394" s="14"/>
      <c r="AB1394" s="14" t="s">
        <v>57</v>
      </c>
      <c r="AC1394" s="14">
        <v>2014</v>
      </c>
      <c r="AD1394" s="14">
        <v>1</v>
      </c>
      <c r="AE1394" s="14"/>
      <c r="AF1394" s="14"/>
      <c r="AG1394" s="14">
        <v>2011</v>
      </c>
      <c r="AH1394" s="14">
        <f t="shared" si="93"/>
        <v>3</v>
      </c>
      <c r="AI1394" s="17">
        <f t="shared" si="94"/>
        <v>4</v>
      </c>
      <c r="AJ1394" s="14"/>
      <c r="AK1394" s="14" t="s">
        <v>56</v>
      </c>
      <c r="AL1394" s="13" t="s">
        <v>308</v>
      </c>
      <c r="AM1394" s="14">
        <v>2020</v>
      </c>
      <c r="AN1394" s="12" t="s">
        <v>309</v>
      </c>
      <c r="AO1394" s="12" t="s">
        <v>56</v>
      </c>
      <c r="AP1394" s="12"/>
      <c r="AQ1394" s="12" t="s">
        <v>56</v>
      </c>
      <c r="AR1394" s="12" t="s">
        <v>58</v>
      </c>
      <c r="AS1394" s="12" t="s">
        <v>62</v>
      </c>
      <c r="AT1394" s="12"/>
      <c r="AU1394" s="45"/>
      <c r="AV1394" s="15"/>
      <c r="AW1394" s="12" t="str">
        <f>B1394&amp;C1394&amp;L1394&amp;M1394&amp;O1394&amp;U1394&amp;AL1394&amp;AM1394</f>
        <v>MexicoSan Pedro Mártir Biosphere ReserveHeliaster kubinijidensityN/ARojas-Montiel2020</v>
      </c>
    </row>
    <row r="1395" spans="1:49" ht="14.25" customHeight="1" x14ac:dyDescent="0.35">
      <c r="A1395" s="12">
        <v>1394</v>
      </c>
      <c r="B1395" s="15" t="s">
        <v>254</v>
      </c>
      <c r="C1395" s="15" t="s">
        <v>2712</v>
      </c>
      <c r="D1395" s="15" t="s">
        <v>2712</v>
      </c>
      <c r="E1395" s="15" t="s">
        <v>68</v>
      </c>
      <c r="F1395" s="16" t="s">
        <v>50</v>
      </c>
      <c r="G1395" s="16" t="s">
        <v>51</v>
      </c>
      <c r="H1395" s="16" t="s">
        <v>78</v>
      </c>
      <c r="I1395" s="16" t="s">
        <v>53</v>
      </c>
      <c r="J1395" s="17">
        <v>11</v>
      </c>
      <c r="K1395" s="17"/>
      <c r="L1395" s="17" t="s">
        <v>323</v>
      </c>
      <c r="M1395" s="17"/>
      <c r="N1395" s="14" t="s">
        <v>85</v>
      </c>
      <c r="O1395" s="17" t="s">
        <v>86</v>
      </c>
      <c r="P1395" s="17"/>
      <c r="Q1395" s="17"/>
      <c r="R1395" s="17"/>
      <c r="S1395" s="17">
        <v>0</v>
      </c>
      <c r="T1395" s="17">
        <v>0</v>
      </c>
      <c r="U1395" s="20" t="str">
        <f t="shared" si="92"/>
        <v>N/A</v>
      </c>
      <c r="V1395" s="41" t="str">
        <f t="shared" si="95"/>
        <v>N/A</v>
      </c>
      <c r="W1395" s="17"/>
      <c r="X1395" s="17" t="s">
        <v>56</v>
      </c>
      <c r="Z1395" s="17" t="s">
        <v>56</v>
      </c>
      <c r="AA1395" s="17"/>
      <c r="AB1395" s="17" t="s">
        <v>57</v>
      </c>
      <c r="AC1395" s="17">
        <v>2014</v>
      </c>
      <c r="AD1395" s="17">
        <v>1</v>
      </c>
      <c r="AE1395" s="17"/>
      <c r="AF1395" s="17"/>
      <c r="AG1395" s="17">
        <v>2011</v>
      </c>
      <c r="AH1395" s="14">
        <f t="shared" si="93"/>
        <v>3</v>
      </c>
      <c r="AI1395" s="17">
        <f t="shared" si="94"/>
        <v>4</v>
      </c>
      <c r="AJ1395" s="17"/>
      <c r="AK1395" s="17" t="s">
        <v>56</v>
      </c>
      <c r="AL1395" s="16" t="s">
        <v>308</v>
      </c>
      <c r="AM1395" s="17">
        <v>2020</v>
      </c>
      <c r="AN1395" s="15" t="s">
        <v>309</v>
      </c>
      <c r="AO1395" s="15" t="s">
        <v>56</v>
      </c>
      <c r="AP1395" s="15"/>
      <c r="AQ1395" s="15" t="s">
        <v>56</v>
      </c>
      <c r="AR1395" s="15" t="s">
        <v>58</v>
      </c>
      <c r="AS1395" s="15" t="s">
        <v>62</v>
      </c>
      <c r="AT1395" s="15"/>
      <c r="AU1395" s="45"/>
      <c r="AV1395" s="15"/>
      <c r="AW1395" s="12" t="str">
        <f>B1395&amp;C1395&amp;L1395&amp;M1395&amp;O1395&amp;U1395&amp;AL1395&amp;AM1395</f>
        <v>MexicoSan Pedro Mártir Biosphere ReserveEchinaster tenuispinadensityN/ARojas-Montiel2020</v>
      </c>
    </row>
    <row r="1396" spans="1:49" ht="14.25" customHeight="1" x14ac:dyDescent="0.35">
      <c r="A1396" s="12">
        <v>1395</v>
      </c>
      <c r="B1396" s="15" t="s">
        <v>254</v>
      </c>
      <c r="C1396" s="15" t="s">
        <v>306</v>
      </c>
      <c r="D1396" s="15" t="s">
        <v>306</v>
      </c>
      <c r="E1396" s="15" t="s">
        <v>68</v>
      </c>
      <c r="F1396" s="16" t="s">
        <v>50</v>
      </c>
      <c r="G1396" s="16" t="s">
        <v>51</v>
      </c>
      <c r="H1396" s="16" t="s">
        <v>78</v>
      </c>
      <c r="I1396" s="16" t="s">
        <v>53</v>
      </c>
      <c r="J1396" s="17">
        <v>6.17</v>
      </c>
      <c r="K1396" s="17"/>
      <c r="L1396" s="17" t="s">
        <v>307</v>
      </c>
      <c r="M1396" s="17"/>
      <c r="N1396" s="14" t="s">
        <v>85</v>
      </c>
      <c r="O1396" s="17" t="s">
        <v>86</v>
      </c>
      <c r="P1396" s="17"/>
      <c r="Q1396" s="17"/>
      <c r="R1396" s="17"/>
      <c r="S1396" s="17">
        <v>11300</v>
      </c>
      <c r="T1396" s="17">
        <v>55600</v>
      </c>
      <c r="U1396" s="20">
        <f t="shared" si="92"/>
        <v>4.9203539823008846</v>
      </c>
      <c r="V1396" s="41">
        <f t="shared" si="95"/>
        <v>392.03539823008845</v>
      </c>
      <c r="W1396" s="17"/>
      <c r="X1396" s="17" t="s">
        <v>56</v>
      </c>
      <c r="Z1396" s="17" t="s">
        <v>56</v>
      </c>
      <c r="AA1396" s="17"/>
      <c r="AB1396" s="17" t="s">
        <v>57</v>
      </c>
      <c r="AC1396" s="17">
        <v>2014</v>
      </c>
      <c r="AD1396" s="17">
        <v>1</v>
      </c>
      <c r="AE1396" s="17"/>
      <c r="AF1396" s="17"/>
      <c r="AG1396" s="17">
        <v>2002</v>
      </c>
      <c r="AH1396" s="14">
        <f t="shared" si="93"/>
        <v>12</v>
      </c>
      <c r="AI1396" s="17">
        <f t="shared" si="94"/>
        <v>13</v>
      </c>
      <c r="AJ1396" s="17"/>
      <c r="AK1396" s="17" t="s">
        <v>56</v>
      </c>
      <c r="AL1396" s="16" t="s">
        <v>308</v>
      </c>
      <c r="AM1396" s="17">
        <v>2020</v>
      </c>
      <c r="AN1396" s="15" t="s">
        <v>309</v>
      </c>
      <c r="AO1396" s="15" t="s">
        <v>56</v>
      </c>
      <c r="AP1396" s="15"/>
      <c r="AQ1396" s="15" t="s">
        <v>56</v>
      </c>
      <c r="AR1396" s="15" t="s">
        <v>58</v>
      </c>
      <c r="AS1396" s="15" t="s">
        <v>62</v>
      </c>
      <c r="AT1396" s="15"/>
      <c r="AU1396" s="45"/>
      <c r="AV1396" s="15"/>
      <c r="AW1396" s="12" t="str">
        <f>B1396&amp;C1396&amp;L1396&amp;M1396&amp;O1396&amp;U1396&amp;AL1396&amp;AM1396</f>
        <v>MexicoBahía de LoretoEucidaris thouarsiidensity4.92035398230088Rojas-Montiel2020</v>
      </c>
    </row>
    <row r="1397" spans="1:49" ht="14.25" customHeight="1" x14ac:dyDescent="0.35">
      <c r="A1397" s="12">
        <v>1396</v>
      </c>
      <c r="B1397" s="12" t="s">
        <v>254</v>
      </c>
      <c r="C1397" s="12" t="s">
        <v>306</v>
      </c>
      <c r="D1397" s="15" t="s">
        <v>306</v>
      </c>
      <c r="E1397" s="12" t="s">
        <v>68</v>
      </c>
      <c r="F1397" s="13" t="s">
        <v>50</v>
      </c>
      <c r="G1397" s="13" t="s">
        <v>51</v>
      </c>
      <c r="H1397" s="13" t="s">
        <v>78</v>
      </c>
      <c r="I1397" s="13" t="s">
        <v>53</v>
      </c>
      <c r="J1397" s="14">
        <v>6.17</v>
      </c>
      <c r="K1397" s="17"/>
      <c r="L1397" s="14" t="s">
        <v>310</v>
      </c>
      <c r="M1397" s="17" t="s">
        <v>513</v>
      </c>
      <c r="N1397" s="14" t="s">
        <v>85</v>
      </c>
      <c r="O1397" s="17" t="s">
        <v>86</v>
      </c>
      <c r="P1397" s="14"/>
      <c r="Q1397" s="14"/>
      <c r="R1397" s="14"/>
      <c r="S1397" s="14">
        <v>10400</v>
      </c>
      <c r="T1397" s="14">
        <v>5000</v>
      </c>
      <c r="U1397" s="19">
        <f t="shared" si="92"/>
        <v>0.48076923076923078</v>
      </c>
      <c r="V1397" s="41">
        <f t="shared" si="95"/>
        <v>-51.92307692307692</v>
      </c>
      <c r="W1397" s="14"/>
      <c r="X1397" s="14" t="s">
        <v>56</v>
      </c>
      <c r="Z1397" s="14" t="s">
        <v>56</v>
      </c>
      <c r="AA1397" s="14"/>
      <c r="AB1397" s="14" t="s">
        <v>57</v>
      </c>
      <c r="AC1397" s="14">
        <v>2014</v>
      </c>
      <c r="AD1397" s="14">
        <v>1</v>
      </c>
      <c r="AE1397" s="14"/>
      <c r="AF1397" s="14"/>
      <c r="AG1397" s="14">
        <v>2002</v>
      </c>
      <c r="AH1397" s="14">
        <f t="shared" si="93"/>
        <v>12</v>
      </c>
      <c r="AI1397" s="17">
        <f t="shared" si="94"/>
        <v>13</v>
      </c>
      <c r="AJ1397" s="14"/>
      <c r="AK1397" s="14" t="s">
        <v>56</v>
      </c>
      <c r="AL1397" s="13" t="s">
        <v>308</v>
      </c>
      <c r="AM1397" s="14">
        <v>2020</v>
      </c>
      <c r="AN1397" s="12" t="s">
        <v>309</v>
      </c>
      <c r="AO1397" s="12" t="s">
        <v>56</v>
      </c>
      <c r="AP1397" s="12"/>
      <c r="AQ1397" s="12" t="s">
        <v>56</v>
      </c>
      <c r="AR1397" s="12" t="s">
        <v>58</v>
      </c>
      <c r="AS1397" s="12" t="s">
        <v>62</v>
      </c>
      <c r="AT1397" s="12"/>
      <c r="AU1397" s="45"/>
      <c r="AV1397" s="15"/>
      <c r="AW1397" s="12" t="str">
        <f>B1397&amp;C1397&amp;L1397&amp;M1397&amp;O1397&amp;U1397&amp;AL1397&amp;AM1397</f>
        <v>MexicoBahía de LoretoTripneustes depressuswhite sea urchindensity0.480769230769231Rojas-Montiel2020</v>
      </c>
    </row>
    <row r="1398" spans="1:49" ht="14.25" customHeight="1" x14ac:dyDescent="0.35">
      <c r="A1398" s="12">
        <v>1397</v>
      </c>
      <c r="B1398" s="15" t="s">
        <v>254</v>
      </c>
      <c r="C1398" s="15" t="s">
        <v>306</v>
      </c>
      <c r="D1398" s="15" t="s">
        <v>306</v>
      </c>
      <c r="E1398" s="15" t="s">
        <v>68</v>
      </c>
      <c r="F1398" s="16" t="s">
        <v>50</v>
      </c>
      <c r="G1398" s="16" t="s">
        <v>51</v>
      </c>
      <c r="H1398" s="16" t="s">
        <v>78</v>
      </c>
      <c r="I1398" s="16" t="s">
        <v>53</v>
      </c>
      <c r="J1398" s="17">
        <v>6.17</v>
      </c>
      <c r="K1398" s="17"/>
      <c r="L1398" s="17" t="s">
        <v>311</v>
      </c>
      <c r="M1398" s="17"/>
      <c r="N1398" s="14" t="s">
        <v>85</v>
      </c>
      <c r="O1398" s="17" t="s">
        <v>86</v>
      </c>
      <c r="P1398" s="17"/>
      <c r="Q1398" s="17"/>
      <c r="R1398" s="17"/>
      <c r="S1398" s="17">
        <v>1700</v>
      </c>
      <c r="T1398" s="17">
        <v>14800</v>
      </c>
      <c r="U1398" s="20">
        <f t="shared" si="92"/>
        <v>8.7058823529411757</v>
      </c>
      <c r="V1398" s="41">
        <f t="shared" si="95"/>
        <v>770.58823529411757</v>
      </c>
      <c r="W1398" s="17"/>
      <c r="X1398" s="17" t="s">
        <v>56</v>
      </c>
      <c r="Z1398" s="17" t="s">
        <v>56</v>
      </c>
      <c r="AA1398" s="17"/>
      <c r="AB1398" s="17" t="s">
        <v>57</v>
      </c>
      <c r="AC1398" s="17">
        <v>2014</v>
      </c>
      <c r="AD1398" s="17">
        <v>1</v>
      </c>
      <c r="AE1398" s="17"/>
      <c r="AF1398" s="17"/>
      <c r="AG1398" s="17">
        <v>2002</v>
      </c>
      <c r="AH1398" s="14">
        <f t="shared" si="93"/>
        <v>12</v>
      </c>
      <c r="AI1398" s="17">
        <f t="shared" si="94"/>
        <v>13</v>
      </c>
      <c r="AJ1398" s="17"/>
      <c r="AK1398" s="17" t="s">
        <v>56</v>
      </c>
      <c r="AL1398" s="16" t="s">
        <v>308</v>
      </c>
      <c r="AM1398" s="17">
        <v>2020</v>
      </c>
      <c r="AN1398" s="15" t="s">
        <v>309</v>
      </c>
      <c r="AO1398" s="15" t="s">
        <v>56</v>
      </c>
      <c r="AP1398" s="15"/>
      <c r="AQ1398" s="15" t="s">
        <v>56</v>
      </c>
      <c r="AR1398" s="15" t="s">
        <v>58</v>
      </c>
      <c r="AS1398" s="15" t="s">
        <v>62</v>
      </c>
      <c r="AT1398" s="15"/>
      <c r="AU1398" s="45"/>
      <c r="AV1398" s="15"/>
      <c r="AW1398" s="12" t="str">
        <f>B1398&amp;C1398&amp;L1398&amp;M1398&amp;O1398&amp;U1398&amp;AL1398&amp;AM1398</f>
        <v>MexicoBahía de LoretoToxopneustes roseusdensity8.70588235294118Rojas-Montiel2020</v>
      </c>
    </row>
    <row r="1399" spans="1:49" ht="14.25" customHeight="1" x14ac:dyDescent="0.35">
      <c r="A1399" s="12">
        <v>1398</v>
      </c>
      <c r="B1399" s="12" t="s">
        <v>254</v>
      </c>
      <c r="C1399" s="12" t="s">
        <v>306</v>
      </c>
      <c r="D1399" s="12" t="s">
        <v>306</v>
      </c>
      <c r="E1399" s="12" t="s">
        <v>68</v>
      </c>
      <c r="F1399" s="13" t="s">
        <v>50</v>
      </c>
      <c r="G1399" s="13" t="s">
        <v>51</v>
      </c>
      <c r="H1399" s="13" t="s">
        <v>78</v>
      </c>
      <c r="I1399" s="13" t="s">
        <v>53</v>
      </c>
      <c r="J1399" s="14">
        <v>6.17</v>
      </c>
      <c r="K1399" s="17"/>
      <c r="L1399" s="14" t="s">
        <v>312</v>
      </c>
      <c r="M1399" s="14"/>
      <c r="N1399" s="14" t="s">
        <v>85</v>
      </c>
      <c r="O1399" s="14" t="s">
        <v>86</v>
      </c>
      <c r="P1399" s="14"/>
      <c r="Q1399" s="14"/>
      <c r="R1399" s="14"/>
      <c r="S1399" s="14">
        <v>0</v>
      </c>
      <c r="T1399" s="14">
        <v>1200</v>
      </c>
      <c r="U1399" s="19" t="str">
        <f t="shared" si="92"/>
        <v>N/A</v>
      </c>
      <c r="V1399" s="41" t="str">
        <f t="shared" si="95"/>
        <v>N/A</v>
      </c>
      <c r="W1399" s="14"/>
      <c r="X1399" s="14" t="s">
        <v>56</v>
      </c>
      <c r="Z1399" s="14" t="s">
        <v>56</v>
      </c>
      <c r="AA1399" s="14"/>
      <c r="AB1399" s="14" t="s">
        <v>57</v>
      </c>
      <c r="AC1399" s="14">
        <v>2014</v>
      </c>
      <c r="AD1399" s="14">
        <v>1</v>
      </c>
      <c r="AE1399" s="14"/>
      <c r="AF1399" s="14"/>
      <c r="AG1399" s="14">
        <v>2002</v>
      </c>
      <c r="AH1399" s="14">
        <f t="shared" si="93"/>
        <v>12</v>
      </c>
      <c r="AI1399" s="17">
        <f t="shared" si="94"/>
        <v>13</v>
      </c>
      <c r="AJ1399" s="14"/>
      <c r="AK1399" s="14" t="s">
        <v>56</v>
      </c>
      <c r="AL1399" s="13" t="s">
        <v>308</v>
      </c>
      <c r="AM1399" s="14">
        <v>2020</v>
      </c>
      <c r="AN1399" s="12" t="s">
        <v>309</v>
      </c>
      <c r="AO1399" s="12" t="s">
        <v>56</v>
      </c>
      <c r="AP1399" s="12"/>
      <c r="AQ1399" s="12" t="s">
        <v>56</v>
      </c>
      <c r="AR1399" s="12" t="s">
        <v>58</v>
      </c>
      <c r="AS1399" s="12" t="s">
        <v>62</v>
      </c>
      <c r="AT1399" s="12"/>
      <c r="AU1399" s="45"/>
      <c r="AV1399" s="15"/>
      <c r="AW1399" s="12" t="str">
        <f>B1399&amp;C1399&amp;L1399&amp;M1399&amp;O1399&amp;U1399&amp;AL1399&amp;AM1399</f>
        <v>MexicoBahía de LoretoEchinometra vanbruntidensityN/ARojas-Montiel2020</v>
      </c>
    </row>
    <row r="1400" spans="1:49" ht="14.25" customHeight="1" x14ac:dyDescent="0.35">
      <c r="A1400" s="12">
        <v>1399</v>
      </c>
      <c r="B1400" s="12" t="s">
        <v>254</v>
      </c>
      <c r="C1400" s="12" t="s">
        <v>306</v>
      </c>
      <c r="D1400" s="12" t="s">
        <v>306</v>
      </c>
      <c r="E1400" s="12" t="s">
        <v>68</v>
      </c>
      <c r="F1400" s="13" t="s">
        <v>50</v>
      </c>
      <c r="G1400" s="13" t="s">
        <v>51</v>
      </c>
      <c r="H1400" s="13" t="s">
        <v>78</v>
      </c>
      <c r="I1400" s="13" t="s">
        <v>53</v>
      </c>
      <c r="J1400" s="14">
        <v>6.17</v>
      </c>
      <c r="K1400" s="17"/>
      <c r="L1400" s="14" t="s">
        <v>313</v>
      </c>
      <c r="M1400" s="14"/>
      <c r="N1400" s="14" t="s">
        <v>85</v>
      </c>
      <c r="O1400" s="17" t="s">
        <v>86</v>
      </c>
      <c r="P1400" s="14"/>
      <c r="Q1400" s="14"/>
      <c r="R1400" s="14"/>
      <c r="S1400" s="14">
        <v>0</v>
      </c>
      <c r="T1400" s="14">
        <v>100</v>
      </c>
      <c r="U1400" s="19" t="str">
        <f t="shared" si="92"/>
        <v>N/A</v>
      </c>
      <c r="V1400" s="41" t="str">
        <f t="shared" si="95"/>
        <v>N/A</v>
      </c>
      <c r="W1400" s="14"/>
      <c r="X1400" s="14" t="s">
        <v>56</v>
      </c>
      <c r="Z1400" s="14" t="s">
        <v>56</v>
      </c>
      <c r="AA1400" s="14"/>
      <c r="AB1400" s="14" t="s">
        <v>57</v>
      </c>
      <c r="AC1400" s="14">
        <v>2014</v>
      </c>
      <c r="AD1400" s="14">
        <v>1</v>
      </c>
      <c r="AE1400" s="14"/>
      <c r="AF1400" s="14"/>
      <c r="AG1400" s="14">
        <v>2002</v>
      </c>
      <c r="AH1400" s="14">
        <f t="shared" si="93"/>
        <v>12</v>
      </c>
      <c r="AI1400" s="17">
        <f t="shared" si="94"/>
        <v>13</v>
      </c>
      <c r="AJ1400" s="14"/>
      <c r="AK1400" s="14" t="s">
        <v>56</v>
      </c>
      <c r="AL1400" s="13" t="s">
        <v>308</v>
      </c>
      <c r="AM1400" s="14">
        <v>2020</v>
      </c>
      <c r="AN1400" s="12" t="s">
        <v>309</v>
      </c>
      <c r="AO1400" s="12" t="s">
        <v>56</v>
      </c>
      <c r="AP1400" s="12"/>
      <c r="AQ1400" s="12" t="s">
        <v>56</v>
      </c>
      <c r="AR1400" s="12" t="s">
        <v>58</v>
      </c>
      <c r="AS1400" s="12" t="s">
        <v>62</v>
      </c>
      <c r="AT1400" s="12"/>
      <c r="AU1400" s="45"/>
      <c r="AV1400" s="15"/>
      <c r="AW1400" s="12" t="str">
        <f>B1400&amp;C1400&amp;L1400&amp;M1400&amp;O1400&amp;U1400&amp;AL1400&amp;AM1400</f>
        <v>MexicoBahía de LoretoDiadema mexicanumdensityN/ARojas-Montiel2020</v>
      </c>
    </row>
    <row r="1401" spans="1:49" ht="14.25" customHeight="1" x14ac:dyDescent="0.35">
      <c r="A1401" s="12">
        <v>1400</v>
      </c>
      <c r="B1401" s="12" t="s">
        <v>254</v>
      </c>
      <c r="C1401" s="12" t="s">
        <v>306</v>
      </c>
      <c r="D1401" s="12" t="s">
        <v>306</v>
      </c>
      <c r="E1401" s="12" t="s">
        <v>68</v>
      </c>
      <c r="F1401" s="13" t="s">
        <v>50</v>
      </c>
      <c r="G1401" s="13" t="s">
        <v>51</v>
      </c>
      <c r="H1401" s="13" t="s">
        <v>78</v>
      </c>
      <c r="I1401" s="13" t="s">
        <v>53</v>
      </c>
      <c r="J1401" s="14">
        <v>6.17</v>
      </c>
      <c r="K1401" s="17"/>
      <c r="L1401" s="14" t="s">
        <v>314</v>
      </c>
      <c r="M1401" s="14"/>
      <c r="N1401" s="14" t="s">
        <v>85</v>
      </c>
      <c r="O1401" s="17" t="s">
        <v>86</v>
      </c>
      <c r="P1401" s="14"/>
      <c r="Q1401" s="14"/>
      <c r="R1401" s="14"/>
      <c r="S1401" s="14">
        <v>7000</v>
      </c>
      <c r="T1401" s="14">
        <v>1700</v>
      </c>
      <c r="U1401" s="19">
        <f t="shared" si="92"/>
        <v>0.24285714285714285</v>
      </c>
      <c r="V1401" s="41">
        <f t="shared" si="95"/>
        <v>-75.714285714285708</v>
      </c>
      <c r="W1401" s="14"/>
      <c r="X1401" s="14" t="s">
        <v>56</v>
      </c>
      <c r="Z1401" s="14" t="s">
        <v>56</v>
      </c>
      <c r="AA1401" s="14"/>
      <c r="AB1401" s="14" t="s">
        <v>57</v>
      </c>
      <c r="AC1401" s="14">
        <v>2014</v>
      </c>
      <c r="AD1401" s="14">
        <v>1</v>
      </c>
      <c r="AE1401" s="14"/>
      <c r="AF1401" s="14"/>
      <c r="AG1401" s="14">
        <v>2002</v>
      </c>
      <c r="AH1401" s="14">
        <f t="shared" si="93"/>
        <v>12</v>
      </c>
      <c r="AI1401" s="17">
        <f t="shared" si="94"/>
        <v>13</v>
      </c>
      <c r="AJ1401" s="14"/>
      <c r="AK1401" s="14" t="s">
        <v>56</v>
      </c>
      <c r="AL1401" s="13" t="s">
        <v>308</v>
      </c>
      <c r="AM1401" s="14">
        <v>2020</v>
      </c>
      <c r="AN1401" s="12" t="s">
        <v>309</v>
      </c>
      <c r="AO1401" s="12" t="s">
        <v>56</v>
      </c>
      <c r="AP1401" s="12"/>
      <c r="AQ1401" s="12" t="s">
        <v>56</v>
      </c>
      <c r="AR1401" s="12" t="s">
        <v>58</v>
      </c>
      <c r="AS1401" s="12" t="s">
        <v>62</v>
      </c>
      <c r="AT1401" s="12"/>
      <c r="AU1401" s="45"/>
      <c r="AV1401" s="15"/>
      <c r="AW1401" s="12" t="str">
        <f>B1401&amp;C1401&amp;L1401&amp;M1401&amp;O1401&amp;U1401&amp;AL1401&amp;AM1401</f>
        <v>MexicoBahía de LoretoCentrostephanus coronatudensity0.242857142857143Rojas-Montiel2020</v>
      </c>
    </row>
    <row r="1402" spans="1:49" ht="14.25" customHeight="1" x14ac:dyDescent="0.35">
      <c r="A1402" s="12">
        <v>1401</v>
      </c>
      <c r="B1402" s="12" t="s">
        <v>254</v>
      </c>
      <c r="C1402" s="12" t="s">
        <v>306</v>
      </c>
      <c r="D1402" s="12" t="s">
        <v>306</v>
      </c>
      <c r="E1402" s="12" t="s">
        <v>68</v>
      </c>
      <c r="F1402" s="13" t="s">
        <v>50</v>
      </c>
      <c r="G1402" s="13" t="s">
        <v>51</v>
      </c>
      <c r="H1402" s="13" t="s">
        <v>78</v>
      </c>
      <c r="I1402" s="13" t="s">
        <v>53</v>
      </c>
      <c r="J1402" s="14">
        <v>6.17</v>
      </c>
      <c r="K1402" s="17"/>
      <c r="L1402" s="14" t="s">
        <v>315</v>
      </c>
      <c r="M1402" s="14"/>
      <c r="N1402" s="14" t="s">
        <v>85</v>
      </c>
      <c r="O1402" s="17" t="s">
        <v>86</v>
      </c>
      <c r="P1402" s="14"/>
      <c r="Q1402" s="14"/>
      <c r="R1402" s="14"/>
      <c r="S1402" s="14">
        <v>0</v>
      </c>
      <c r="T1402" s="14">
        <v>800</v>
      </c>
      <c r="U1402" s="19" t="str">
        <f t="shared" si="92"/>
        <v>N/A</v>
      </c>
      <c r="V1402" s="41" t="str">
        <f t="shared" si="95"/>
        <v>N/A</v>
      </c>
      <c r="W1402" s="14"/>
      <c r="X1402" s="14" t="s">
        <v>56</v>
      </c>
      <c r="Z1402" s="14" t="s">
        <v>56</v>
      </c>
      <c r="AA1402" s="14"/>
      <c r="AB1402" s="14" t="s">
        <v>57</v>
      </c>
      <c r="AC1402" s="14">
        <v>2014</v>
      </c>
      <c r="AD1402" s="14">
        <v>1</v>
      </c>
      <c r="AE1402" s="14"/>
      <c r="AF1402" s="14"/>
      <c r="AG1402" s="14">
        <v>2002</v>
      </c>
      <c r="AH1402" s="14">
        <f t="shared" si="93"/>
        <v>12</v>
      </c>
      <c r="AI1402" s="17">
        <f t="shared" si="94"/>
        <v>13</v>
      </c>
      <c r="AJ1402" s="14"/>
      <c r="AK1402" s="14" t="s">
        <v>56</v>
      </c>
      <c r="AL1402" s="13" t="s">
        <v>308</v>
      </c>
      <c r="AM1402" s="14">
        <v>2020</v>
      </c>
      <c r="AN1402" s="12" t="s">
        <v>309</v>
      </c>
      <c r="AO1402" s="12" t="s">
        <v>56</v>
      </c>
      <c r="AP1402" s="12"/>
      <c r="AQ1402" s="12" t="s">
        <v>56</v>
      </c>
      <c r="AR1402" s="12" t="s">
        <v>58</v>
      </c>
      <c r="AS1402" s="12" t="s">
        <v>62</v>
      </c>
      <c r="AT1402" s="12"/>
      <c r="AU1402" s="45"/>
      <c r="AV1402" s="15"/>
      <c r="AW1402" s="12" t="str">
        <f>B1402&amp;C1402&amp;L1402&amp;M1402&amp;O1402&amp;U1402&amp;AL1402&amp;AM1402</f>
        <v>MexicoBahía de LoretoArbacia stellatadensityN/ARojas-Montiel2020</v>
      </c>
    </row>
    <row r="1403" spans="1:49" ht="14.25" customHeight="1" x14ac:dyDescent="0.35">
      <c r="A1403" s="12">
        <v>1402</v>
      </c>
      <c r="B1403" s="12" t="s">
        <v>254</v>
      </c>
      <c r="C1403" s="12" t="s">
        <v>306</v>
      </c>
      <c r="D1403" s="12" t="s">
        <v>306</v>
      </c>
      <c r="E1403" s="12" t="s">
        <v>68</v>
      </c>
      <c r="F1403" s="13" t="s">
        <v>50</v>
      </c>
      <c r="G1403" s="13" t="s">
        <v>51</v>
      </c>
      <c r="H1403" s="13" t="s">
        <v>78</v>
      </c>
      <c r="I1403" s="13" t="s">
        <v>53</v>
      </c>
      <c r="J1403" s="14">
        <v>6.17</v>
      </c>
      <c r="K1403" s="17"/>
      <c r="L1403" s="14" t="s">
        <v>316</v>
      </c>
      <c r="M1403" s="14"/>
      <c r="N1403" s="14" t="s">
        <v>85</v>
      </c>
      <c r="O1403" s="17" t="s">
        <v>86</v>
      </c>
      <c r="P1403" s="14"/>
      <c r="Q1403" s="14"/>
      <c r="R1403" s="14"/>
      <c r="S1403" s="14">
        <v>2600</v>
      </c>
      <c r="T1403" s="14">
        <v>44600</v>
      </c>
      <c r="U1403" s="19">
        <f t="shared" si="92"/>
        <v>17.153846153846153</v>
      </c>
      <c r="V1403" s="41">
        <f t="shared" si="95"/>
        <v>1615.3846153846152</v>
      </c>
      <c r="W1403" s="14"/>
      <c r="X1403" s="14" t="s">
        <v>56</v>
      </c>
      <c r="Z1403" s="14" t="s">
        <v>56</v>
      </c>
      <c r="AA1403" s="14"/>
      <c r="AB1403" s="14" t="s">
        <v>57</v>
      </c>
      <c r="AC1403" s="14">
        <v>2014</v>
      </c>
      <c r="AD1403" s="14">
        <v>1</v>
      </c>
      <c r="AE1403" s="14"/>
      <c r="AF1403" s="14"/>
      <c r="AG1403" s="14">
        <v>2002</v>
      </c>
      <c r="AH1403" s="14">
        <f t="shared" si="93"/>
        <v>12</v>
      </c>
      <c r="AI1403" s="17">
        <f t="shared" si="94"/>
        <v>13</v>
      </c>
      <c r="AJ1403" s="14"/>
      <c r="AK1403" s="14" t="s">
        <v>56</v>
      </c>
      <c r="AL1403" s="13" t="s">
        <v>308</v>
      </c>
      <c r="AM1403" s="14">
        <v>2020</v>
      </c>
      <c r="AN1403" s="12" t="s">
        <v>309</v>
      </c>
      <c r="AO1403" s="12" t="s">
        <v>56</v>
      </c>
      <c r="AP1403" s="12"/>
      <c r="AQ1403" s="12" t="s">
        <v>56</v>
      </c>
      <c r="AR1403" s="12" t="s">
        <v>58</v>
      </c>
      <c r="AS1403" s="12" t="s">
        <v>62</v>
      </c>
      <c r="AT1403" s="12"/>
      <c r="AU1403" s="45"/>
      <c r="AV1403" s="15"/>
      <c r="AW1403" s="12" t="str">
        <f>B1403&amp;C1403&amp;L1403&amp;M1403&amp;O1403&amp;U1403&amp;AL1403&amp;AM1403</f>
        <v>MexicoBahía de LoretoPhataria unifascialisdensity17.1538461538462Rojas-Montiel2020</v>
      </c>
    </row>
    <row r="1404" spans="1:49" ht="14.25" customHeight="1" x14ac:dyDescent="0.35">
      <c r="A1404" s="12">
        <v>1403</v>
      </c>
      <c r="B1404" s="15" t="s">
        <v>254</v>
      </c>
      <c r="C1404" s="12" t="s">
        <v>306</v>
      </c>
      <c r="D1404" s="15" t="s">
        <v>306</v>
      </c>
      <c r="E1404" s="15" t="s">
        <v>68</v>
      </c>
      <c r="F1404" s="13" t="s">
        <v>50</v>
      </c>
      <c r="G1404" s="13" t="s">
        <v>51</v>
      </c>
      <c r="H1404" s="16" t="s">
        <v>78</v>
      </c>
      <c r="I1404" s="16" t="s">
        <v>53</v>
      </c>
      <c r="J1404" s="14">
        <v>6.17</v>
      </c>
      <c r="K1404" s="17"/>
      <c r="L1404" s="17" t="s">
        <v>317</v>
      </c>
      <c r="M1404" s="17"/>
      <c r="N1404" s="14" t="s">
        <v>85</v>
      </c>
      <c r="O1404" s="17" t="s">
        <v>86</v>
      </c>
      <c r="P1404" s="17"/>
      <c r="Q1404" s="17"/>
      <c r="R1404" s="17"/>
      <c r="S1404" s="17">
        <v>1700</v>
      </c>
      <c r="T1404" s="17">
        <v>28500</v>
      </c>
      <c r="U1404" s="20">
        <f t="shared" si="92"/>
        <v>16.764705882352942</v>
      </c>
      <c r="V1404" s="41">
        <f t="shared" si="95"/>
        <v>1576.4705882352941</v>
      </c>
      <c r="W1404" s="17"/>
      <c r="X1404" s="17" t="s">
        <v>56</v>
      </c>
      <c r="Z1404" s="17" t="s">
        <v>56</v>
      </c>
      <c r="AA1404" s="17"/>
      <c r="AB1404" s="17" t="s">
        <v>57</v>
      </c>
      <c r="AC1404" s="17">
        <v>2014</v>
      </c>
      <c r="AD1404" s="17">
        <v>1</v>
      </c>
      <c r="AE1404" s="17"/>
      <c r="AF1404" s="17"/>
      <c r="AG1404" s="17">
        <v>2002</v>
      </c>
      <c r="AH1404" s="14">
        <f t="shared" si="93"/>
        <v>12</v>
      </c>
      <c r="AI1404" s="17">
        <f t="shared" si="94"/>
        <v>13</v>
      </c>
      <c r="AJ1404" s="17"/>
      <c r="AK1404" s="17" t="s">
        <v>56</v>
      </c>
      <c r="AL1404" s="16" t="s">
        <v>308</v>
      </c>
      <c r="AM1404" s="17">
        <v>2020</v>
      </c>
      <c r="AN1404" s="15" t="s">
        <v>309</v>
      </c>
      <c r="AO1404" s="15" t="s">
        <v>56</v>
      </c>
      <c r="AP1404" s="15"/>
      <c r="AQ1404" s="15" t="s">
        <v>56</v>
      </c>
      <c r="AR1404" s="15" t="s">
        <v>58</v>
      </c>
      <c r="AS1404" s="15" t="s">
        <v>62</v>
      </c>
      <c r="AT1404" s="15"/>
      <c r="AU1404" s="45"/>
      <c r="AV1404" s="15"/>
      <c r="AW1404" s="12" t="str">
        <f>B1404&amp;C1404&amp;L1404&amp;M1404&amp;O1404&amp;U1404&amp;AL1404&amp;AM1404</f>
        <v>MexicoBahía de LoretoPharia pyramidatadensity16.7647058823529Rojas-Montiel2020</v>
      </c>
    </row>
    <row r="1405" spans="1:49" ht="14.25" customHeight="1" x14ac:dyDescent="0.35">
      <c r="A1405" s="12">
        <v>1404</v>
      </c>
      <c r="B1405" s="15" t="s">
        <v>254</v>
      </c>
      <c r="C1405" s="12" t="s">
        <v>306</v>
      </c>
      <c r="D1405" s="15" t="s">
        <v>306</v>
      </c>
      <c r="E1405" s="15" t="s">
        <v>68</v>
      </c>
      <c r="F1405" s="16" t="s">
        <v>50</v>
      </c>
      <c r="G1405" s="16" t="s">
        <v>51</v>
      </c>
      <c r="H1405" s="16" t="s">
        <v>78</v>
      </c>
      <c r="I1405" s="16" t="s">
        <v>53</v>
      </c>
      <c r="J1405" s="14">
        <v>6.17</v>
      </c>
      <c r="K1405" s="17"/>
      <c r="L1405" s="17" t="s">
        <v>318</v>
      </c>
      <c r="M1405" s="17"/>
      <c r="N1405" s="14" t="s">
        <v>85</v>
      </c>
      <c r="O1405" s="17" t="s">
        <v>86</v>
      </c>
      <c r="P1405" s="17"/>
      <c r="Q1405" s="17"/>
      <c r="R1405" s="17"/>
      <c r="S1405" s="17">
        <v>900</v>
      </c>
      <c r="T1405" s="17">
        <v>82100</v>
      </c>
      <c r="U1405" s="20">
        <f t="shared" si="92"/>
        <v>91.222222222222229</v>
      </c>
      <c r="V1405" s="41">
        <f t="shared" si="95"/>
        <v>9022.2222222222226</v>
      </c>
      <c r="W1405" s="17"/>
      <c r="X1405" s="17" t="s">
        <v>56</v>
      </c>
      <c r="Z1405" s="17" t="s">
        <v>56</v>
      </c>
      <c r="AA1405" s="17"/>
      <c r="AB1405" s="17" t="s">
        <v>57</v>
      </c>
      <c r="AC1405" s="17">
        <v>2014</v>
      </c>
      <c r="AD1405" s="17">
        <v>1</v>
      </c>
      <c r="AE1405" s="17"/>
      <c r="AF1405" s="17"/>
      <c r="AG1405" s="17">
        <v>2002</v>
      </c>
      <c r="AH1405" s="14">
        <f t="shared" si="93"/>
        <v>12</v>
      </c>
      <c r="AI1405" s="17">
        <f t="shared" si="94"/>
        <v>13</v>
      </c>
      <c r="AJ1405" s="17"/>
      <c r="AK1405" s="17" t="s">
        <v>56</v>
      </c>
      <c r="AL1405" s="16" t="s">
        <v>308</v>
      </c>
      <c r="AM1405" s="17">
        <v>2020</v>
      </c>
      <c r="AN1405" s="15" t="s">
        <v>309</v>
      </c>
      <c r="AO1405" s="15" t="s">
        <v>56</v>
      </c>
      <c r="AP1405" s="15"/>
      <c r="AQ1405" s="15" t="s">
        <v>56</v>
      </c>
      <c r="AR1405" s="15" t="s">
        <v>58</v>
      </c>
      <c r="AS1405" s="15" t="s">
        <v>62</v>
      </c>
      <c r="AT1405" s="15"/>
      <c r="AU1405" s="45"/>
      <c r="AV1405" s="15"/>
      <c r="AW1405" s="12" t="str">
        <f>B1405&amp;C1405&amp;L1405&amp;M1405&amp;O1405&amp;U1405&amp;AL1405&amp;AM1405</f>
        <v>MexicoBahía de LoretoPentaceraster cumingidensity91.2222222222222Rojas-Montiel2020</v>
      </c>
    </row>
    <row r="1406" spans="1:49" ht="14.25" customHeight="1" x14ac:dyDescent="0.35">
      <c r="A1406" s="12">
        <v>1405</v>
      </c>
      <c r="B1406" s="15" t="s">
        <v>254</v>
      </c>
      <c r="C1406" s="12" t="s">
        <v>306</v>
      </c>
      <c r="D1406" s="15" t="s">
        <v>306</v>
      </c>
      <c r="E1406" s="15" t="s">
        <v>68</v>
      </c>
      <c r="F1406" s="16" t="s">
        <v>50</v>
      </c>
      <c r="G1406" s="16" t="s">
        <v>51</v>
      </c>
      <c r="H1406" s="16" t="s">
        <v>78</v>
      </c>
      <c r="I1406" s="16" t="s">
        <v>53</v>
      </c>
      <c r="J1406" s="14">
        <v>6.17</v>
      </c>
      <c r="K1406" s="17"/>
      <c r="L1406" s="17" t="s">
        <v>319</v>
      </c>
      <c r="M1406" s="17"/>
      <c r="N1406" s="14" t="s">
        <v>85</v>
      </c>
      <c r="O1406" s="17" t="s">
        <v>86</v>
      </c>
      <c r="P1406" s="17"/>
      <c r="Q1406" s="17"/>
      <c r="R1406" s="17"/>
      <c r="S1406" s="17">
        <v>0</v>
      </c>
      <c r="T1406" s="17">
        <v>2100</v>
      </c>
      <c r="U1406" s="20" t="str">
        <f t="shared" si="92"/>
        <v>N/A</v>
      </c>
      <c r="V1406" s="41" t="str">
        <f t="shared" si="95"/>
        <v>N/A</v>
      </c>
      <c r="W1406" s="17"/>
      <c r="X1406" s="17" t="s">
        <v>56</v>
      </c>
      <c r="Z1406" s="17" t="s">
        <v>56</v>
      </c>
      <c r="AA1406" s="17"/>
      <c r="AB1406" s="17" t="s">
        <v>57</v>
      </c>
      <c r="AC1406" s="17">
        <v>2014</v>
      </c>
      <c r="AD1406" s="17">
        <v>1</v>
      </c>
      <c r="AE1406" s="17"/>
      <c r="AF1406" s="17"/>
      <c r="AG1406" s="17">
        <v>2002</v>
      </c>
      <c r="AH1406" s="14">
        <f t="shared" si="93"/>
        <v>12</v>
      </c>
      <c r="AI1406" s="17">
        <f t="shared" si="94"/>
        <v>13</v>
      </c>
      <c r="AJ1406" s="17"/>
      <c r="AK1406" s="17" t="s">
        <v>56</v>
      </c>
      <c r="AL1406" s="16" t="s">
        <v>308</v>
      </c>
      <c r="AM1406" s="17">
        <v>2020</v>
      </c>
      <c r="AN1406" s="15" t="s">
        <v>309</v>
      </c>
      <c r="AO1406" s="15" t="s">
        <v>56</v>
      </c>
      <c r="AP1406" s="15"/>
      <c r="AQ1406" s="15" t="s">
        <v>56</v>
      </c>
      <c r="AR1406" s="15" t="s">
        <v>58</v>
      </c>
      <c r="AS1406" s="15" t="s">
        <v>62</v>
      </c>
      <c r="AT1406" s="15"/>
      <c r="AU1406" s="45"/>
      <c r="AV1406" s="15"/>
      <c r="AW1406" s="12" t="str">
        <f>B1406&amp;C1406&amp;L1406&amp;M1406&amp;O1406&amp;U1406&amp;AL1406&amp;AM1406</f>
        <v>MexicoBahía de LoretoNidorellia armatadensityN/ARojas-Montiel2020</v>
      </c>
    </row>
    <row r="1407" spans="1:49" ht="14.25" customHeight="1" x14ac:dyDescent="0.35">
      <c r="A1407" s="12">
        <v>1406</v>
      </c>
      <c r="B1407" s="15" t="s">
        <v>254</v>
      </c>
      <c r="C1407" s="15" t="s">
        <v>306</v>
      </c>
      <c r="D1407" s="15" t="s">
        <v>306</v>
      </c>
      <c r="E1407" s="15" t="s">
        <v>68</v>
      </c>
      <c r="F1407" s="16" t="s">
        <v>50</v>
      </c>
      <c r="G1407" s="16" t="s">
        <v>51</v>
      </c>
      <c r="H1407" s="16" t="s">
        <v>78</v>
      </c>
      <c r="I1407" s="16" t="s">
        <v>53</v>
      </c>
      <c r="J1407" s="17">
        <v>6.17</v>
      </c>
      <c r="K1407" s="17"/>
      <c r="L1407" s="17" t="s">
        <v>320</v>
      </c>
      <c r="M1407" s="17"/>
      <c r="N1407" s="14" t="s">
        <v>85</v>
      </c>
      <c r="O1407" s="17" t="s">
        <v>86</v>
      </c>
      <c r="P1407" s="17"/>
      <c r="Q1407" s="17"/>
      <c r="R1407" s="17"/>
      <c r="S1407" s="17">
        <v>0</v>
      </c>
      <c r="T1407" s="17">
        <v>400</v>
      </c>
      <c r="U1407" s="20" t="str">
        <f t="shared" ref="U1407:U1470" si="96">IFERROR(IF(AND(Q1407="",R1407="",S1407="",T1407=""),"",IF(AND(Q1407&lt;&gt;"",R1407&lt;&gt;"",S1407&lt;&gt;"",T1407&lt;&gt;""),(T1407/R1407)/(S1407/Q1407),IF(AND(Q1407&lt;&gt;"",R1407&lt;&gt;""),R1407/Q1407,IF(AND(S1407&lt;&gt;"",T1407&lt;&gt;""),T1407/S1407,IF(AND(Q1407&lt;&gt;"",S1407&lt;&gt;""),Q1407/S1407,IF(AND(R1407&lt;&gt;"",T1407&lt;&gt;""),T1407/R1407)))))), "N/A")</f>
        <v>N/A</v>
      </c>
      <c r="V1407" s="41" t="str">
        <f t="shared" si="95"/>
        <v>N/A</v>
      </c>
      <c r="W1407" s="17"/>
      <c r="X1407" s="17" t="s">
        <v>56</v>
      </c>
      <c r="Z1407" s="17" t="s">
        <v>56</v>
      </c>
      <c r="AA1407" s="17"/>
      <c r="AB1407" s="17" t="s">
        <v>57</v>
      </c>
      <c r="AC1407" s="17">
        <v>2014</v>
      </c>
      <c r="AD1407" s="17">
        <v>1</v>
      </c>
      <c r="AE1407" s="17"/>
      <c r="AF1407" s="17"/>
      <c r="AG1407" s="17">
        <v>2002</v>
      </c>
      <c r="AH1407" s="14">
        <f t="shared" si="93"/>
        <v>12</v>
      </c>
      <c r="AI1407" s="17">
        <f t="shared" si="94"/>
        <v>13</v>
      </c>
      <c r="AJ1407" s="17"/>
      <c r="AK1407" s="17" t="s">
        <v>56</v>
      </c>
      <c r="AL1407" s="16" t="s">
        <v>308</v>
      </c>
      <c r="AM1407" s="17">
        <v>2020</v>
      </c>
      <c r="AN1407" s="15" t="s">
        <v>309</v>
      </c>
      <c r="AO1407" s="15" t="s">
        <v>56</v>
      </c>
      <c r="AP1407" s="15"/>
      <c r="AQ1407" s="15" t="s">
        <v>56</v>
      </c>
      <c r="AR1407" s="15" t="s">
        <v>58</v>
      </c>
      <c r="AS1407" s="15" t="s">
        <v>62</v>
      </c>
      <c r="AT1407" s="15"/>
      <c r="AU1407" s="45"/>
      <c r="AV1407" s="15"/>
      <c r="AW1407" s="12" t="str">
        <f>B1407&amp;C1407&amp;L1407&amp;M1407&amp;O1407&amp;U1407&amp;AL1407&amp;AM1407</f>
        <v>MexicoBahía de LoretoAcanthaster plancidensityN/ARojas-Montiel2020</v>
      </c>
    </row>
    <row r="1408" spans="1:49" ht="14.25" customHeight="1" x14ac:dyDescent="0.35">
      <c r="A1408" s="12">
        <v>1407</v>
      </c>
      <c r="B1408" s="15" t="s">
        <v>254</v>
      </c>
      <c r="C1408" s="15" t="s">
        <v>306</v>
      </c>
      <c r="D1408" s="15" t="s">
        <v>306</v>
      </c>
      <c r="E1408" s="15" t="s">
        <v>68</v>
      </c>
      <c r="F1408" s="16" t="s">
        <v>50</v>
      </c>
      <c r="G1408" s="16" t="s">
        <v>51</v>
      </c>
      <c r="H1408" s="16" t="s">
        <v>78</v>
      </c>
      <c r="I1408" s="16" t="s">
        <v>53</v>
      </c>
      <c r="J1408" s="17">
        <v>6.17</v>
      </c>
      <c r="K1408" s="17"/>
      <c r="L1408" s="17" t="s">
        <v>321</v>
      </c>
      <c r="M1408" s="17"/>
      <c r="N1408" s="14" t="s">
        <v>85</v>
      </c>
      <c r="O1408" s="17" t="s">
        <v>86</v>
      </c>
      <c r="P1408" s="17"/>
      <c r="Q1408" s="17"/>
      <c r="R1408" s="17"/>
      <c r="S1408" s="17">
        <v>0</v>
      </c>
      <c r="T1408" s="17">
        <v>2500</v>
      </c>
      <c r="U1408" s="20" t="str">
        <f t="shared" si="96"/>
        <v>N/A</v>
      </c>
      <c r="V1408" s="41" t="str">
        <f t="shared" si="95"/>
        <v>N/A</v>
      </c>
      <c r="W1408" s="17"/>
      <c r="X1408" s="17" t="s">
        <v>56</v>
      </c>
      <c r="Z1408" s="17" t="s">
        <v>56</v>
      </c>
      <c r="AA1408" s="17"/>
      <c r="AB1408" s="17" t="s">
        <v>57</v>
      </c>
      <c r="AC1408" s="17">
        <v>2014</v>
      </c>
      <c r="AD1408" s="17">
        <v>1</v>
      </c>
      <c r="AE1408" s="17"/>
      <c r="AF1408" s="17"/>
      <c r="AG1408" s="17">
        <v>2002</v>
      </c>
      <c r="AH1408" s="14">
        <f t="shared" ref="AH1408:AH1471" si="97">IF(OR(AG1408="NA",AC1408="NA"),"NA",IF(OR(AC1408="",AG1408=""), "", AC1408-AG1408))</f>
        <v>12</v>
      </c>
      <c r="AI1408" s="17">
        <f t="shared" ref="AI1408:AI1471" si="98">IF(AH1408="NA", "NA",IF(OR(AH1408="",AND(AD1408="",AE1408="")), "",AH1408+AD1408+AE1408/12))</f>
        <v>13</v>
      </c>
      <c r="AJ1408" s="17"/>
      <c r="AK1408" s="17" t="s">
        <v>56</v>
      </c>
      <c r="AL1408" s="16" t="s">
        <v>308</v>
      </c>
      <c r="AM1408" s="17">
        <v>2020</v>
      </c>
      <c r="AN1408" s="15" t="s">
        <v>309</v>
      </c>
      <c r="AO1408" s="15" t="s">
        <v>56</v>
      </c>
      <c r="AP1408" s="15"/>
      <c r="AQ1408" s="15" t="s">
        <v>56</v>
      </c>
      <c r="AR1408" s="15" t="s">
        <v>58</v>
      </c>
      <c r="AS1408" s="15" t="s">
        <v>62</v>
      </c>
      <c r="AT1408" s="15"/>
      <c r="AU1408" s="45"/>
      <c r="AV1408" s="15"/>
      <c r="AW1408" s="12" t="str">
        <f>B1408&amp;C1408&amp;L1408&amp;M1408&amp;O1408&amp;U1408&amp;AL1408&amp;AM1408</f>
        <v>MexicoBahía de LoretoMithrodia bradleyidensityN/ARojas-Montiel2020</v>
      </c>
    </row>
    <row r="1409" spans="1:49" ht="14.25" customHeight="1" x14ac:dyDescent="0.35">
      <c r="A1409" s="12">
        <v>1408</v>
      </c>
      <c r="B1409" s="15" t="s">
        <v>254</v>
      </c>
      <c r="C1409" s="15" t="s">
        <v>306</v>
      </c>
      <c r="D1409" s="15" t="s">
        <v>306</v>
      </c>
      <c r="E1409" s="15" t="s">
        <v>68</v>
      </c>
      <c r="F1409" s="16" t="s">
        <v>50</v>
      </c>
      <c r="G1409" s="16" t="s">
        <v>51</v>
      </c>
      <c r="H1409" s="16" t="s">
        <v>78</v>
      </c>
      <c r="I1409" s="16" t="s">
        <v>53</v>
      </c>
      <c r="J1409" s="17">
        <v>6.17</v>
      </c>
      <c r="K1409" s="17"/>
      <c r="L1409" s="17" t="s">
        <v>322</v>
      </c>
      <c r="M1409" s="17"/>
      <c r="N1409" s="14" t="s">
        <v>85</v>
      </c>
      <c r="O1409" s="17" t="s">
        <v>86</v>
      </c>
      <c r="P1409" s="17"/>
      <c r="Q1409" s="17"/>
      <c r="R1409" s="17"/>
      <c r="S1409" s="17">
        <v>0</v>
      </c>
      <c r="T1409" s="17">
        <v>2700</v>
      </c>
      <c r="U1409" s="20" t="str">
        <f t="shared" si="96"/>
        <v>N/A</v>
      </c>
      <c r="V1409" s="41" t="str">
        <f t="shared" si="95"/>
        <v>N/A</v>
      </c>
      <c r="W1409" s="17"/>
      <c r="X1409" s="17" t="s">
        <v>56</v>
      </c>
      <c r="Z1409" s="17" t="s">
        <v>56</v>
      </c>
      <c r="AA1409" s="17"/>
      <c r="AB1409" s="17" t="s">
        <v>57</v>
      </c>
      <c r="AC1409" s="17">
        <v>2014</v>
      </c>
      <c r="AD1409" s="17">
        <v>1</v>
      </c>
      <c r="AE1409" s="17"/>
      <c r="AF1409" s="17"/>
      <c r="AG1409" s="17">
        <v>2002</v>
      </c>
      <c r="AH1409" s="14">
        <f t="shared" si="97"/>
        <v>12</v>
      </c>
      <c r="AI1409" s="17">
        <f t="shared" si="98"/>
        <v>13</v>
      </c>
      <c r="AJ1409" s="17"/>
      <c r="AK1409" s="17" t="s">
        <v>56</v>
      </c>
      <c r="AL1409" s="16" t="s">
        <v>308</v>
      </c>
      <c r="AM1409" s="17">
        <v>2020</v>
      </c>
      <c r="AN1409" s="15" t="s">
        <v>309</v>
      </c>
      <c r="AO1409" s="15" t="s">
        <v>56</v>
      </c>
      <c r="AP1409" s="15"/>
      <c r="AQ1409" s="15" t="s">
        <v>56</v>
      </c>
      <c r="AR1409" s="15" t="s">
        <v>58</v>
      </c>
      <c r="AS1409" s="15" t="s">
        <v>62</v>
      </c>
      <c r="AT1409" s="15"/>
      <c r="AU1409" s="45"/>
      <c r="AV1409" s="15"/>
      <c r="AW1409" s="12" t="str">
        <f>B1409&amp;C1409&amp;L1409&amp;M1409&amp;O1409&amp;U1409&amp;AL1409&amp;AM1409</f>
        <v>MexicoBahía de LoretoHeliaster kubinijidensityN/ARojas-Montiel2020</v>
      </c>
    </row>
    <row r="1410" spans="1:49" ht="14.25" customHeight="1" x14ac:dyDescent="0.35">
      <c r="A1410" s="12">
        <v>1409</v>
      </c>
      <c r="B1410" s="15" t="s">
        <v>254</v>
      </c>
      <c r="C1410" s="15" t="s">
        <v>306</v>
      </c>
      <c r="D1410" s="15" t="s">
        <v>306</v>
      </c>
      <c r="E1410" s="15" t="s">
        <v>68</v>
      </c>
      <c r="F1410" s="16" t="s">
        <v>50</v>
      </c>
      <c r="G1410" s="16" t="s">
        <v>51</v>
      </c>
      <c r="H1410" s="16" t="s">
        <v>78</v>
      </c>
      <c r="I1410" s="16" t="s">
        <v>53</v>
      </c>
      <c r="J1410" s="17">
        <v>6.17</v>
      </c>
      <c r="K1410" s="17"/>
      <c r="L1410" s="17" t="s">
        <v>323</v>
      </c>
      <c r="M1410" s="17"/>
      <c r="N1410" s="14" t="s">
        <v>85</v>
      </c>
      <c r="O1410" s="17" t="s">
        <v>86</v>
      </c>
      <c r="P1410" s="17"/>
      <c r="Q1410" s="17"/>
      <c r="R1410" s="17"/>
      <c r="S1410" s="17">
        <v>0</v>
      </c>
      <c r="T1410" s="17">
        <v>3600</v>
      </c>
      <c r="U1410" s="20" t="str">
        <f t="shared" si="96"/>
        <v>N/A</v>
      </c>
      <c r="V1410" s="41" t="str">
        <f t="shared" ref="V1410:V1473" si="99">IFERROR(IF(U1410 = "", "",(U1410-1)*100),"N/A")</f>
        <v>N/A</v>
      </c>
      <c r="W1410" s="17"/>
      <c r="X1410" s="17" t="s">
        <v>56</v>
      </c>
      <c r="Z1410" s="17" t="s">
        <v>56</v>
      </c>
      <c r="AA1410" s="17"/>
      <c r="AB1410" s="17" t="s">
        <v>57</v>
      </c>
      <c r="AC1410" s="17">
        <v>2014</v>
      </c>
      <c r="AD1410" s="17">
        <v>1</v>
      </c>
      <c r="AE1410" s="17"/>
      <c r="AF1410" s="17"/>
      <c r="AG1410" s="17">
        <v>2002</v>
      </c>
      <c r="AH1410" s="14">
        <f t="shared" si="97"/>
        <v>12</v>
      </c>
      <c r="AI1410" s="17">
        <f t="shared" si="98"/>
        <v>13</v>
      </c>
      <c r="AJ1410" s="17"/>
      <c r="AK1410" s="17" t="s">
        <v>56</v>
      </c>
      <c r="AL1410" s="16" t="s">
        <v>308</v>
      </c>
      <c r="AM1410" s="17">
        <v>2020</v>
      </c>
      <c r="AN1410" s="15" t="s">
        <v>309</v>
      </c>
      <c r="AO1410" s="15" t="s">
        <v>56</v>
      </c>
      <c r="AP1410" s="15"/>
      <c r="AQ1410" s="15" t="s">
        <v>56</v>
      </c>
      <c r="AR1410" s="15" t="s">
        <v>58</v>
      </c>
      <c r="AS1410" s="15" t="s">
        <v>62</v>
      </c>
      <c r="AT1410" s="15"/>
      <c r="AU1410" s="45"/>
      <c r="AV1410" s="15"/>
      <c r="AW1410" s="12" t="str">
        <f>B1410&amp;C1410&amp;L1410&amp;M1410&amp;O1410&amp;U1410&amp;AL1410&amp;AM1410</f>
        <v>MexicoBahía de LoretoEchinaster tenuispinadensityN/ARojas-Montiel2020</v>
      </c>
    </row>
    <row r="1411" spans="1:49" ht="14.25" customHeight="1" x14ac:dyDescent="0.35">
      <c r="A1411" s="12">
        <v>1410</v>
      </c>
      <c r="B1411" s="43" t="s">
        <v>254</v>
      </c>
      <c r="C1411" s="43" t="s">
        <v>328</v>
      </c>
      <c r="D1411" s="43" t="s">
        <v>328</v>
      </c>
      <c r="E1411" s="43" t="s">
        <v>68</v>
      </c>
      <c r="F1411" s="52" t="s">
        <v>50</v>
      </c>
      <c r="G1411" s="52" t="s">
        <v>51</v>
      </c>
      <c r="H1411" s="56" t="s">
        <v>78</v>
      </c>
      <c r="I1411" s="56" t="s">
        <v>53</v>
      </c>
      <c r="J1411" s="53">
        <v>25</v>
      </c>
      <c r="K1411" s="53"/>
      <c r="L1411" s="53" t="s">
        <v>307</v>
      </c>
      <c r="M1411" s="53"/>
      <c r="N1411" s="14" t="s">
        <v>85</v>
      </c>
      <c r="O1411" s="53" t="s">
        <v>86</v>
      </c>
      <c r="P1411" s="53"/>
      <c r="Q1411" s="53"/>
      <c r="R1411" s="53"/>
      <c r="S1411" s="53">
        <v>11300</v>
      </c>
      <c r="T1411" s="53">
        <v>30300</v>
      </c>
      <c r="U1411" s="57">
        <f t="shared" si="96"/>
        <v>2.6814159292035398</v>
      </c>
      <c r="V1411" s="41">
        <f t="shared" si="99"/>
        <v>168.14159292035399</v>
      </c>
      <c r="W1411" s="53"/>
      <c r="X1411" s="53" t="s">
        <v>56</v>
      </c>
      <c r="Y1411" s="42"/>
      <c r="Z1411" s="53" t="s">
        <v>56</v>
      </c>
      <c r="AA1411" s="53"/>
      <c r="AB1411" s="53" t="s">
        <v>57</v>
      </c>
      <c r="AC1411" s="53">
        <v>2014</v>
      </c>
      <c r="AD1411" s="53">
        <v>1</v>
      </c>
      <c r="AE1411" s="53"/>
      <c r="AF1411" s="53"/>
      <c r="AG1411" s="53">
        <v>2006</v>
      </c>
      <c r="AH1411" s="14">
        <f t="shared" si="97"/>
        <v>8</v>
      </c>
      <c r="AI1411" s="17">
        <f t="shared" si="98"/>
        <v>9</v>
      </c>
      <c r="AJ1411" s="53"/>
      <c r="AK1411" s="53" t="s">
        <v>56</v>
      </c>
      <c r="AL1411" s="56" t="s">
        <v>308</v>
      </c>
      <c r="AM1411" s="53">
        <v>2020</v>
      </c>
      <c r="AN1411" s="43" t="s">
        <v>309</v>
      </c>
      <c r="AO1411" s="43" t="s">
        <v>56</v>
      </c>
      <c r="AP1411" s="43"/>
      <c r="AQ1411" s="43" t="s">
        <v>56</v>
      </c>
      <c r="AR1411" s="43" t="s">
        <v>58</v>
      </c>
      <c r="AS1411" s="43" t="s">
        <v>62</v>
      </c>
      <c r="AT1411" s="43"/>
      <c r="AU1411" s="55"/>
      <c r="AV1411" s="43"/>
      <c r="AW1411" s="12" t="str">
        <f>B1411&amp;C1411&amp;L1411&amp;M1411&amp;O1411&amp;U1411&amp;AL1411&amp;AM1411</f>
        <v>MexicoCabo Pulmo National ParkEucidaris thouarsiidensity2.68141592920354Rojas-Montiel2020</v>
      </c>
    </row>
    <row r="1412" spans="1:49" ht="14.25" customHeight="1" x14ac:dyDescent="0.35">
      <c r="A1412" s="12">
        <v>1411</v>
      </c>
      <c r="B1412" s="43" t="s">
        <v>254</v>
      </c>
      <c r="C1412" s="43" t="s">
        <v>328</v>
      </c>
      <c r="D1412" s="43" t="s">
        <v>328</v>
      </c>
      <c r="E1412" s="43" t="s">
        <v>68</v>
      </c>
      <c r="F1412" s="52" t="s">
        <v>50</v>
      </c>
      <c r="G1412" s="52" t="s">
        <v>51</v>
      </c>
      <c r="H1412" s="56" t="s">
        <v>78</v>
      </c>
      <c r="I1412" s="56" t="s">
        <v>53</v>
      </c>
      <c r="J1412" s="53">
        <v>25</v>
      </c>
      <c r="K1412" s="53"/>
      <c r="L1412" s="53" t="s">
        <v>310</v>
      </c>
      <c r="M1412" s="17" t="s">
        <v>513</v>
      </c>
      <c r="N1412" s="14" t="s">
        <v>85</v>
      </c>
      <c r="O1412" s="53" t="s">
        <v>86</v>
      </c>
      <c r="P1412" s="53"/>
      <c r="Q1412" s="53"/>
      <c r="R1412" s="53"/>
      <c r="S1412" s="53">
        <v>10400</v>
      </c>
      <c r="T1412" s="53">
        <v>0</v>
      </c>
      <c r="U1412" s="57">
        <f t="shared" si="96"/>
        <v>0</v>
      </c>
      <c r="V1412" s="41">
        <f t="shared" si="99"/>
        <v>-100</v>
      </c>
      <c r="W1412" s="53"/>
      <c r="X1412" s="53" t="s">
        <v>56</v>
      </c>
      <c r="Y1412" s="42"/>
      <c r="Z1412" s="53" t="s">
        <v>56</v>
      </c>
      <c r="AA1412" s="53"/>
      <c r="AB1412" s="53" t="s">
        <v>57</v>
      </c>
      <c r="AC1412" s="53">
        <v>2014</v>
      </c>
      <c r="AD1412" s="53">
        <v>1</v>
      </c>
      <c r="AE1412" s="53"/>
      <c r="AF1412" s="53"/>
      <c r="AG1412" s="53">
        <v>2006</v>
      </c>
      <c r="AH1412" s="14">
        <f t="shared" si="97"/>
        <v>8</v>
      </c>
      <c r="AI1412" s="17">
        <f t="shared" si="98"/>
        <v>9</v>
      </c>
      <c r="AJ1412" s="53"/>
      <c r="AK1412" s="53" t="s">
        <v>56</v>
      </c>
      <c r="AL1412" s="56" t="s">
        <v>308</v>
      </c>
      <c r="AM1412" s="53">
        <v>2020</v>
      </c>
      <c r="AN1412" s="43" t="s">
        <v>309</v>
      </c>
      <c r="AO1412" s="43" t="s">
        <v>56</v>
      </c>
      <c r="AP1412" s="43"/>
      <c r="AQ1412" s="43" t="s">
        <v>56</v>
      </c>
      <c r="AR1412" s="43" t="s">
        <v>58</v>
      </c>
      <c r="AS1412" s="43" t="s">
        <v>62</v>
      </c>
      <c r="AT1412" s="43"/>
      <c r="AU1412" s="55"/>
      <c r="AV1412" s="43"/>
      <c r="AW1412" s="12" t="str">
        <f>B1412&amp;C1412&amp;L1412&amp;M1412&amp;O1412&amp;U1412&amp;AL1412&amp;AM1412</f>
        <v>MexicoCabo Pulmo National ParkTripneustes depressuswhite sea urchindensity0Rojas-Montiel2020</v>
      </c>
    </row>
    <row r="1413" spans="1:49" ht="14.25" customHeight="1" x14ac:dyDescent="0.35">
      <c r="A1413" s="12">
        <v>1412</v>
      </c>
      <c r="B1413" s="43" t="s">
        <v>254</v>
      </c>
      <c r="C1413" s="43" t="s">
        <v>328</v>
      </c>
      <c r="D1413" s="43" t="s">
        <v>328</v>
      </c>
      <c r="E1413" s="44" t="s">
        <v>68</v>
      </c>
      <c r="F1413" s="52" t="s">
        <v>50</v>
      </c>
      <c r="G1413" s="52" t="s">
        <v>51</v>
      </c>
      <c r="H1413" s="56" t="s">
        <v>78</v>
      </c>
      <c r="I1413" s="56" t="s">
        <v>53</v>
      </c>
      <c r="J1413" s="53">
        <v>25</v>
      </c>
      <c r="K1413" s="53"/>
      <c r="L1413" s="53" t="s">
        <v>311</v>
      </c>
      <c r="M1413" s="53"/>
      <c r="N1413" s="14" t="s">
        <v>85</v>
      </c>
      <c r="O1413" s="53" t="s">
        <v>86</v>
      </c>
      <c r="P1413" s="53"/>
      <c r="Q1413" s="53"/>
      <c r="R1413" s="53"/>
      <c r="S1413" s="53">
        <v>1700</v>
      </c>
      <c r="T1413" s="53">
        <v>300</v>
      </c>
      <c r="U1413" s="54">
        <f t="shared" si="96"/>
        <v>0.17647058823529413</v>
      </c>
      <c r="V1413" s="41">
        <f t="shared" si="99"/>
        <v>-82.35294117647058</v>
      </c>
      <c r="W1413" s="42"/>
      <c r="X1413" s="53" t="s">
        <v>56</v>
      </c>
      <c r="Y1413" s="42"/>
      <c r="Z1413" s="53" t="s">
        <v>56</v>
      </c>
      <c r="AA1413" s="53"/>
      <c r="AB1413" s="53" t="s">
        <v>57</v>
      </c>
      <c r="AC1413" s="53">
        <v>2014</v>
      </c>
      <c r="AD1413" s="53">
        <v>1</v>
      </c>
      <c r="AE1413" s="53"/>
      <c r="AF1413" s="53"/>
      <c r="AG1413" s="53">
        <v>2006</v>
      </c>
      <c r="AH1413" s="14">
        <f t="shared" si="97"/>
        <v>8</v>
      </c>
      <c r="AI1413" s="17">
        <f t="shared" si="98"/>
        <v>9</v>
      </c>
      <c r="AJ1413" s="53"/>
      <c r="AK1413" s="53" t="s">
        <v>56</v>
      </c>
      <c r="AL1413" s="56" t="s">
        <v>308</v>
      </c>
      <c r="AM1413" s="53">
        <v>2020</v>
      </c>
      <c r="AN1413" s="43" t="s">
        <v>309</v>
      </c>
      <c r="AO1413" s="43" t="s">
        <v>56</v>
      </c>
      <c r="AP1413" s="43"/>
      <c r="AQ1413" s="43" t="s">
        <v>56</v>
      </c>
      <c r="AR1413" s="43" t="s">
        <v>58</v>
      </c>
      <c r="AS1413" s="43" t="s">
        <v>62</v>
      </c>
      <c r="AT1413" s="44"/>
      <c r="AU1413" s="55"/>
      <c r="AV1413" s="43"/>
      <c r="AW1413" s="12" t="str">
        <f>B1413&amp;C1413&amp;L1413&amp;M1413&amp;O1413&amp;U1413&amp;AL1413&amp;AM1413</f>
        <v>MexicoCabo Pulmo National ParkToxopneustes roseusdensity0.176470588235294Rojas-Montiel2020</v>
      </c>
    </row>
    <row r="1414" spans="1:49" ht="14.25" customHeight="1" x14ac:dyDescent="0.35">
      <c r="A1414" s="12">
        <v>1413</v>
      </c>
      <c r="B1414" s="43" t="s">
        <v>254</v>
      </c>
      <c r="C1414" s="43" t="s">
        <v>328</v>
      </c>
      <c r="D1414" s="43" t="s">
        <v>328</v>
      </c>
      <c r="E1414" s="43" t="s">
        <v>68</v>
      </c>
      <c r="F1414" s="52" t="s">
        <v>50</v>
      </c>
      <c r="G1414" s="52" t="s">
        <v>51</v>
      </c>
      <c r="H1414" s="56" t="s">
        <v>78</v>
      </c>
      <c r="I1414" s="56" t="s">
        <v>53</v>
      </c>
      <c r="J1414" s="53">
        <v>25</v>
      </c>
      <c r="K1414" s="53"/>
      <c r="L1414" s="53" t="s">
        <v>312</v>
      </c>
      <c r="M1414" s="53"/>
      <c r="N1414" s="14" t="s">
        <v>85</v>
      </c>
      <c r="O1414" s="53" t="s">
        <v>86</v>
      </c>
      <c r="P1414" s="53"/>
      <c r="Q1414" s="53"/>
      <c r="R1414" s="53"/>
      <c r="S1414" s="53">
        <v>0</v>
      </c>
      <c r="T1414" s="53">
        <v>2200</v>
      </c>
      <c r="U1414" s="57" t="str">
        <f t="shared" si="96"/>
        <v>N/A</v>
      </c>
      <c r="V1414" s="41" t="str">
        <f t="shared" si="99"/>
        <v>N/A</v>
      </c>
      <c r="W1414" s="53"/>
      <c r="X1414" s="53" t="s">
        <v>56</v>
      </c>
      <c r="Y1414" s="42"/>
      <c r="Z1414" s="53" t="s">
        <v>56</v>
      </c>
      <c r="AA1414" s="53"/>
      <c r="AB1414" s="53" t="s">
        <v>57</v>
      </c>
      <c r="AC1414" s="53">
        <v>2014</v>
      </c>
      <c r="AD1414" s="53">
        <v>1</v>
      </c>
      <c r="AE1414" s="53"/>
      <c r="AF1414" s="53"/>
      <c r="AG1414" s="53">
        <v>2006</v>
      </c>
      <c r="AH1414" s="14">
        <f t="shared" si="97"/>
        <v>8</v>
      </c>
      <c r="AI1414" s="17">
        <f t="shared" si="98"/>
        <v>9</v>
      </c>
      <c r="AJ1414" s="53"/>
      <c r="AK1414" s="53" t="s">
        <v>56</v>
      </c>
      <c r="AL1414" s="56" t="s">
        <v>308</v>
      </c>
      <c r="AM1414" s="53">
        <v>2020</v>
      </c>
      <c r="AN1414" s="43" t="s">
        <v>309</v>
      </c>
      <c r="AO1414" s="43" t="s">
        <v>56</v>
      </c>
      <c r="AP1414" s="43"/>
      <c r="AQ1414" s="43" t="s">
        <v>56</v>
      </c>
      <c r="AR1414" s="43" t="s">
        <v>58</v>
      </c>
      <c r="AS1414" s="43" t="s">
        <v>62</v>
      </c>
      <c r="AT1414" s="43"/>
      <c r="AU1414" s="55"/>
      <c r="AV1414" s="43"/>
      <c r="AW1414" s="12" t="str">
        <f>B1414&amp;C1414&amp;L1414&amp;M1414&amp;O1414&amp;U1414&amp;AL1414&amp;AM1414</f>
        <v>MexicoCabo Pulmo National ParkEchinometra vanbruntidensityN/ARojas-Montiel2020</v>
      </c>
    </row>
    <row r="1415" spans="1:49" ht="14.25" customHeight="1" x14ac:dyDescent="0.35">
      <c r="A1415" s="12">
        <v>1414</v>
      </c>
      <c r="B1415" s="43" t="s">
        <v>254</v>
      </c>
      <c r="C1415" s="43" t="s">
        <v>328</v>
      </c>
      <c r="D1415" s="43" t="s">
        <v>328</v>
      </c>
      <c r="E1415" s="43" t="s">
        <v>68</v>
      </c>
      <c r="F1415" s="52" t="s">
        <v>50</v>
      </c>
      <c r="G1415" s="52" t="s">
        <v>51</v>
      </c>
      <c r="H1415" s="56" t="s">
        <v>78</v>
      </c>
      <c r="I1415" s="56" t="s">
        <v>53</v>
      </c>
      <c r="J1415" s="53">
        <v>25</v>
      </c>
      <c r="K1415" s="53"/>
      <c r="L1415" s="53" t="s">
        <v>313</v>
      </c>
      <c r="M1415" s="53"/>
      <c r="N1415" s="14" t="s">
        <v>85</v>
      </c>
      <c r="O1415" s="53" t="s">
        <v>86</v>
      </c>
      <c r="P1415" s="53"/>
      <c r="Q1415" s="53"/>
      <c r="R1415" s="53"/>
      <c r="S1415" s="53">
        <v>0</v>
      </c>
      <c r="T1415" s="53">
        <v>300</v>
      </c>
      <c r="U1415" s="57" t="str">
        <f t="shared" si="96"/>
        <v>N/A</v>
      </c>
      <c r="V1415" s="41" t="str">
        <f t="shared" si="99"/>
        <v>N/A</v>
      </c>
      <c r="W1415" s="53"/>
      <c r="X1415" s="53" t="s">
        <v>56</v>
      </c>
      <c r="Y1415" s="42"/>
      <c r="Z1415" s="53" t="s">
        <v>56</v>
      </c>
      <c r="AA1415" s="53"/>
      <c r="AB1415" s="53" t="s">
        <v>57</v>
      </c>
      <c r="AC1415" s="53">
        <v>2014</v>
      </c>
      <c r="AD1415" s="53">
        <v>1</v>
      </c>
      <c r="AE1415" s="53"/>
      <c r="AF1415" s="53"/>
      <c r="AG1415" s="53">
        <v>2006</v>
      </c>
      <c r="AH1415" s="14">
        <f t="shared" si="97"/>
        <v>8</v>
      </c>
      <c r="AI1415" s="17">
        <f t="shared" si="98"/>
        <v>9</v>
      </c>
      <c r="AJ1415" s="53"/>
      <c r="AK1415" s="53" t="s">
        <v>56</v>
      </c>
      <c r="AL1415" s="56" t="s">
        <v>308</v>
      </c>
      <c r="AM1415" s="53">
        <v>2020</v>
      </c>
      <c r="AN1415" s="43" t="s">
        <v>309</v>
      </c>
      <c r="AO1415" s="43" t="s">
        <v>56</v>
      </c>
      <c r="AP1415" s="43"/>
      <c r="AQ1415" s="43" t="s">
        <v>56</v>
      </c>
      <c r="AR1415" s="43" t="s">
        <v>58</v>
      </c>
      <c r="AS1415" s="43" t="s">
        <v>62</v>
      </c>
      <c r="AT1415" s="43"/>
      <c r="AU1415" s="55"/>
      <c r="AV1415" s="43"/>
      <c r="AW1415" s="12" t="str">
        <f>B1415&amp;C1415&amp;L1415&amp;M1415&amp;O1415&amp;U1415&amp;AL1415&amp;AM1415</f>
        <v>MexicoCabo Pulmo National ParkDiadema mexicanumdensityN/ARojas-Montiel2020</v>
      </c>
    </row>
    <row r="1416" spans="1:49" ht="14.5" x14ac:dyDescent="0.35">
      <c r="A1416" s="12">
        <v>1415</v>
      </c>
      <c r="B1416" s="43" t="s">
        <v>254</v>
      </c>
      <c r="C1416" s="43" t="s">
        <v>328</v>
      </c>
      <c r="D1416" s="43" t="s">
        <v>328</v>
      </c>
      <c r="E1416" s="43" t="s">
        <v>68</v>
      </c>
      <c r="F1416" s="52" t="s">
        <v>50</v>
      </c>
      <c r="G1416" s="52" t="s">
        <v>51</v>
      </c>
      <c r="H1416" s="56" t="s">
        <v>78</v>
      </c>
      <c r="I1416" s="56" t="s">
        <v>53</v>
      </c>
      <c r="J1416" s="53">
        <v>25</v>
      </c>
      <c r="K1416" s="53"/>
      <c r="L1416" s="53" t="s">
        <v>314</v>
      </c>
      <c r="M1416" s="53"/>
      <c r="N1416" s="14" t="s">
        <v>85</v>
      </c>
      <c r="O1416" s="53" t="s">
        <v>86</v>
      </c>
      <c r="P1416" s="53"/>
      <c r="Q1416" s="53"/>
      <c r="R1416" s="53"/>
      <c r="S1416" s="53">
        <v>7000</v>
      </c>
      <c r="T1416" s="53">
        <v>1700</v>
      </c>
      <c r="U1416" s="57">
        <f t="shared" si="96"/>
        <v>0.24285714285714285</v>
      </c>
      <c r="V1416" s="41">
        <f t="shared" si="99"/>
        <v>-75.714285714285708</v>
      </c>
      <c r="W1416" s="53"/>
      <c r="X1416" s="53" t="s">
        <v>56</v>
      </c>
      <c r="Y1416" s="42"/>
      <c r="Z1416" s="53" t="s">
        <v>56</v>
      </c>
      <c r="AA1416" s="53"/>
      <c r="AB1416" s="53" t="s">
        <v>57</v>
      </c>
      <c r="AC1416" s="53">
        <v>2014</v>
      </c>
      <c r="AD1416" s="53">
        <v>1</v>
      </c>
      <c r="AE1416" s="53"/>
      <c r="AF1416" s="53"/>
      <c r="AG1416" s="53">
        <v>2006</v>
      </c>
      <c r="AH1416" s="14">
        <f t="shared" si="97"/>
        <v>8</v>
      </c>
      <c r="AI1416" s="17">
        <f t="shared" si="98"/>
        <v>9</v>
      </c>
      <c r="AJ1416" s="53"/>
      <c r="AK1416" s="53" t="s">
        <v>56</v>
      </c>
      <c r="AL1416" s="56" t="s">
        <v>308</v>
      </c>
      <c r="AM1416" s="53">
        <v>2020</v>
      </c>
      <c r="AN1416" s="44" t="s">
        <v>309</v>
      </c>
      <c r="AO1416" s="43" t="s">
        <v>56</v>
      </c>
      <c r="AP1416" s="43"/>
      <c r="AQ1416" s="43" t="s">
        <v>56</v>
      </c>
      <c r="AR1416" s="43" t="s">
        <v>58</v>
      </c>
      <c r="AS1416" s="43" t="s">
        <v>62</v>
      </c>
      <c r="AT1416" s="43"/>
      <c r="AU1416" s="55"/>
      <c r="AV1416" s="43"/>
      <c r="AW1416" s="12" t="str">
        <f>B1416&amp;C1416&amp;L1416&amp;M1416&amp;O1416&amp;U1416&amp;AL1416&amp;AM1416</f>
        <v>MexicoCabo Pulmo National ParkCentrostephanus coronatudensity0.242857142857143Rojas-Montiel2020</v>
      </c>
    </row>
    <row r="1417" spans="1:49" ht="14.5" x14ac:dyDescent="0.35">
      <c r="A1417" s="12">
        <v>1416</v>
      </c>
      <c r="B1417" s="44" t="s">
        <v>254</v>
      </c>
      <c r="C1417" s="43" t="s">
        <v>328</v>
      </c>
      <c r="D1417" s="43" t="s">
        <v>328</v>
      </c>
      <c r="E1417" s="43" t="s">
        <v>68</v>
      </c>
      <c r="F1417" s="52" t="s">
        <v>50</v>
      </c>
      <c r="G1417" s="52" t="s">
        <v>51</v>
      </c>
      <c r="H1417" s="56" t="s">
        <v>78</v>
      </c>
      <c r="I1417" s="56" t="s">
        <v>53</v>
      </c>
      <c r="J1417" s="53">
        <v>25</v>
      </c>
      <c r="K1417" s="53"/>
      <c r="L1417" s="53" t="s">
        <v>315</v>
      </c>
      <c r="M1417" s="53"/>
      <c r="N1417" s="14" t="s">
        <v>85</v>
      </c>
      <c r="O1417" s="53" t="s">
        <v>86</v>
      </c>
      <c r="P1417" s="53"/>
      <c r="Q1417" s="53"/>
      <c r="R1417" s="53"/>
      <c r="S1417" s="53">
        <v>0</v>
      </c>
      <c r="T1417" s="53">
        <v>7200</v>
      </c>
      <c r="U1417" s="57" t="str">
        <f t="shared" si="96"/>
        <v>N/A</v>
      </c>
      <c r="V1417" s="41" t="str">
        <f t="shared" si="99"/>
        <v>N/A</v>
      </c>
      <c r="W1417" s="53"/>
      <c r="X1417" s="53" t="s">
        <v>56</v>
      </c>
      <c r="Y1417" s="42"/>
      <c r="Z1417" s="53" t="s">
        <v>56</v>
      </c>
      <c r="AA1417" s="53"/>
      <c r="AB1417" s="53" t="s">
        <v>57</v>
      </c>
      <c r="AC1417" s="53">
        <v>2014</v>
      </c>
      <c r="AD1417" s="53">
        <v>1</v>
      </c>
      <c r="AE1417" s="53"/>
      <c r="AF1417" s="53"/>
      <c r="AG1417" s="53">
        <v>2006</v>
      </c>
      <c r="AH1417" s="14">
        <f t="shared" si="97"/>
        <v>8</v>
      </c>
      <c r="AI1417" s="17">
        <f t="shared" si="98"/>
        <v>9</v>
      </c>
      <c r="AJ1417" s="53"/>
      <c r="AK1417" s="53" t="s">
        <v>56</v>
      </c>
      <c r="AL1417" s="56" t="s">
        <v>308</v>
      </c>
      <c r="AM1417" s="53">
        <v>2020</v>
      </c>
      <c r="AN1417" s="43" t="s">
        <v>309</v>
      </c>
      <c r="AO1417" s="43" t="s">
        <v>56</v>
      </c>
      <c r="AP1417" s="43"/>
      <c r="AQ1417" s="43" t="s">
        <v>56</v>
      </c>
      <c r="AR1417" s="43" t="s">
        <v>58</v>
      </c>
      <c r="AS1417" s="43" t="s">
        <v>62</v>
      </c>
      <c r="AT1417" s="43"/>
      <c r="AU1417" s="55"/>
      <c r="AV1417" s="43"/>
      <c r="AW1417" s="12" t="str">
        <f>B1417&amp;C1417&amp;L1417&amp;M1417&amp;O1417&amp;U1417&amp;AL1417&amp;AM1417</f>
        <v>MexicoCabo Pulmo National ParkArbacia stellatadensityN/ARojas-Montiel2020</v>
      </c>
    </row>
    <row r="1418" spans="1:49" ht="14.5" x14ac:dyDescent="0.35">
      <c r="A1418" s="12">
        <v>1417</v>
      </c>
      <c r="B1418" s="44" t="s">
        <v>254</v>
      </c>
      <c r="C1418" s="43" t="s">
        <v>328</v>
      </c>
      <c r="D1418" s="43" t="s">
        <v>328</v>
      </c>
      <c r="E1418" s="43" t="s">
        <v>68</v>
      </c>
      <c r="F1418" s="52" t="s">
        <v>50</v>
      </c>
      <c r="G1418" s="52" t="s">
        <v>51</v>
      </c>
      <c r="H1418" s="56" t="s">
        <v>78</v>
      </c>
      <c r="I1418" s="56" t="s">
        <v>53</v>
      </c>
      <c r="J1418" s="53">
        <v>25</v>
      </c>
      <c r="K1418" s="53"/>
      <c r="L1418" s="53" t="s">
        <v>316</v>
      </c>
      <c r="M1418" s="53"/>
      <c r="N1418" s="14" t="s">
        <v>85</v>
      </c>
      <c r="O1418" s="53" t="s">
        <v>86</v>
      </c>
      <c r="P1418" s="53"/>
      <c r="Q1418" s="53"/>
      <c r="R1418" s="53"/>
      <c r="S1418" s="53">
        <v>2600</v>
      </c>
      <c r="T1418" s="53">
        <v>3300</v>
      </c>
      <c r="U1418" s="57">
        <f t="shared" si="96"/>
        <v>1.2692307692307692</v>
      </c>
      <c r="V1418" s="41">
        <f t="shared" si="99"/>
        <v>26.923076923076916</v>
      </c>
      <c r="W1418" s="53"/>
      <c r="X1418" s="53" t="s">
        <v>56</v>
      </c>
      <c r="Y1418" s="42"/>
      <c r="Z1418" s="53" t="s">
        <v>56</v>
      </c>
      <c r="AA1418" s="53"/>
      <c r="AB1418" s="53" t="s">
        <v>57</v>
      </c>
      <c r="AC1418" s="53">
        <v>2014</v>
      </c>
      <c r="AD1418" s="53">
        <v>1</v>
      </c>
      <c r="AE1418" s="53"/>
      <c r="AF1418" s="53"/>
      <c r="AG1418" s="53">
        <v>2006</v>
      </c>
      <c r="AH1418" s="14">
        <f t="shared" si="97"/>
        <v>8</v>
      </c>
      <c r="AI1418" s="17">
        <f t="shared" si="98"/>
        <v>9</v>
      </c>
      <c r="AJ1418" s="53"/>
      <c r="AK1418" s="53" t="s">
        <v>56</v>
      </c>
      <c r="AL1418" s="56" t="s">
        <v>308</v>
      </c>
      <c r="AM1418" s="53">
        <v>2020</v>
      </c>
      <c r="AN1418" s="43" t="s">
        <v>309</v>
      </c>
      <c r="AO1418" s="43" t="s">
        <v>56</v>
      </c>
      <c r="AP1418" s="43"/>
      <c r="AQ1418" s="43" t="s">
        <v>56</v>
      </c>
      <c r="AR1418" s="43" t="s">
        <v>58</v>
      </c>
      <c r="AS1418" s="43" t="s">
        <v>62</v>
      </c>
      <c r="AT1418" s="43"/>
      <c r="AU1418" s="55"/>
      <c r="AV1418" s="43"/>
      <c r="AW1418" s="12" t="str">
        <f>B1418&amp;C1418&amp;L1418&amp;M1418&amp;O1418&amp;U1418&amp;AL1418&amp;AM1418</f>
        <v>MexicoCabo Pulmo National ParkPhataria unifascialisdensity1.26923076923077Rojas-Montiel2020</v>
      </c>
    </row>
    <row r="1419" spans="1:49" ht="14.5" x14ac:dyDescent="0.35">
      <c r="A1419" s="12">
        <v>1418</v>
      </c>
      <c r="B1419" s="44" t="s">
        <v>254</v>
      </c>
      <c r="C1419" s="44" t="s">
        <v>328</v>
      </c>
      <c r="D1419" s="43" t="s">
        <v>328</v>
      </c>
      <c r="E1419" s="44" t="s">
        <v>68</v>
      </c>
      <c r="F1419" s="52" t="s">
        <v>50</v>
      </c>
      <c r="G1419" s="52" t="s">
        <v>51</v>
      </c>
      <c r="H1419" s="52" t="s">
        <v>78</v>
      </c>
      <c r="I1419" s="52" t="s">
        <v>53</v>
      </c>
      <c r="J1419" s="53">
        <v>25</v>
      </c>
      <c r="K1419" s="53"/>
      <c r="L1419" s="42" t="s">
        <v>317</v>
      </c>
      <c r="M1419" s="42"/>
      <c r="N1419" s="14" t="s">
        <v>85</v>
      </c>
      <c r="O1419" s="53" t="s">
        <v>86</v>
      </c>
      <c r="P1419" s="42"/>
      <c r="Q1419" s="42"/>
      <c r="R1419" s="42"/>
      <c r="S1419" s="42">
        <v>1700</v>
      </c>
      <c r="T1419" s="42">
        <v>9200</v>
      </c>
      <c r="U1419" s="54">
        <f t="shared" si="96"/>
        <v>5.4117647058823533</v>
      </c>
      <c r="V1419" s="41">
        <f t="shared" si="99"/>
        <v>441.1764705882353</v>
      </c>
      <c r="W1419" s="42"/>
      <c r="X1419" s="42" t="s">
        <v>56</v>
      </c>
      <c r="Y1419" s="42"/>
      <c r="Z1419" s="42" t="s">
        <v>56</v>
      </c>
      <c r="AA1419" s="42"/>
      <c r="AB1419" s="42" t="s">
        <v>57</v>
      </c>
      <c r="AC1419" s="42">
        <v>2014</v>
      </c>
      <c r="AD1419" s="42">
        <v>1</v>
      </c>
      <c r="AE1419" s="42"/>
      <c r="AF1419" s="42"/>
      <c r="AG1419" s="42">
        <v>2006</v>
      </c>
      <c r="AH1419" s="14">
        <f t="shared" si="97"/>
        <v>8</v>
      </c>
      <c r="AI1419" s="17">
        <f t="shared" si="98"/>
        <v>9</v>
      </c>
      <c r="AJ1419" s="42"/>
      <c r="AK1419" s="42" t="s">
        <v>56</v>
      </c>
      <c r="AL1419" s="52" t="s">
        <v>308</v>
      </c>
      <c r="AM1419" s="42">
        <v>2020</v>
      </c>
      <c r="AN1419" s="44" t="s">
        <v>309</v>
      </c>
      <c r="AO1419" s="44" t="s">
        <v>56</v>
      </c>
      <c r="AP1419" s="44"/>
      <c r="AQ1419" s="44" t="s">
        <v>56</v>
      </c>
      <c r="AR1419" s="44" t="s">
        <v>58</v>
      </c>
      <c r="AS1419" s="44" t="s">
        <v>62</v>
      </c>
      <c r="AT1419" s="44"/>
      <c r="AU1419" s="55"/>
      <c r="AV1419" s="43"/>
      <c r="AW1419" s="12" t="str">
        <f>B1419&amp;C1419&amp;L1419&amp;M1419&amp;O1419&amp;U1419&amp;AL1419&amp;AM1419</f>
        <v>MexicoCabo Pulmo National ParkPharia pyramidatadensity5.41176470588235Rojas-Montiel2020</v>
      </c>
    </row>
    <row r="1420" spans="1:49" ht="14.5" x14ac:dyDescent="0.35">
      <c r="A1420" s="12">
        <v>1419</v>
      </c>
      <c r="B1420" s="44" t="s">
        <v>254</v>
      </c>
      <c r="C1420" s="43" t="s">
        <v>328</v>
      </c>
      <c r="D1420" s="43" t="s">
        <v>328</v>
      </c>
      <c r="E1420" s="43" t="s">
        <v>68</v>
      </c>
      <c r="F1420" s="52" t="s">
        <v>50</v>
      </c>
      <c r="G1420" s="52" t="s">
        <v>51</v>
      </c>
      <c r="H1420" s="56" t="s">
        <v>78</v>
      </c>
      <c r="I1420" s="56" t="s">
        <v>53</v>
      </c>
      <c r="J1420" s="53">
        <v>25</v>
      </c>
      <c r="K1420" s="53"/>
      <c r="L1420" s="53" t="s">
        <v>318</v>
      </c>
      <c r="M1420" s="53"/>
      <c r="N1420" s="14" t="s">
        <v>85</v>
      </c>
      <c r="O1420" s="53" t="s">
        <v>86</v>
      </c>
      <c r="P1420" s="53"/>
      <c r="Q1420" s="53"/>
      <c r="R1420" s="53"/>
      <c r="S1420" s="53">
        <v>900</v>
      </c>
      <c r="T1420" s="53">
        <v>0</v>
      </c>
      <c r="U1420" s="57">
        <f t="shared" si="96"/>
        <v>0</v>
      </c>
      <c r="V1420" s="41">
        <f t="shared" si="99"/>
        <v>-100</v>
      </c>
      <c r="W1420" s="53"/>
      <c r="X1420" s="53" t="s">
        <v>56</v>
      </c>
      <c r="Y1420" s="42"/>
      <c r="Z1420" s="42" t="s">
        <v>56</v>
      </c>
      <c r="AA1420" s="53"/>
      <c r="AB1420" s="53" t="s">
        <v>57</v>
      </c>
      <c r="AC1420" s="42">
        <v>2014</v>
      </c>
      <c r="AD1420" s="42">
        <v>1</v>
      </c>
      <c r="AE1420" s="53"/>
      <c r="AF1420" s="53"/>
      <c r="AG1420" s="53">
        <v>2006</v>
      </c>
      <c r="AH1420" s="14">
        <f t="shared" si="97"/>
        <v>8</v>
      </c>
      <c r="AI1420" s="17">
        <f t="shared" si="98"/>
        <v>9</v>
      </c>
      <c r="AJ1420" s="53"/>
      <c r="AK1420" s="53" t="s">
        <v>56</v>
      </c>
      <c r="AL1420" s="56" t="s">
        <v>308</v>
      </c>
      <c r="AM1420" s="53">
        <v>2020</v>
      </c>
      <c r="AN1420" s="43" t="s">
        <v>309</v>
      </c>
      <c r="AO1420" s="43" t="s">
        <v>56</v>
      </c>
      <c r="AP1420" s="43"/>
      <c r="AQ1420" s="43" t="s">
        <v>56</v>
      </c>
      <c r="AR1420" s="43" t="s">
        <v>58</v>
      </c>
      <c r="AS1420" s="43" t="s">
        <v>62</v>
      </c>
      <c r="AT1420" s="43"/>
      <c r="AU1420" s="55"/>
      <c r="AV1420" s="43"/>
      <c r="AW1420" s="12" t="str">
        <f>B1420&amp;C1420&amp;L1420&amp;M1420&amp;O1420&amp;U1420&amp;AL1420&amp;AM1420</f>
        <v>MexicoCabo Pulmo National ParkPentaceraster cumingidensity0Rojas-Montiel2020</v>
      </c>
    </row>
    <row r="1421" spans="1:49" ht="14.5" x14ac:dyDescent="0.35">
      <c r="A1421" s="12">
        <v>1420</v>
      </c>
      <c r="B1421" s="44" t="s">
        <v>254</v>
      </c>
      <c r="C1421" s="43" t="s">
        <v>328</v>
      </c>
      <c r="D1421" s="43" t="s">
        <v>328</v>
      </c>
      <c r="E1421" s="43" t="s">
        <v>68</v>
      </c>
      <c r="F1421" s="52" t="s">
        <v>50</v>
      </c>
      <c r="G1421" s="52" t="s">
        <v>51</v>
      </c>
      <c r="H1421" s="56" t="s">
        <v>78</v>
      </c>
      <c r="I1421" s="56" t="s">
        <v>53</v>
      </c>
      <c r="J1421" s="53">
        <v>25</v>
      </c>
      <c r="K1421" s="53"/>
      <c r="L1421" s="53" t="s">
        <v>319</v>
      </c>
      <c r="M1421" s="53"/>
      <c r="N1421" s="14" t="s">
        <v>85</v>
      </c>
      <c r="O1421" s="53" t="s">
        <v>86</v>
      </c>
      <c r="P1421" s="53"/>
      <c r="Q1421" s="53"/>
      <c r="R1421" s="53"/>
      <c r="S1421" s="53">
        <v>0</v>
      </c>
      <c r="T1421" s="53">
        <v>0</v>
      </c>
      <c r="U1421" s="57" t="str">
        <f t="shared" si="96"/>
        <v>N/A</v>
      </c>
      <c r="V1421" s="41" t="str">
        <f t="shared" si="99"/>
        <v>N/A</v>
      </c>
      <c r="W1421" s="53"/>
      <c r="X1421" s="53" t="s">
        <v>56</v>
      </c>
      <c r="Y1421" s="53"/>
      <c r="Z1421" s="42" t="s">
        <v>56</v>
      </c>
      <c r="AA1421" s="53"/>
      <c r="AB1421" s="53" t="s">
        <v>57</v>
      </c>
      <c r="AC1421" s="42">
        <v>2014</v>
      </c>
      <c r="AD1421" s="42">
        <v>1</v>
      </c>
      <c r="AE1421" s="53"/>
      <c r="AF1421" s="53"/>
      <c r="AG1421" s="53">
        <v>2006</v>
      </c>
      <c r="AH1421" s="14">
        <f t="shared" si="97"/>
        <v>8</v>
      </c>
      <c r="AI1421" s="17">
        <f t="shared" si="98"/>
        <v>9</v>
      </c>
      <c r="AJ1421" s="53"/>
      <c r="AK1421" s="53" t="s">
        <v>56</v>
      </c>
      <c r="AL1421" s="56" t="s">
        <v>308</v>
      </c>
      <c r="AM1421" s="53">
        <v>2020</v>
      </c>
      <c r="AN1421" s="43" t="s">
        <v>309</v>
      </c>
      <c r="AO1421" s="43" t="s">
        <v>56</v>
      </c>
      <c r="AP1421" s="43"/>
      <c r="AQ1421" s="43" t="s">
        <v>56</v>
      </c>
      <c r="AR1421" s="43" t="s">
        <v>58</v>
      </c>
      <c r="AS1421" s="43" t="s">
        <v>62</v>
      </c>
      <c r="AT1421" s="43"/>
      <c r="AU1421" s="55"/>
      <c r="AV1421" s="43"/>
      <c r="AW1421" s="12" t="str">
        <f>B1421&amp;C1421&amp;L1421&amp;M1421&amp;O1421&amp;U1421&amp;AL1421&amp;AM1421</f>
        <v>MexicoCabo Pulmo National ParkNidorellia armatadensityN/ARojas-Montiel2020</v>
      </c>
    </row>
    <row r="1422" spans="1:49" ht="14.5" x14ac:dyDescent="0.35">
      <c r="A1422" s="12">
        <v>1421</v>
      </c>
      <c r="B1422" s="43" t="s">
        <v>254</v>
      </c>
      <c r="C1422" s="43" t="s">
        <v>328</v>
      </c>
      <c r="D1422" s="43" t="s">
        <v>328</v>
      </c>
      <c r="E1422" s="44" t="s">
        <v>68</v>
      </c>
      <c r="F1422" s="52" t="s">
        <v>50</v>
      </c>
      <c r="G1422" s="52" t="s">
        <v>51</v>
      </c>
      <c r="H1422" s="56" t="s">
        <v>78</v>
      </c>
      <c r="I1422" s="56" t="s">
        <v>53</v>
      </c>
      <c r="J1422" s="53">
        <v>25</v>
      </c>
      <c r="K1422" s="53"/>
      <c r="L1422" s="53" t="s">
        <v>320</v>
      </c>
      <c r="M1422" s="53"/>
      <c r="N1422" s="14" t="s">
        <v>85</v>
      </c>
      <c r="O1422" s="53" t="s">
        <v>86</v>
      </c>
      <c r="P1422" s="53"/>
      <c r="Q1422" s="53"/>
      <c r="R1422" s="53"/>
      <c r="S1422" s="53">
        <v>0</v>
      </c>
      <c r="T1422" s="53">
        <v>0</v>
      </c>
      <c r="U1422" s="54" t="str">
        <f t="shared" si="96"/>
        <v>N/A</v>
      </c>
      <c r="V1422" s="41" t="str">
        <f t="shared" si="99"/>
        <v>N/A</v>
      </c>
      <c r="W1422" s="42"/>
      <c r="X1422" s="53" t="s">
        <v>56</v>
      </c>
      <c r="Y1422" s="53"/>
      <c r="Z1422" s="42" t="s">
        <v>56</v>
      </c>
      <c r="AA1422" s="53"/>
      <c r="AB1422" s="53" t="s">
        <v>57</v>
      </c>
      <c r="AC1422" s="42">
        <v>2014</v>
      </c>
      <c r="AD1422" s="42">
        <v>1</v>
      </c>
      <c r="AE1422" s="53"/>
      <c r="AF1422" s="53"/>
      <c r="AG1422" s="53">
        <v>2006</v>
      </c>
      <c r="AH1422" s="14">
        <f t="shared" si="97"/>
        <v>8</v>
      </c>
      <c r="AI1422" s="17">
        <f t="shared" si="98"/>
        <v>9</v>
      </c>
      <c r="AJ1422" s="53"/>
      <c r="AK1422" s="53" t="s">
        <v>56</v>
      </c>
      <c r="AL1422" s="56" t="s">
        <v>308</v>
      </c>
      <c r="AM1422" s="53">
        <v>2020</v>
      </c>
      <c r="AN1422" s="43" t="s">
        <v>309</v>
      </c>
      <c r="AO1422" s="43" t="s">
        <v>56</v>
      </c>
      <c r="AP1422" s="43"/>
      <c r="AQ1422" s="43" t="s">
        <v>56</v>
      </c>
      <c r="AR1422" s="43" t="s">
        <v>58</v>
      </c>
      <c r="AS1422" s="43" t="s">
        <v>62</v>
      </c>
      <c r="AT1422" s="44"/>
      <c r="AU1422" s="55"/>
      <c r="AV1422" s="43"/>
      <c r="AW1422" s="12" t="str">
        <f>B1422&amp;C1422&amp;L1422&amp;M1422&amp;O1422&amp;U1422&amp;AL1422&amp;AM1422</f>
        <v>MexicoCabo Pulmo National ParkAcanthaster plancidensityN/ARojas-Montiel2020</v>
      </c>
    </row>
    <row r="1423" spans="1:49" ht="14.5" x14ac:dyDescent="0.35">
      <c r="A1423" s="12">
        <v>1422</v>
      </c>
      <c r="B1423" s="43" t="s">
        <v>254</v>
      </c>
      <c r="C1423" s="43" t="s">
        <v>328</v>
      </c>
      <c r="D1423" s="43" t="s">
        <v>328</v>
      </c>
      <c r="E1423" s="43" t="s">
        <v>68</v>
      </c>
      <c r="F1423" s="52" t="s">
        <v>50</v>
      </c>
      <c r="G1423" s="52" t="s">
        <v>51</v>
      </c>
      <c r="H1423" s="56" t="s">
        <v>78</v>
      </c>
      <c r="I1423" s="56" t="s">
        <v>53</v>
      </c>
      <c r="J1423" s="53">
        <v>25</v>
      </c>
      <c r="K1423" s="53"/>
      <c r="L1423" s="53" t="s">
        <v>321</v>
      </c>
      <c r="M1423" s="53"/>
      <c r="N1423" s="14" t="s">
        <v>85</v>
      </c>
      <c r="O1423" s="53" t="s">
        <v>86</v>
      </c>
      <c r="P1423" s="53"/>
      <c r="Q1423" s="53"/>
      <c r="R1423" s="53"/>
      <c r="S1423" s="53">
        <v>0</v>
      </c>
      <c r="T1423" s="53">
        <v>0</v>
      </c>
      <c r="U1423" s="57" t="str">
        <f t="shared" si="96"/>
        <v>N/A</v>
      </c>
      <c r="V1423" s="41" t="str">
        <f t="shared" si="99"/>
        <v>N/A</v>
      </c>
      <c r="W1423" s="53"/>
      <c r="X1423" s="53" t="s">
        <v>56</v>
      </c>
      <c r="Y1423" s="53"/>
      <c r="Z1423" s="42" t="s">
        <v>56</v>
      </c>
      <c r="AA1423" s="53"/>
      <c r="AB1423" s="53" t="s">
        <v>57</v>
      </c>
      <c r="AC1423" s="42">
        <v>2014</v>
      </c>
      <c r="AD1423" s="42">
        <v>1</v>
      </c>
      <c r="AE1423" s="53"/>
      <c r="AF1423" s="53"/>
      <c r="AG1423" s="53">
        <v>2006</v>
      </c>
      <c r="AH1423" s="14">
        <f t="shared" si="97"/>
        <v>8</v>
      </c>
      <c r="AI1423" s="17">
        <f t="shared" si="98"/>
        <v>9</v>
      </c>
      <c r="AJ1423" s="53"/>
      <c r="AK1423" s="53" t="s">
        <v>56</v>
      </c>
      <c r="AL1423" s="56" t="s">
        <v>308</v>
      </c>
      <c r="AM1423" s="53">
        <v>2020</v>
      </c>
      <c r="AN1423" s="43" t="s">
        <v>309</v>
      </c>
      <c r="AO1423" s="43" t="s">
        <v>56</v>
      </c>
      <c r="AP1423" s="43"/>
      <c r="AQ1423" s="43" t="s">
        <v>56</v>
      </c>
      <c r="AR1423" s="43" t="s">
        <v>58</v>
      </c>
      <c r="AS1423" s="43" t="s">
        <v>62</v>
      </c>
      <c r="AT1423" s="43"/>
      <c r="AU1423" s="55"/>
      <c r="AV1423" s="43"/>
      <c r="AW1423" s="12" t="str">
        <f>B1423&amp;C1423&amp;L1423&amp;M1423&amp;O1423&amp;U1423&amp;AL1423&amp;AM1423</f>
        <v>MexicoCabo Pulmo National ParkMithrodia bradleyidensityN/ARojas-Montiel2020</v>
      </c>
    </row>
    <row r="1424" spans="1:49" ht="14.5" x14ac:dyDescent="0.35">
      <c r="A1424" s="12">
        <v>1423</v>
      </c>
      <c r="B1424" s="43" t="s">
        <v>254</v>
      </c>
      <c r="C1424" s="43" t="s">
        <v>328</v>
      </c>
      <c r="D1424" s="43" t="s">
        <v>328</v>
      </c>
      <c r="E1424" s="43" t="s">
        <v>68</v>
      </c>
      <c r="F1424" s="52" t="s">
        <v>50</v>
      </c>
      <c r="G1424" s="52" t="s">
        <v>51</v>
      </c>
      <c r="H1424" s="56" t="s">
        <v>78</v>
      </c>
      <c r="I1424" s="56" t="s">
        <v>53</v>
      </c>
      <c r="J1424" s="53">
        <v>25</v>
      </c>
      <c r="K1424" s="53"/>
      <c r="L1424" s="53" t="s">
        <v>322</v>
      </c>
      <c r="M1424" s="53"/>
      <c r="N1424" s="14" t="s">
        <v>85</v>
      </c>
      <c r="O1424" s="53" t="s">
        <v>86</v>
      </c>
      <c r="P1424" s="53"/>
      <c r="Q1424" s="53"/>
      <c r="R1424" s="53"/>
      <c r="S1424" s="53">
        <v>0</v>
      </c>
      <c r="T1424" s="53">
        <v>0</v>
      </c>
      <c r="U1424" s="57" t="str">
        <f t="shared" si="96"/>
        <v>N/A</v>
      </c>
      <c r="V1424" s="41" t="str">
        <f t="shared" si="99"/>
        <v>N/A</v>
      </c>
      <c r="W1424" s="53"/>
      <c r="X1424" s="53" t="s">
        <v>56</v>
      </c>
      <c r="Y1424" s="53"/>
      <c r="Z1424" s="42" t="s">
        <v>56</v>
      </c>
      <c r="AA1424" s="53"/>
      <c r="AB1424" s="53" t="s">
        <v>57</v>
      </c>
      <c r="AC1424" s="42">
        <v>2014</v>
      </c>
      <c r="AD1424" s="42">
        <v>1</v>
      </c>
      <c r="AE1424" s="53"/>
      <c r="AF1424" s="53"/>
      <c r="AG1424" s="53">
        <v>2006</v>
      </c>
      <c r="AH1424" s="14">
        <f t="shared" si="97"/>
        <v>8</v>
      </c>
      <c r="AI1424" s="17">
        <f t="shared" si="98"/>
        <v>9</v>
      </c>
      <c r="AJ1424" s="53"/>
      <c r="AK1424" s="53" t="s">
        <v>56</v>
      </c>
      <c r="AL1424" s="56" t="s">
        <v>308</v>
      </c>
      <c r="AM1424" s="53">
        <v>2020</v>
      </c>
      <c r="AN1424" s="43" t="s">
        <v>309</v>
      </c>
      <c r="AO1424" s="43" t="s">
        <v>56</v>
      </c>
      <c r="AP1424" s="43"/>
      <c r="AQ1424" s="43" t="s">
        <v>56</v>
      </c>
      <c r="AR1424" s="43" t="s">
        <v>58</v>
      </c>
      <c r="AS1424" s="43" t="s">
        <v>62</v>
      </c>
      <c r="AT1424" s="43"/>
      <c r="AU1424" s="55"/>
      <c r="AV1424" s="43"/>
      <c r="AW1424" s="12" t="str">
        <f>B1424&amp;C1424&amp;L1424&amp;M1424&amp;O1424&amp;U1424&amp;AL1424&amp;AM1424</f>
        <v>MexicoCabo Pulmo National ParkHeliaster kubinijidensityN/ARojas-Montiel2020</v>
      </c>
    </row>
    <row r="1425" spans="1:49" ht="14.5" x14ac:dyDescent="0.35">
      <c r="A1425" s="12">
        <v>1424</v>
      </c>
      <c r="B1425" s="43" t="s">
        <v>254</v>
      </c>
      <c r="C1425" s="43" t="s">
        <v>328</v>
      </c>
      <c r="D1425" s="43" t="s">
        <v>328</v>
      </c>
      <c r="E1425" s="43" t="s">
        <v>68</v>
      </c>
      <c r="F1425" s="52" t="s">
        <v>50</v>
      </c>
      <c r="G1425" s="52" t="s">
        <v>51</v>
      </c>
      <c r="H1425" s="56" t="s">
        <v>78</v>
      </c>
      <c r="I1425" s="56" t="s">
        <v>53</v>
      </c>
      <c r="J1425" s="53">
        <v>25</v>
      </c>
      <c r="K1425" s="53"/>
      <c r="L1425" s="53" t="s">
        <v>323</v>
      </c>
      <c r="M1425" s="53"/>
      <c r="N1425" s="14" t="s">
        <v>85</v>
      </c>
      <c r="O1425" s="53" t="s">
        <v>86</v>
      </c>
      <c r="P1425" s="53"/>
      <c r="Q1425" s="53"/>
      <c r="R1425" s="53"/>
      <c r="S1425" s="53">
        <v>0</v>
      </c>
      <c r="T1425" s="53">
        <v>0</v>
      </c>
      <c r="U1425" s="57" t="str">
        <f t="shared" si="96"/>
        <v>N/A</v>
      </c>
      <c r="V1425" s="41" t="str">
        <f t="shared" si="99"/>
        <v>N/A</v>
      </c>
      <c r="W1425" s="53"/>
      <c r="X1425" s="53" t="s">
        <v>56</v>
      </c>
      <c r="Y1425" s="53"/>
      <c r="Z1425" s="42" t="s">
        <v>56</v>
      </c>
      <c r="AA1425" s="53"/>
      <c r="AB1425" s="53" t="s">
        <v>57</v>
      </c>
      <c r="AC1425" s="42">
        <v>2014</v>
      </c>
      <c r="AD1425" s="42">
        <v>1</v>
      </c>
      <c r="AE1425" s="53"/>
      <c r="AF1425" s="53"/>
      <c r="AG1425" s="53">
        <v>2006</v>
      </c>
      <c r="AH1425" s="14">
        <f t="shared" si="97"/>
        <v>8</v>
      </c>
      <c r="AI1425" s="17">
        <f t="shared" si="98"/>
        <v>9</v>
      </c>
      <c r="AJ1425" s="53"/>
      <c r="AK1425" s="53" t="s">
        <v>56</v>
      </c>
      <c r="AL1425" s="56" t="s">
        <v>308</v>
      </c>
      <c r="AM1425" s="53">
        <v>2020</v>
      </c>
      <c r="AN1425" s="43" t="s">
        <v>309</v>
      </c>
      <c r="AO1425" s="43" t="s">
        <v>56</v>
      </c>
      <c r="AP1425" s="43"/>
      <c r="AQ1425" s="43" t="s">
        <v>56</v>
      </c>
      <c r="AR1425" s="43" t="s">
        <v>58</v>
      </c>
      <c r="AS1425" s="43" t="s">
        <v>62</v>
      </c>
      <c r="AT1425" s="43"/>
      <c r="AU1425" s="55"/>
      <c r="AV1425" s="43"/>
      <c r="AW1425" s="12" t="str">
        <f>B1425&amp;C1425&amp;L1425&amp;M1425&amp;O1425&amp;U1425&amp;AL1425&amp;AM1425</f>
        <v>MexicoCabo Pulmo National ParkEchinaster tenuispinadensityN/ARojas-Montiel2020</v>
      </c>
    </row>
    <row r="1426" spans="1:49" ht="14.5" x14ac:dyDescent="0.35">
      <c r="A1426" s="12">
        <v>1425</v>
      </c>
      <c r="B1426" s="12" t="s">
        <v>254</v>
      </c>
      <c r="C1426" s="15" t="s">
        <v>2711</v>
      </c>
      <c r="D1426" s="15" t="s">
        <v>2711</v>
      </c>
      <c r="E1426" s="12" t="s">
        <v>68</v>
      </c>
      <c r="F1426" s="13" t="s">
        <v>50</v>
      </c>
      <c r="G1426" s="13" t="s">
        <v>51</v>
      </c>
      <c r="H1426" s="13" t="s">
        <v>78</v>
      </c>
      <c r="I1426" s="13" t="s">
        <v>53</v>
      </c>
      <c r="J1426" s="17">
        <v>2037</v>
      </c>
      <c r="K1426" s="17"/>
      <c r="L1426" s="14" t="s">
        <v>307</v>
      </c>
      <c r="M1426" s="14"/>
      <c r="N1426" s="14" t="s">
        <v>85</v>
      </c>
      <c r="O1426" s="17" t="s">
        <v>86</v>
      </c>
      <c r="P1426" s="14"/>
      <c r="Q1426" s="14"/>
      <c r="R1426" s="14"/>
      <c r="S1426" s="14">
        <v>11300</v>
      </c>
      <c r="T1426" s="14">
        <v>42400</v>
      </c>
      <c r="U1426" s="19">
        <f t="shared" si="96"/>
        <v>3.752212389380531</v>
      </c>
      <c r="V1426" s="41">
        <f t="shared" si="99"/>
        <v>275.22123893805309</v>
      </c>
      <c r="W1426" s="14"/>
      <c r="X1426" s="14" t="s">
        <v>56</v>
      </c>
      <c r="Y1426" s="17"/>
      <c r="Z1426" s="14" t="s">
        <v>56</v>
      </c>
      <c r="AA1426" s="14"/>
      <c r="AB1426" s="14" t="s">
        <v>57</v>
      </c>
      <c r="AC1426" s="14">
        <v>2014</v>
      </c>
      <c r="AD1426" s="14">
        <v>1</v>
      </c>
      <c r="AE1426" s="14"/>
      <c r="AF1426" s="14"/>
      <c r="AG1426" s="17">
        <v>2007</v>
      </c>
      <c r="AH1426" s="14">
        <f t="shared" si="97"/>
        <v>7</v>
      </c>
      <c r="AI1426" s="17">
        <f t="shared" si="98"/>
        <v>8</v>
      </c>
      <c r="AJ1426" s="14"/>
      <c r="AK1426" s="14" t="s">
        <v>56</v>
      </c>
      <c r="AL1426" s="13" t="s">
        <v>308</v>
      </c>
      <c r="AM1426" s="14">
        <v>2020</v>
      </c>
      <c r="AN1426" s="12" t="s">
        <v>309</v>
      </c>
      <c r="AO1426" s="12" t="s">
        <v>56</v>
      </c>
      <c r="AP1426" s="12"/>
      <c r="AQ1426" s="12" t="s">
        <v>56</v>
      </c>
      <c r="AR1426" s="12" t="s">
        <v>58</v>
      </c>
      <c r="AS1426" s="12" t="s">
        <v>62</v>
      </c>
      <c r="AT1426" s="12"/>
      <c r="AU1426" s="45"/>
      <c r="AV1426" s="15"/>
      <c r="AW1426" s="12" t="str">
        <f>B1426&amp;C1426&amp;L1426&amp;M1426&amp;O1426&amp;U1426&amp;AL1426&amp;AM1426</f>
        <v>MexicoArchipiélago de Revillagigedo Biosphere ReserveEucidaris thouarsiidensity3.75221238938053Rojas-Montiel2020</v>
      </c>
    </row>
    <row r="1427" spans="1:49" ht="14.5" x14ac:dyDescent="0.35">
      <c r="A1427" s="12">
        <v>1426</v>
      </c>
      <c r="B1427" s="12" t="s">
        <v>254</v>
      </c>
      <c r="C1427" s="15" t="s">
        <v>2711</v>
      </c>
      <c r="D1427" s="15" t="s">
        <v>2711</v>
      </c>
      <c r="E1427" s="12" t="s">
        <v>68</v>
      </c>
      <c r="F1427" s="13" t="s">
        <v>50</v>
      </c>
      <c r="G1427" s="13" t="s">
        <v>51</v>
      </c>
      <c r="H1427" s="13" t="s">
        <v>78</v>
      </c>
      <c r="I1427" s="13" t="s">
        <v>53</v>
      </c>
      <c r="J1427" s="17">
        <v>2037</v>
      </c>
      <c r="K1427" s="14"/>
      <c r="L1427" s="14" t="s">
        <v>310</v>
      </c>
      <c r="M1427" s="17" t="s">
        <v>513</v>
      </c>
      <c r="N1427" s="14" t="s">
        <v>85</v>
      </c>
      <c r="O1427" s="17" t="s">
        <v>86</v>
      </c>
      <c r="P1427" s="14"/>
      <c r="Q1427" s="14"/>
      <c r="R1427" s="14"/>
      <c r="S1427" s="14">
        <v>10400</v>
      </c>
      <c r="T1427" s="14">
        <v>284800</v>
      </c>
      <c r="U1427" s="19">
        <f t="shared" si="96"/>
        <v>27.384615384615383</v>
      </c>
      <c r="V1427" s="41">
        <f t="shared" si="99"/>
        <v>2638.4615384615381</v>
      </c>
      <c r="W1427" s="14"/>
      <c r="X1427" s="14" t="s">
        <v>56</v>
      </c>
      <c r="Y1427" s="17"/>
      <c r="Z1427" s="14" t="s">
        <v>56</v>
      </c>
      <c r="AA1427" s="14"/>
      <c r="AB1427" s="14" t="s">
        <v>57</v>
      </c>
      <c r="AC1427" s="14">
        <v>2014</v>
      </c>
      <c r="AD1427" s="14">
        <v>1</v>
      </c>
      <c r="AE1427" s="14"/>
      <c r="AF1427" s="14"/>
      <c r="AG1427" s="17">
        <v>2007</v>
      </c>
      <c r="AH1427" s="14">
        <f t="shared" si="97"/>
        <v>7</v>
      </c>
      <c r="AI1427" s="17">
        <f t="shared" si="98"/>
        <v>8</v>
      </c>
      <c r="AJ1427" s="14"/>
      <c r="AK1427" s="14" t="s">
        <v>56</v>
      </c>
      <c r="AL1427" s="13" t="s">
        <v>308</v>
      </c>
      <c r="AM1427" s="14">
        <v>2020</v>
      </c>
      <c r="AN1427" s="12" t="s">
        <v>309</v>
      </c>
      <c r="AO1427" s="12" t="s">
        <v>56</v>
      </c>
      <c r="AP1427" s="12"/>
      <c r="AQ1427" s="12" t="s">
        <v>56</v>
      </c>
      <c r="AR1427" s="12" t="s">
        <v>58</v>
      </c>
      <c r="AS1427" s="12" t="s">
        <v>62</v>
      </c>
      <c r="AT1427" s="12"/>
      <c r="AU1427" s="45"/>
      <c r="AV1427" s="15"/>
      <c r="AW1427" s="12" t="str">
        <f>B1427&amp;C1427&amp;L1427&amp;M1427&amp;O1427&amp;U1427&amp;AL1427&amp;AM1427</f>
        <v>MexicoArchipiélago de Revillagigedo Biosphere ReserveTripneustes depressuswhite sea urchindensity27.3846153846154Rojas-Montiel2020</v>
      </c>
    </row>
    <row r="1428" spans="1:49" ht="14.5" x14ac:dyDescent="0.35">
      <c r="A1428" s="12">
        <v>1427</v>
      </c>
      <c r="B1428" s="12" t="s">
        <v>254</v>
      </c>
      <c r="C1428" s="15" t="s">
        <v>2711</v>
      </c>
      <c r="D1428" s="15" t="s">
        <v>2711</v>
      </c>
      <c r="E1428" s="12" t="s">
        <v>68</v>
      </c>
      <c r="F1428" s="13" t="s">
        <v>50</v>
      </c>
      <c r="G1428" s="13" t="s">
        <v>51</v>
      </c>
      <c r="H1428" s="13" t="s">
        <v>78</v>
      </c>
      <c r="I1428" s="13" t="s">
        <v>53</v>
      </c>
      <c r="J1428" s="17">
        <v>2037</v>
      </c>
      <c r="K1428" s="17"/>
      <c r="L1428" s="14" t="s">
        <v>311</v>
      </c>
      <c r="M1428" s="14"/>
      <c r="N1428" s="14" t="s">
        <v>85</v>
      </c>
      <c r="O1428" s="17" t="s">
        <v>86</v>
      </c>
      <c r="P1428" s="14"/>
      <c r="Q1428" s="14"/>
      <c r="R1428" s="14"/>
      <c r="S1428" s="14">
        <v>1700</v>
      </c>
      <c r="T1428" s="14">
        <v>0</v>
      </c>
      <c r="U1428" s="19">
        <f t="shared" si="96"/>
        <v>0</v>
      </c>
      <c r="V1428" s="41">
        <f t="shared" si="99"/>
        <v>-100</v>
      </c>
      <c r="W1428" s="14"/>
      <c r="X1428" s="14" t="s">
        <v>56</v>
      </c>
      <c r="Y1428" s="17"/>
      <c r="Z1428" s="14" t="s">
        <v>56</v>
      </c>
      <c r="AA1428" s="14"/>
      <c r="AB1428" s="14" t="s">
        <v>57</v>
      </c>
      <c r="AC1428" s="14">
        <v>2014</v>
      </c>
      <c r="AD1428" s="14">
        <v>1</v>
      </c>
      <c r="AE1428" s="14"/>
      <c r="AF1428" s="14"/>
      <c r="AG1428" s="17">
        <v>2007</v>
      </c>
      <c r="AH1428" s="14">
        <f t="shared" si="97"/>
        <v>7</v>
      </c>
      <c r="AI1428" s="17">
        <f t="shared" si="98"/>
        <v>8</v>
      </c>
      <c r="AJ1428" s="14"/>
      <c r="AK1428" s="14" t="s">
        <v>56</v>
      </c>
      <c r="AL1428" s="13" t="s">
        <v>308</v>
      </c>
      <c r="AM1428" s="14">
        <v>2020</v>
      </c>
      <c r="AN1428" s="12" t="s">
        <v>309</v>
      </c>
      <c r="AO1428" s="12" t="s">
        <v>56</v>
      </c>
      <c r="AP1428" s="12"/>
      <c r="AQ1428" s="12" t="s">
        <v>56</v>
      </c>
      <c r="AR1428" s="12" t="s">
        <v>58</v>
      </c>
      <c r="AS1428" s="12" t="s">
        <v>62</v>
      </c>
      <c r="AT1428" s="12"/>
      <c r="AU1428" s="45"/>
      <c r="AV1428" s="15"/>
      <c r="AW1428" s="12" t="str">
        <f>B1428&amp;C1428&amp;L1428&amp;M1428&amp;O1428&amp;U1428&amp;AL1428&amp;AM1428</f>
        <v>MexicoArchipiélago de Revillagigedo Biosphere ReserveToxopneustes roseusdensity0Rojas-Montiel2020</v>
      </c>
    </row>
    <row r="1429" spans="1:49" ht="14.5" x14ac:dyDescent="0.35">
      <c r="A1429" s="12">
        <v>1428</v>
      </c>
      <c r="B1429" s="15" t="s">
        <v>254</v>
      </c>
      <c r="C1429" s="15" t="s">
        <v>2711</v>
      </c>
      <c r="D1429" s="15" t="s">
        <v>2711</v>
      </c>
      <c r="E1429" s="15" t="s">
        <v>68</v>
      </c>
      <c r="F1429" s="13" t="s">
        <v>50</v>
      </c>
      <c r="G1429" s="13" t="s">
        <v>51</v>
      </c>
      <c r="H1429" s="16" t="s">
        <v>78</v>
      </c>
      <c r="I1429" s="16" t="s">
        <v>53</v>
      </c>
      <c r="J1429" s="17">
        <v>2037</v>
      </c>
      <c r="K1429" s="17"/>
      <c r="L1429" s="17" t="s">
        <v>312</v>
      </c>
      <c r="M1429" s="17"/>
      <c r="N1429" s="14" t="s">
        <v>85</v>
      </c>
      <c r="O1429" s="17" t="s">
        <v>86</v>
      </c>
      <c r="P1429" s="17"/>
      <c r="Q1429" s="17"/>
      <c r="R1429" s="17"/>
      <c r="S1429" s="17">
        <v>0</v>
      </c>
      <c r="T1429" s="17">
        <v>0</v>
      </c>
      <c r="U1429" s="20" t="str">
        <f t="shared" si="96"/>
        <v>N/A</v>
      </c>
      <c r="V1429" s="41" t="str">
        <f t="shared" si="99"/>
        <v>N/A</v>
      </c>
      <c r="W1429" s="17"/>
      <c r="X1429" s="17" t="s">
        <v>56</v>
      </c>
      <c r="Y1429" s="17"/>
      <c r="Z1429" s="17" t="s">
        <v>56</v>
      </c>
      <c r="AA1429" s="17"/>
      <c r="AB1429" s="17" t="s">
        <v>57</v>
      </c>
      <c r="AC1429" s="17">
        <v>2014</v>
      </c>
      <c r="AD1429" s="17">
        <v>1</v>
      </c>
      <c r="AE1429" s="17"/>
      <c r="AF1429" s="17"/>
      <c r="AG1429" s="17">
        <v>2007</v>
      </c>
      <c r="AH1429" s="14">
        <f t="shared" si="97"/>
        <v>7</v>
      </c>
      <c r="AI1429" s="17">
        <f t="shared" si="98"/>
        <v>8</v>
      </c>
      <c r="AJ1429" s="17"/>
      <c r="AK1429" s="17" t="s">
        <v>56</v>
      </c>
      <c r="AL1429" s="16" t="s">
        <v>308</v>
      </c>
      <c r="AM1429" s="17">
        <v>2020</v>
      </c>
      <c r="AN1429" s="12" t="s">
        <v>309</v>
      </c>
      <c r="AO1429" s="15" t="s">
        <v>56</v>
      </c>
      <c r="AP1429" s="15"/>
      <c r="AQ1429" s="15" t="s">
        <v>56</v>
      </c>
      <c r="AR1429" s="15" t="s">
        <v>58</v>
      </c>
      <c r="AS1429" s="15" t="s">
        <v>62</v>
      </c>
      <c r="AT1429" s="15"/>
      <c r="AU1429" s="45"/>
      <c r="AV1429" s="15"/>
      <c r="AW1429" s="12" t="str">
        <f>B1429&amp;C1429&amp;L1429&amp;M1429&amp;O1429&amp;U1429&amp;AL1429&amp;AM1429</f>
        <v>MexicoArchipiélago de Revillagigedo Biosphere ReserveEchinometra vanbruntidensityN/ARojas-Montiel2020</v>
      </c>
    </row>
    <row r="1430" spans="1:49" ht="14.5" x14ac:dyDescent="0.35">
      <c r="A1430" s="12">
        <v>1429</v>
      </c>
      <c r="B1430" s="12" t="s">
        <v>254</v>
      </c>
      <c r="C1430" s="15" t="s">
        <v>2711</v>
      </c>
      <c r="D1430" s="15" t="s">
        <v>2711</v>
      </c>
      <c r="E1430" s="12" t="s">
        <v>68</v>
      </c>
      <c r="F1430" s="13" t="s">
        <v>50</v>
      </c>
      <c r="G1430" s="13" t="s">
        <v>51</v>
      </c>
      <c r="H1430" s="13" t="s">
        <v>78</v>
      </c>
      <c r="I1430" s="13" t="s">
        <v>53</v>
      </c>
      <c r="J1430" s="17">
        <v>2037</v>
      </c>
      <c r="K1430" s="17"/>
      <c r="L1430" s="14" t="s">
        <v>313</v>
      </c>
      <c r="M1430" s="14"/>
      <c r="N1430" s="14" t="s">
        <v>85</v>
      </c>
      <c r="O1430" s="17" t="s">
        <v>86</v>
      </c>
      <c r="P1430" s="14"/>
      <c r="Q1430" s="14"/>
      <c r="R1430" s="14"/>
      <c r="S1430" s="14">
        <v>0</v>
      </c>
      <c r="T1430" s="14">
        <v>773700</v>
      </c>
      <c r="U1430" s="19" t="str">
        <f t="shared" si="96"/>
        <v>N/A</v>
      </c>
      <c r="V1430" s="41" t="str">
        <f t="shared" si="99"/>
        <v>N/A</v>
      </c>
      <c r="W1430" s="14"/>
      <c r="X1430" s="14" t="s">
        <v>56</v>
      </c>
      <c r="Y1430" s="17"/>
      <c r="Z1430" s="14" t="s">
        <v>56</v>
      </c>
      <c r="AA1430" s="14"/>
      <c r="AB1430" s="14" t="s">
        <v>57</v>
      </c>
      <c r="AC1430" s="14">
        <v>2014</v>
      </c>
      <c r="AD1430" s="14">
        <v>1</v>
      </c>
      <c r="AE1430" s="14"/>
      <c r="AF1430" s="14"/>
      <c r="AG1430" s="17">
        <v>2007</v>
      </c>
      <c r="AH1430" s="14">
        <f t="shared" si="97"/>
        <v>7</v>
      </c>
      <c r="AI1430" s="17">
        <f t="shared" si="98"/>
        <v>8</v>
      </c>
      <c r="AJ1430" s="14"/>
      <c r="AK1430" s="14" t="s">
        <v>56</v>
      </c>
      <c r="AL1430" s="13" t="s">
        <v>308</v>
      </c>
      <c r="AM1430" s="14">
        <v>2020</v>
      </c>
      <c r="AN1430" s="12" t="s">
        <v>309</v>
      </c>
      <c r="AO1430" s="12" t="s">
        <v>56</v>
      </c>
      <c r="AP1430" s="12"/>
      <c r="AQ1430" s="12" t="s">
        <v>56</v>
      </c>
      <c r="AR1430" s="12" t="s">
        <v>58</v>
      </c>
      <c r="AS1430" s="12" t="s">
        <v>62</v>
      </c>
      <c r="AT1430" s="12"/>
      <c r="AU1430" s="45"/>
      <c r="AV1430" s="15"/>
      <c r="AW1430" s="12" t="str">
        <f>B1430&amp;C1430&amp;L1430&amp;M1430&amp;O1430&amp;U1430&amp;AL1430&amp;AM1430</f>
        <v>MexicoArchipiélago de Revillagigedo Biosphere ReserveDiadema mexicanumdensityN/ARojas-Montiel2020</v>
      </c>
    </row>
    <row r="1431" spans="1:49" ht="14.5" x14ac:dyDescent="0.35">
      <c r="A1431" s="12">
        <v>1430</v>
      </c>
      <c r="B1431" s="15" t="s">
        <v>254</v>
      </c>
      <c r="C1431" s="15" t="s">
        <v>2711</v>
      </c>
      <c r="D1431" s="15" t="s">
        <v>2711</v>
      </c>
      <c r="E1431" s="15" t="s">
        <v>68</v>
      </c>
      <c r="F1431" s="16" t="s">
        <v>50</v>
      </c>
      <c r="G1431" s="16" t="s">
        <v>51</v>
      </c>
      <c r="H1431" s="16" t="s">
        <v>78</v>
      </c>
      <c r="I1431" s="16" t="s">
        <v>53</v>
      </c>
      <c r="J1431" s="17">
        <v>2037</v>
      </c>
      <c r="K1431" s="17"/>
      <c r="L1431" s="17" t="s">
        <v>314</v>
      </c>
      <c r="M1431" s="17"/>
      <c r="N1431" s="14" t="s">
        <v>85</v>
      </c>
      <c r="O1431" s="17" t="s">
        <v>86</v>
      </c>
      <c r="P1431" s="17"/>
      <c r="Q1431" s="17"/>
      <c r="R1431" s="17"/>
      <c r="S1431" s="17">
        <v>7000</v>
      </c>
      <c r="T1431" s="17">
        <v>192900</v>
      </c>
      <c r="U1431" s="20">
        <f t="shared" si="96"/>
        <v>27.557142857142857</v>
      </c>
      <c r="V1431" s="41">
        <f t="shared" si="99"/>
        <v>2655.7142857142858</v>
      </c>
      <c r="W1431" s="17"/>
      <c r="X1431" s="17" t="s">
        <v>56</v>
      </c>
      <c r="Z1431" s="17" t="s">
        <v>56</v>
      </c>
      <c r="AA1431" s="17"/>
      <c r="AB1431" s="17" t="s">
        <v>57</v>
      </c>
      <c r="AC1431" s="17">
        <v>2014</v>
      </c>
      <c r="AD1431" s="17">
        <v>1</v>
      </c>
      <c r="AE1431" s="17"/>
      <c r="AF1431" s="17"/>
      <c r="AG1431" s="17">
        <v>2007</v>
      </c>
      <c r="AH1431" s="14">
        <f t="shared" si="97"/>
        <v>7</v>
      </c>
      <c r="AI1431" s="17">
        <f t="shared" si="98"/>
        <v>8</v>
      </c>
      <c r="AJ1431" s="17"/>
      <c r="AK1431" s="17" t="s">
        <v>56</v>
      </c>
      <c r="AL1431" s="16" t="s">
        <v>308</v>
      </c>
      <c r="AM1431" s="17">
        <v>2020</v>
      </c>
      <c r="AN1431" s="15" t="s">
        <v>309</v>
      </c>
      <c r="AO1431" s="15" t="s">
        <v>56</v>
      </c>
      <c r="AP1431" s="15"/>
      <c r="AQ1431" s="15" t="s">
        <v>56</v>
      </c>
      <c r="AR1431" s="15" t="s">
        <v>58</v>
      </c>
      <c r="AS1431" s="15" t="s">
        <v>62</v>
      </c>
      <c r="AT1431" s="15"/>
      <c r="AU1431" s="45"/>
      <c r="AV1431" s="15"/>
      <c r="AW1431" s="12" t="str">
        <f>B1431&amp;C1431&amp;L1431&amp;M1431&amp;O1431&amp;U1431&amp;AL1431&amp;AM1431</f>
        <v>MexicoArchipiélago de Revillagigedo Biosphere ReserveCentrostephanus coronatudensity27.5571428571429Rojas-Montiel2020</v>
      </c>
    </row>
    <row r="1432" spans="1:49" ht="14.5" x14ac:dyDescent="0.35">
      <c r="A1432" s="12">
        <v>1431</v>
      </c>
      <c r="B1432" s="15" t="s">
        <v>254</v>
      </c>
      <c r="C1432" s="15" t="s">
        <v>2711</v>
      </c>
      <c r="D1432" s="15" t="s">
        <v>2711</v>
      </c>
      <c r="E1432" s="15" t="s">
        <v>68</v>
      </c>
      <c r="F1432" s="13" t="s">
        <v>50</v>
      </c>
      <c r="G1432" s="13" t="s">
        <v>51</v>
      </c>
      <c r="H1432" s="16" t="s">
        <v>78</v>
      </c>
      <c r="I1432" s="16" t="s">
        <v>53</v>
      </c>
      <c r="J1432" s="17">
        <v>2037</v>
      </c>
      <c r="K1432" s="17"/>
      <c r="L1432" s="17" t="s">
        <v>315</v>
      </c>
      <c r="M1432" s="17"/>
      <c r="N1432" s="14" t="s">
        <v>85</v>
      </c>
      <c r="O1432" s="17" t="s">
        <v>86</v>
      </c>
      <c r="P1432" s="17"/>
      <c r="Q1432" s="17"/>
      <c r="R1432" s="17"/>
      <c r="S1432" s="17">
        <v>0</v>
      </c>
      <c r="T1432" s="17">
        <v>0</v>
      </c>
      <c r="U1432" s="20" t="str">
        <f t="shared" si="96"/>
        <v>N/A</v>
      </c>
      <c r="V1432" s="41" t="str">
        <f t="shared" si="99"/>
        <v>N/A</v>
      </c>
      <c r="W1432" s="17"/>
      <c r="X1432" s="17" t="s">
        <v>56</v>
      </c>
      <c r="Z1432" s="17" t="s">
        <v>56</v>
      </c>
      <c r="AA1432" s="17"/>
      <c r="AB1432" s="17" t="s">
        <v>57</v>
      </c>
      <c r="AC1432" s="17">
        <v>2014</v>
      </c>
      <c r="AD1432" s="17">
        <v>1</v>
      </c>
      <c r="AE1432" s="17"/>
      <c r="AF1432" s="17"/>
      <c r="AG1432" s="17">
        <v>2007</v>
      </c>
      <c r="AH1432" s="14">
        <f t="shared" si="97"/>
        <v>7</v>
      </c>
      <c r="AI1432" s="17">
        <f t="shared" si="98"/>
        <v>8</v>
      </c>
      <c r="AJ1432" s="17"/>
      <c r="AK1432" s="17" t="s">
        <v>56</v>
      </c>
      <c r="AL1432" s="16" t="s">
        <v>308</v>
      </c>
      <c r="AM1432" s="17">
        <v>2020</v>
      </c>
      <c r="AN1432" s="15" t="s">
        <v>309</v>
      </c>
      <c r="AO1432" s="15" t="s">
        <v>56</v>
      </c>
      <c r="AP1432" s="15"/>
      <c r="AQ1432" s="15" t="s">
        <v>56</v>
      </c>
      <c r="AR1432" s="15" t="s">
        <v>58</v>
      </c>
      <c r="AS1432" s="15" t="s">
        <v>62</v>
      </c>
      <c r="AT1432" s="15"/>
      <c r="AU1432" s="45"/>
      <c r="AV1432" s="15"/>
      <c r="AW1432" s="12" t="str">
        <f>B1432&amp;C1432&amp;L1432&amp;M1432&amp;O1432&amp;U1432&amp;AL1432&amp;AM1432</f>
        <v>MexicoArchipiélago de Revillagigedo Biosphere ReserveArbacia stellatadensityN/ARojas-Montiel2020</v>
      </c>
    </row>
    <row r="1433" spans="1:49" ht="14.5" x14ac:dyDescent="0.35">
      <c r="A1433" s="12">
        <v>1432</v>
      </c>
      <c r="B1433" s="15" t="s">
        <v>254</v>
      </c>
      <c r="C1433" s="12" t="s">
        <v>2711</v>
      </c>
      <c r="D1433" s="12" t="s">
        <v>2711</v>
      </c>
      <c r="E1433" s="12" t="s">
        <v>68</v>
      </c>
      <c r="F1433" s="13" t="s">
        <v>50</v>
      </c>
      <c r="G1433" s="13" t="s">
        <v>51</v>
      </c>
      <c r="H1433" s="13" t="s">
        <v>78</v>
      </c>
      <c r="I1433" s="13" t="s">
        <v>53</v>
      </c>
      <c r="J1433" s="17">
        <v>2037</v>
      </c>
      <c r="K1433" s="17"/>
      <c r="L1433" s="14" t="s">
        <v>316</v>
      </c>
      <c r="M1433" s="14"/>
      <c r="N1433" s="14" t="s">
        <v>85</v>
      </c>
      <c r="O1433" s="17" t="s">
        <v>86</v>
      </c>
      <c r="P1433" s="14"/>
      <c r="Q1433" s="14"/>
      <c r="R1433" s="14"/>
      <c r="S1433" s="14">
        <v>2600</v>
      </c>
      <c r="T1433" s="14">
        <v>0</v>
      </c>
      <c r="U1433" s="19">
        <f t="shared" si="96"/>
        <v>0</v>
      </c>
      <c r="V1433" s="41">
        <f t="shared" si="99"/>
        <v>-100</v>
      </c>
      <c r="W1433" s="14"/>
      <c r="X1433" s="14" t="s">
        <v>56</v>
      </c>
      <c r="Z1433" s="14" t="s">
        <v>56</v>
      </c>
      <c r="AA1433" s="14"/>
      <c r="AB1433" s="14" t="s">
        <v>57</v>
      </c>
      <c r="AC1433" s="14">
        <v>2014</v>
      </c>
      <c r="AD1433" s="14">
        <v>1</v>
      </c>
      <c r="AE1433" s="14"/>
      <c r="AF1433" s="14"/>
      <c r="AG1433" s="14">
        <v>2007</v>
      </c>
      <c r="AH1433" s="14">
        <f t="shared" si="97"/>
        <v>7</v>
      </c>
      <c r="AI1433" s="17">
        <f t="shared" si="98"/>
        <v>8</v>
      </c>
      <c r="AJ1433" s="14"/>
      <c r="AK1433" s="14" t="s">
        <v>56</v>
      </c>
      <c r="AL1433" s="13" t="s">
        <v>308</v>
      </c>
      <c r="AM1433" s="14">
        <v>2020</v>
      </c>
      <c r="AN1433" s="12" t="s">
        <v>309</v>
      </c>
      <c r="AO1433" s="12" t="s">
        <v>56</v>
      </c>
      <c r="AP1433" s="12"/>
      <c r="AQ1433" s="12" t="s">
        <v>56</v>
      </c>
      <c r="AR1433" s="12" t="s">
        <v>58</v>
      </c>
      <c r="AS1433" s="12" t="s">
        <v>62</v>
      </c>
      <c r="AT1433" s="12"/>
      <c r="AU1433" s="45"/>
      <c r="AV1433" s="15"/>
      <c r="AW1433" s="12" t="str">
        <f>B1433&amp;C1433&amp;L1433&amp;M1433&amp;O1433&amp;U1433&amp;AL1433&amp;AM1433</f>
        <v>MexicoArchipiélago de Revillagigedo Biosphere ReservePhataria unifascialisdensity0Rojas-Montiel2020</v>
      </c>
    </row>
    <row r="1434" spans="1:49" ht="14.5" x14ac:dyDescent="0.35">
      <c r="A1434" s="12">
        <v>1433</v>
      </c>
      <c r="B1434" s="15" t="s">
        <v>254</v>
      </c>
      <c r="C1434" s="15" t="s">
        <v>2711</v>
      </c>
      <c r="D1434" s="15" t="s">
        <v>2711</v>
      </c>
      <c r="E1434" s="15" t="s">
        <v>68</v>
      </c>
      <c r="F1434" s="16" t="s">
        <v>50</v>
      </c>
      <c r="G1434" s="16" t="s">
        <v>51</v>
      </c>
      <c r="H1434" s="16" t="s">
        <v>78</v>
      </c>
      <c r="I1434" s="16" t="s">
        <v>53</v>
      </c>
      <c r="J1434" s="17">
        <v>2037</v>
      </c>
      <c r="K1434" s="17"/>
      <c r="L1434" s="17" t="s">
        <v>317</v>
      </c>
      <c r="M1434" s="17"/>
      <c r="N1434" s="14" t="s">
        <v>85</v>
      </c>
      <c r="O1434" s="17" t="s">
        <v>86</v>
      </c>
      <c r="P1434" s="17"/>
      <c r="Q1434" s="17"/>
      <c r="R1434" s="17"/>
      <c r="S1434" s="17">
        <v>1700</v>
      </c>
      <c r="T1434" s="17">
        <v>0</v>
      </c>
      <c r="U1434" s="20">
        <f t="shared" si="96"/>
        <v>0</v>
      </c>
      <c r="V1434" s="41">
        <f t="shared" si="99"/>
        <v>-100</v>
      </c>
      <c r="W1434" s="17"/>
      <c r="X1434" s="17" t="s">
        <v>56</v>
      </c>
      <c r="Z1434" s="17" t="s">
        <v>56</v>
      </c>
      <c r="AA1434" s="17"/>
      <c r="AB1434" s="17" t="s">
        <v>57</v>
      </c>
      <c r="AC1434" s="17">
        <v>2014</v>
      </c>
      <c r="AD1434" s="17">
        <v>1</v>
      </c>
      <c r="AE1434" s="17"/>
      <c r="AF1434" s="17"/>
      <c r="AG1434" s="17">
        <v>2007</v>
      </c>
      <c r="AH1434" s="14">
        <f t="shared" si="97"/>
        <v>7</v>
      </c>
      <c r="AI1434" s="17">
        <f t="shared" si="98"/>
        <v>8</v>
      </c>
      <c r="AJ1434" s="17"/>
      <c r="AK1434" s="17" t="s">
        <v>56</v>
      </c>
      <c r="AL1434" s="16" t="s">
        <v>308</v>
      </c>
      <c r="AM1434" s="17">
        <v>2020</v>
      </c>
      <c r="AN1434" s="15" t="s">
        <v>309</v>
      </c>
      <c r="AO1434" s="15" t="s">
        <v>56</v>
      </c>
      <c r="AP1434" s="15"/>
      <c r="AQ1434" s="15" t="s">
        <v>56</v>
      </c>
      <c r="AR1434" s="15" t="s">
        <v>58</v>
      </c>
      <c r="AS1434" s="15" t="s">
        <v>62</v>
      </c>
      <c r="AT1434" s="15"/>
      <c r="AU1434" s="45"/>
      <c r="AV1434" s="15"/>
      <c r="AW1434" s="12" t="str">
        <f>B1434&amp;C1434&amp;L1434&amp;M1434&amp;O1434&amp;U1434&amp;AL1434&amp;AM1434</f>
        <v>MexicoArchipiélago de Revillagigedo Biosphere ReservePharia pyramidatadensity0Rojas-Montiel2020</v>
      </c>
    </row>
    <row r="1435" spans="1:49" ht="14.5" x14ac:dyDescent="0.35">
      <c r="A1435" s="12">
        <v>1434</v>
      </c>
      <c r="B1435" s="15" t="s">
        <v>254</v>
      </c>
      <c r="C1435" s="15" t="s">
        <v>2711</v>
      </c>
      <c r="D1435" s="15" t="s">
        <v>2711</v>
      </c>
      <c r="E1435" s="15" t="s">
        <v>68</v>
      </c>
      <c r="F1435" s="13" t="s">
        <v>50</v>
      </c>
      <c r="G1435" s="13" t="s">
        <v>51</v>
      </c>
      <c r="H1435" s="16" t="s">
        <v>78</v>
      </c>
      <c r="I1435" s="16" t="s">
        <v>53</v>
      </c>
      <c r="J1435" s="17">
        <v>2037</v>
      </c>
      <c r="K1435" s="17"/>
      <c r="L1435" s="17" t="s">
        <v>318</v>
      </c>
      <c r="M1435" s="17"/>
      <c r="N1435" s="14" t="s">
        <v>85</v>
      </c>
      <c r="O1435" s="17" t="s">
        <v>86</v>
      </c>
      <c r="P1435" s="17"/>
      <c r="Q1435" s="17"/>
      <c r="R1435" s="17"/>
      <c r="S1435" s="17">
        <v>900</v>
      </c>
      <c r="T1435" s="17">
        <v>0</v>
      </c>
      <c r="U1435" s="20">
        <f t="shared" si="96"/>
        <v>0</v>
      </c>
      <c r="V1435" s="41">
        <f t="shared" si="99"/>
        <v>-100</v>
      </c>
      <c r="W1435" s="17"/>
      <c r="X1435" s="17" t="s">
        <v>56</v>
      </c>
      <c r="Z1435" s="17" t="s">
        <v>56</v>
      </c>
      <c r="AA1435" s="17"/>
      <c r="AB1435" s="17" t="s">
        <v>57</v>
      </c>
      <c r="AC1435" s="17">
        <v>2014</v>
      </c>
      <c r="AD1435" s="17">
        <v>1</v>
      </c>
      <c r="AE1435" s="17"/>
      <c r="AF1435" s="17"/>
      <c r="AG1435" s="17">
        <v>2007</v>
      </c>
      <c r="AH1435" s="14">
        <f t="shared" si="97"/>
        <v>7</v>
      </c>
      <c r="AI1435" s="17">
        <f t="shared" si="98"/>
        <v>8</v>
      </c>
      <c r="AJ1435" s="17"/>
      <c r="AK1435" s="17" t="s">
        <v>56</v>
      </c>
      <c r="AL1435" s="16" t="s">
        <v>308</v>
      </c>
      <c r="AM1435" s="17">
        <v>2020</v>
      </c>
      <c r="AN1435" s="15" t="s">
        <v>309</v>
      </c>
      <c r="AO1435" s="15" t="s">
        <v>56</v>
      </c>
      <c r="AP1435" s="15"/>
      <c r="AQ1435" s="15" t="s">
        <v>56</v>
      </c>
      <c r="AR1435" s="15" t="s">
        <v>58</v>
      </c>
      <c r="AS1435" s="15" t="s">
        <v>62</v>
      </c>
      <c r="AT1435" s="15"/>
      <c r="AU1435" s="45"/>
      <c r="AV1435" s="15"/>
      <c r="AW1435" s="12" t="str">
        <f>B1435&amp;C1435&amp;L1435&amp;M1435&amp;O1435&amp;U1435&amp;AL1435&amp;AM1435</f>
        <v>MexicoArchipiélago de Revillagigedo Biosphere ReservePentaceraster cumingidensity0Rojas-Montiel2020</v>
      </c>
    </row>
    <row r="1436" spans="1:49" ht="14.5" x14ac:dyDescent="0.35">
      <c r="A1436" s="12">
        <v>1435</v>
      </c>
      <c r="B1436" s="15" t="s">
        <v>254</v>
      </c>
      <c r="C1436" s="15" t="s">
        <v>2711</v>
      </c>
      <c r="D1436" s="15" t="s">
        <v>2711</v>
      </c>
      <c r="E1436" s="15" t="s">
        <v>68</v>
      </c>
      <c r="F1436" s="13" t="s">
        <v>50</v>
      </c>
      <c r="G1436" s="13" t="s">
        <v>51</v>
      </c>
      <c r="H1436" s="16" t="s">
        <v>78</v>
      </c>
      <c r="I1436" s="16" t="s">
        <v>53</v>
      </c>
      <c r="J1436" s="17">
        <v>2037</v>
      </c>
      <c r="K1436" s="17"/>
      <c r="L1436" s="17" t="s">
        <v>319</v>
      </c>
      <c r="M1436" s="17"/>
      <c r="N1436" s="14" t="s">
        <v>85</v>
      </c>
      <c r="O1436" s="17" t="s">
        <v>86</v>
      </c>
      <c r="P1436" s="17"/>
      <c r="Q1436" s="17"/>
      <c r="R1436" s="17"/>
      <c r="S1436" s="17">
        <v>0</v>
      </c>
      <c r="T1436" s="17">
        <v>0</v>
      </c>
      <c r="U1436" s="20" t="str">
        <f t="shared" si="96"/>
        <v>N/A</v>
      </c>
      <c r="V1436" s="41" t="str">
        <f t="shared" si="99"/>
        <v>N/A</v>
      </c>
      <c r="W1436" s="17"/>
      <c r="X1436" s="17" t="s">
        <v>56</v>
      </c>
      <c r="Z1436" s="17" t="s">
        <v>56</v>
      </c>
      <c r="AA1436" s="17"/>
      <c r="AB1436" s="17" t="s">
        <v>57</v>
      </c>
      <c r="AC1436" s="17">
        <v>2014</v>
      </c>
      <c r="AD1436" s="17">
        <v>1</v>
      </c>
      <c r="AE1436" s="17"/>
      <c r="AF1436" s="17"/>
      <c r="AG1436" s="17">
        <v>2007</v>
      </c>
      <c r="AH1436" s="14">
        <f t="shared" si="97"/>
        <v>7</v>
      </c>
      <c r="AI1436" s="17">
        <f t="shared" si="98"/>
        <v>8</v>
      </c>
      <c r="AJ1436" s="17"/>
      <c r="AK1436" s="17" t="s">
        <v>56</v>
      </c>
      <c r="AL1436" s="16" t="s">
        <v>308</v>
      </c>
      <c r="AM1436" s="17">
        <v>2020</v>
      </c>
      <c r="AN1436" s="15" t="s">
        <v>309</v>
      </c>
      <c r="AO1436" s="15" t="s">
        <v>56</v>
      </c>
      <c r="AP1436" s="15"/>
      <c r="AQ1436" s="15" t="s">
        <v>56</v>
      </c>
      <c r="AR1436" s="15" t="s">
        <v>58</v>
      </c>
      <c r="AS1436" s="15" t="s">
        <v>62</v>
      </c>
      <c r="AT1436" s="15"/>
      <c r="AU1436" s="45"/>
      <c r="AV1436" s="15"/>
      <c r="AW1436" s="12" t="str">
        <f>B1436&amp;C1436&amp;L1436&amp;M1436&amp;O1436&amp;U1436&amp;AL1436&amp;AM1436</f>
        <v>MexicoArchipiélago de Revillagigedo Biosphere ReserveNidorellia armatadensityN/ARojas-Montiel2020</v>
      </c>
    </row>
    <row r="1437" spans="1:49" ht="14.5" x14ac:dyDescent="0.35">
      <c r="A1437" s="12">
        <v>1436</v>
      </c>
      <c r="B1437" s="15" t="s">
        <v>254</v>
      </c>
      <c r="C1437" s="15" t="s">
        <v>2711</v>
      </c>
      <c r="D1437" s="15" t="s">
        <v>2711</v>
      </c>
      <c r="E1437" s="15" t="s">
        <v>68</v>
      </c>
      <c r="F1437" s="16" t="s">
        <v>50</v>
      </c>
      <c r="G1437" s="16" t="s">
        <v>51</v>
      </c>
      <c r="H1437" s="16" t="s">
        <v>78</v>
      </c>
      <c r="I1437" s="16" t="s">
        <v>53</v>
      </c>
      <c r="J1437" s="17">
        <v>2037</v>
      </c>
      <c r="K1437" s="17"/>
      <c r="L1437" s="17" t="s">
        <v>320</v>
      </c>
      <c r="M1437" s="17"/>
      <c r="N1437" s="14" t="s">
        <v>85</v>
      </c>
      <c r="O1437" s="17" t="s">
        <v>86</v>
      </c>
      <c r="P1437" s="17"/>
      <c r="Q1437" s="17"/>
      <c r="R1437" s="17"/>
      <c r="S1437" s="17">
        <v>0</v>
      </c>
      <c r="T1437" s="17">
        <v>0</v>
      </c>
      <c r="U1437" s="20" t="str">
        <f t="shared" si="96"/>
        <v>N/A</v>
      </c>
      <c r="V1437" s="41" t="str">
        <f t="shared" si="99"/>
        <v>N/A</v>
      </c>
      <c r="W1437" s="17"/>
      <c r="X1437" s="17" t="s">
        <v>56</v>
      </c>
      <c r="Z1437" s="17" t="s">
        <v>56</v>
      </c>
      <c r="AA1437" s="17"/>
      <c r="AB1437" s="17" t="s">
        <v>57</v>
      </c>
      <c r="AC1437" s="17">
        <v>2014</v>
      </c>
      <c r="AD1437" s="17">
        <v>1</v>
      </c>
      <c r="AE1437" s="17"/>
      <c r="AF1437" s="17"/>
      <c r="AG1437" s="17">
        <v>2007</v>
      </c>
      <c r="AH1437" s="14">
        <f t="shared" si="97"/>
        <v>7</v>
      </c>
      <c r="AI1437" s="17">
        <f t="shared" si="98"/>
        <v>8</v>
      </c>
      <c r="AJ1437" s="17"/>
      <c r="AK1437" s="17" t="s">
        <v>56</v>
      </c>
      <c r="AL1437" s="16" t="s">
        <v>308</v>
      </c>
      <c r="AM1437" s="17">
        <v>2020</v>
      </c>
      <c r="AN1437" s="15" t="s">
        <v>309</v>
      </c>
      <c r="AO1437" s="15" t="s">
        <v>56</v>
      </c>
      <c r="AP1437" s="15"/>
      <c r="AQ1437" s="15" t="s">
        <v>56</v>
      </c>
      <c r="AR1437" s="15" t="s">
        <v>58</v>
      </c>
      <c r="AS1437" s="15" t="s">
        <v>62</v>
      </c>
      <c r="AT1437" s="15"/>
      <c r="AU1437" s="45"/>
      <c r="AV1437" s="15"/>
      <c r="AW1437" s="12" t="str">
        <f>B1437&amp;C1437&amp;L1437&amp;M1437&amp;O1437&amp;U1437&amp;AL1437&amp;AM1437</f>
        <v>MexicoArchipiélago de Revillagigedo Biosphere ReserveAcanthaster plancidensityN/ARojas-Montiel2020</v>
      </c>
    </row>
    <row r="1438" spans="1:49" ht="14.5" x14ac:dyDescent="0.35">
      <c r="A1438" s="12">
        <v>1437</v>
      </c>
      <c r="B1438" s="15" t="s">
        <v>254</v>
      </c>
      <c r="C1438" s="15" t="s">
        <v>2711</v>
      </c>
      <c r="D1438" s="15" t="s">
        <v>2711</v>
      </c>
      <c r="E1438" s="15" t="s">
        <v>68</v>
      </c>
      <c r="F1438" s="13" t="s">
        <v>50</v>
      </c>
      <c r="G1438" s="13" t="s">
        <v>51</v>
      </c>
      <c r="H1438" s="16" t="s">
        <v>78</v>
      </c>
      <c r="I1438" s="16" t="s">
        <v>53</v>
      </c>
      <c r="J1438" s="17">
        <v>2037</v>
      </c>
      <c r="K1438" s="17"/>
      <c r="L1438" s="17" t="s">
        <v>321</v>
      </c>
      <c r="M1438" s="17"/>
      <c r="N1438" s="14" t="s">
        <v>85</v>
      </c>
      <c r="O1438" s="17" t="s">
        <v>86</v>
      </c>
      <c r="P1438" s="17"/>
      <c r="Q1438" s="17"/>
      <c r="R1438" s="17"/>
      <c r="S1438" s="17">
        <v>0</v>
      </c>
      <c r="T1438" s="17">
        <v>0</v>
      </c>
      <c r="U1438" s="20" t="str">
        <f t="shared" si="96"/>
        <v>N/A</v>
      </c>
      <c r="V1438" s="41" t="str">
        <f t="shared" si="99"/>
        <v>N/A</v>
      </c>
      <c r="W1438" s="17"/>
      <c r="X1438" s="17" t="s">
        <v>56</v>
      </c>
      <c r="Y1438" s="12"/>
      <c r="Z1438" s="17" t="s">
        <v>56</v>
      </c>
      <c r="AA1438" s="17"/>
      <c r="AB1438" s="17" t="s">
        <v>57</v>
      </c>
      <c r="AC1438" s="17">
        <v>2014</v>
      </c>
      <c r="AD1438" s="17">
        <v>1</v>
      </c>
      <c r="AE1438" s="17"/>
      <c r="AF1438" s="17"/>
      <c r="AG1438" s="17">
        <v>2007</v>
      </c>
      <c r="AH1438" s="14">
        <f t="shared" si="97"/>
        <v>7</v>
      </c>
      <c r="AI1438" s="17">
        <f t="shared" si="98"/>
        <v>8</v>
      </c>
      <c r="AJ1438" s="17"/>
      <c r="AK1438" s="17" t="s">
        <v>56</v>
      </c>
      <c r="AL1438" s="16" t="s">
        <v>308</v>
      </c>
      <c r="AM1438" s="17">
        <v>2020</v>
      </c>
      <c r="AN1438" s="15" t="s">
        <v>309</v>
      </c>
      <c r="AO1438" s="15" t="s">
        <v>56</v>
      </c>
      <c r="AP1438" s="15"/>
      <c r="AQ1438" s="15" t="s">
        <v>56</v>
      </c>
      <c r="AR1438" s="15" t="s">
        <v>58</v>
      </c>
      <c r="AS1438" s="15" t="s">
        <v>62</v>
      </c>
      <c r="AT1438" s="15"/>
      <c r="AU1438" s="45"/>
      <c r="AV1438" s="15"/>
      <c r="AW1438" s="12" t="str">
        <f>B1438&amp;C1438&amp;L1438&amp;M1438&amp;O1438&amp;U1438&amp;AL1438&amp;AM1438</f>
        <v>MexicoArchipiélago de Revillagigedo Biosphere ReserveMithrodia bradleyidensityN/ARojas-Montiel2020</v>
      </c>
    </row>
    <row r="1439" spans="1:49" ht="14.5" x14ac:dyDescent="0.35">
      <c r="A1439" s="12">
        <v>1438</v>
      </c>
      <c r="B1439" s="15" t="s">
        <v>254</v>
      </c>
      <c r="C1439" s="15" t="s">
        <v>2711</v>
      </c>
      <c r="D1439" s="15" t="s">
        <v>2711</v>
      </c>
      <c r="E1439" s="15" t="s">
        <v>68</v>
      </c>
      <c r="F1439" s="16" t="s">
        <v>50</v>
      </c>
      <c r="G1439" s="16" t="s">
        <v>51</v>
      </c>
      <c r="H1439" s="16" t="s">
        <v>78</v>
      </c>
      <c r="I1439" s="16" t="s">
        <v>53</v>
      </c>
      <c r="J1439" s="17">
        <v>2037</v>
      </c>
      <c r="K1439" s="17"/>
      <c r="L1439" s="17" t="s">
        <v>322</v>
      </c>
      <c r="M1439" s="17"/>
      <c r="N1439" s="14" t="s">
        <v>85</v>
      </c>
      <c r="O1439" s="17" t="s">
        <v>86</v>
      </c>
      <c r="P1439" s="17"/>
      <c r="Q1439" s="17"/>
      <c r="R1439" s="17"/>
      <c r="S1439" s="17">
        <v>0</v>
      </c>
      <c r="T1439" s="17">
        <v>5100</v>
      </c>
      <c r="U1439" s="20" t="str">
        <f t="shared" si="96"/>
        <v>N/A</v>
      </c>
      <c r="V1439" s="41" t="str">
        <f t="shared" si="99"/>
        <v>N/A</v>
      </c>
      <c r="W1439" s="17"/>
      <c r="X1439" s="17" t="s">
        <v>56</v>
      </c>
      <c r="Z1439" s="17" t="s">
        <v>56</v>
      </c>
      <c r="AA1439" s="17"/>
      <c r="AB1439" s="17" t="s">
        <v>57</v>
      </c>
      <c r="AC1439" s="17">
        <v>2014</v>
      </c>
      <c r="AD1439" s="17">
        <v>1</v>
      </c>
      <c r="AE1439" s="17"/>
      <c r="AF1439" s="17"/>
      <c r="AG1439" s="17">
        <v>2007</v>
      </c>
      <c r="AH1439" s="14">
        <f t="shared" si="97"/>
        <v>7</v>
      </c>
      <c r="AI1439" s="17">
        <f t="shared" si="98"/>
        <v>8</v>
      </c>
      <c r="AJ1439" s="17"/>
      <c r="AK1439" s="17" t="s">
        <v>56</v>
      </c>
      <c r="AL1439" s="16" t="s">
        <v>308</v>
      </c>
      <c r="AM1439" s="17">
        <v>2020</v>
      </c>
      <c r="AN1439" s="15" t="s">
        <v>309</v>
      </c>
      <c r="AO1439" s="15" t="s">
        <v>56</v>
      </c>
      <c r="AP1439" s="15"/>
      <c r="AQ1439" s="15" t="s">
        <v>56</v>
      </c>
      <c r="AR1439" s="15" t="s">
        <v>58</v>
      </c>
      <c r="AS1439" s="15" t="s">
        <v>62</v>
      </c>
      <c r="AT1439" s="15"/>
      <c r="AU1439" s="45"/>
      <c r="AV1439" s="15"/>
      <c r="AW1439" s="12" t="str">
        <f>B1439&amp;C1439&amp;L1439&amp;M1439&amp;O1439&amp;U1439&amp;AL1439&amp;AM1439</f>
        <v>MexicoArchipiélago de Revillagigedo Biosphere ReserveHeliaster kubinijidensityN/ARojas-Montiel2020</v>
      </c>
    </row>
    <row r="1440" spans="1:49" ht="14.5" x14ac:dyDescent="0.35">
      <c r="A1440" s="12">
        <v>1439</v>
      </c>
      <c r="B1440" s="15" t="s">
        <v>254</v>
      </c>
      <c r="C1440" s="15" t="s">
        <v>2711</v>
      </c>
      <c r="D1440" s="15" t="s">
        <v>2711</v>
      </c>
      <c r="E1440" s="15" t="s">
        <v>68</v>
      </c>
      <c r="F1440" s="16" t="s">
        <v>50</v>
      </c>
      <c r="G1440" s="16" t="s">
        <v>51</v>
      </c>
      <c r="H1440" s="16" t="s">
        <v>78</v>
      </c>
      <c r="I1440" s="16" t="s">
        <v>53</v>
      </c>
      <c r="J1440" s="17">
        <v>2037</v>
      </c>
      <c r="K1440" s="17"/>
      <c r="L1440" s="17" t="s">
        <v>323</v>
      </c>
      <c r="M1440" s="17"/>
      <c r="N1440" s="14" t="s">
        <v>85</v>
      </c>
      <c r="O1440" s="17" t="s">
        <v>86</v>
      </c>
      <c r="P1440" s="17"/>
      <c r="Q1440" s="17"/>
      <c r="R1440" s="17"/>
      <c r="S1440" s="17">
        <v>0</v>
      </c>
      <c r="T1440" s="17">
        <v>10100</v>
      </c>
      <c r="U1440" s="20" t="str">
        <f t="shared" si="96"/>
        <v>N/A</v>
      </c>
      <c r="V1440" s="41" t="str">
        <f t="shared" si="99"/>
        <v>N/A</v>
      </c>
      <c r="W1440" s="17"/>
      <c r="X1440" s="17" t="s">
        <v>56</v>
      </c>
      <c r="Z1440" s="17" t="s">
        <v>56</v>
      </c>
      <c r="AA1440" s="17"/>
      <c r="AB1440" s="17" t="s">
        <v>57</v>
      </c>
      <c r="AC1440" s="17">
        <v>2014</v>
      </c>
      <c r="AD1440" s="17">
        <v>1</v>
      </c>
      <c r="AE1440" s="17"/>
      <c r="AF1440" s="17"/>
      <c r="AG1440" s="17">
        <v>2007</v>
      </c>
      <c r="AH1440" s="14">
        <f t="shared" si="97"/>
        <v>7</v>
      </c>
      <c r="AI1440" s="17">
        <f t="shared" si="98"/>
        <v>8</v>
      </c>
      <c r="AJ1440" s="17"/>
      <c r="AK1440" s="17" t="s">
        <v>56</v>
      </c>
      <c r="AL1440" s="16" t="s">
        <v>308</v>
      </c>
      <c r="AM1440" s="17">
        <v>2020</v>
      </c>
      <c r="AN1440" s="15" t="s">
        <v>309</v>
      </c>
      <c r="AO1440" s="15" t="s">
        <v>56</v>
      </c>
      <c r="AP1440" s="15"/>
      <c r="AQ1440" s="15" t="s">
        <v>56</v>
      </c>
      <c r="AR1440" s="15" t="s">
        <v>58</v>
      </c>
      <c r="AS1440" s="15" t="s">
        <v>62</v>
      </c>
      <c r="AT1440" s="15"/>
      <c r="AU1440" s="45"/>
      <c r="AV1440" s="15"/>
      <c r="AW1440" s="12" t="str">
        <f>B1440&amp;C1440&amp;L1440&amp;M1440&amp;O1440&amp;U1440&amp;AL1440&amp;AM1440</f>
        <v>MexicoArchipiélago de Revillagigedo Biosphere ReserveEchinaster tenuispinadensityN/ARojas-Montiel2020</v>
      </c>
    </row>
    <row r="1441" spans="1:49" ht="14.5" x14ac:dyDescent="0.35">
      <c r="A1441" s="12">
        <v>1440</v>
      </c>
      <c r="B1441" s="15" t="s">
        <v>254</v>
      </c>
      <c r="C1441" s="15" t="s">
        <v>325</v>
      </c>
      <c r="D1441" s="15" t="s">
        <v>325</v>
      </c>
      <c r="E1441" s="15" t="s">
        <v>68</v>
      </c>
      <c r="F1441" s="16" t="s">
        <v>50</v>
      </c>
      <c r="G1441" s="16" t="s">
        <v>51</v>
      </c>
      <c r="H1441" s="16" t="s">
        <v>78</v>
      </c>
      <c r="I1441" s="16" t="s">
        <v>53</v>
      </c>
      <c r="J1441" s="17">
        <v>21.9</v>
      </c>
      <c r="K1441" s="17"/>
      <c r="L1441" s="17" t="s">
        <v>307</v>
      </c>
      <c r="M1441" s="17"/>
      <c r="N1441" s="14" t="s">
        <v>85</v>
      </c>
      <c r="O1441" s="17" t="s">
        <v>86</v>
      </c>
      <c r="P1441" s="17"/>
      <c r="Q1441" s="17"/>
      <c r="R1441" s="17"/>
      <c r="S1441" s="17">
        <v>12700</v>
      </c>
      <c r="T1441" s="17">
        <v>152800</v>
      </c>
      <c r="U1441" s="20">
        <f t="shared" si="96"/>
        <v>12.031496062992126</v>
      </c>
      <c r="V1441" s="41">
        <f t="shared" si="99"/>
        <v>1103.1496062992126</v>
      </c>
      <c r="W1441" s="17"/>
      <c r="X1441" s="17" t="s">
        <v>56</v>
      </c>
      <c r="Z1441" s="17" t="s">
        <v>56</v>
      </c>
      <c r="AA1441" s="17"/>
      <c r="AB1441" s="17" t="s">
        <v>57</v>
      </c>
      <c r="AC1441" s="17">
        <v>2014</v>
      </c>
      <c r="AD1441" s="17">
        <v>1</v>
      </c>
      <c r="AE1441" s="17"/>
      <c r="AF1441" s="17"/>
      <c r="AG1441" s="17">
        <v>2002</v>
      </c>
      <c r="AH1441" s="14">
        <f t="shared" si="97"/>
        <v>12</v>
      </c>
      <c r="AI1441" s="17">
        <f t="shared" si="98"/>
        <v>13</v>
      </c>
      <c r="AJ1441" s="17"/>
      <c r="AK1441" s="17" t="s">
        <v>56</v>
      </c>
      <c r="AL1441" s="16" t="s">
        <v>308</v>
      </c>
      <c r="AM1441" s="17">
        <v>2020</v>
      </c>
      <c r="AN1441" s="15" t="s">
        <v>309</v>
      </c>
      <c r="AO1441" s="15" t="s">
        <v>56</v>
      </c>
      <c r="AP1441" s="15"/>
      <c r="AQ1441" s="15" t="s">
        <v>56</v>
      </c>
      <c r="AR1441" s="15" t="s">
        <v>58</v>
      </c>
      <c r="AS1441" s="15" t="s">
        <v>62</v>
      </c>
      <c r="AT1441" s="15"/>
      <c r="AU1441" s="45"/>
      <c r="AV1441" s="15"/>
      <c r="AW1441" s="12" t="str">
        <f>B1441&amp;C1441&amp;L1441&amp;M1441&amp;O1441&amp;U1441&amp;AL1441&amp;AM1441</f>
        <v>MexicoBahías de HuatulcoEucidaris thouarsiidensity12.0314960629921Rojas-Montiel2020</v>
      </c>
    </row>
    <row r="1442" spans="1:49" ht="14.5" x14ac:dyDescent="0.35">
      <c r="A1442" s="12">
        <v>1441</v>
      </c>
      <c r="B1442" s="15" t="s">
        <v>254</v>
      </c>
      <c r="C1442" s="15" t="s">
        <v>325</v>
      </c>
      <c r="D1442" s="15" t="s">
        <v>325</v>
      </c>
      <c r="E1442" s="15" t="s">
        <v>68</v>
      </c>
      <c r="F1442" s="16" t="s">
        <v>50</v>
      </c>
      <c r="G1442" s="16" t="s">
        <v>51</v>
      </c>
      <c r="H1442" s="16" t="s">
        <v>78</v>
      </c>
      <c r="I1442" s="16" t="s">
        <v>53</v>
      </c>
      <c r="J1442" s="17">
        <v>21.9</v>
      </c>
      <c r="K1442" s="17"/>
      <c r="L1442" s="17" t="s">
        <v>310</v>
      </c>
      <c r="M1442" s="17" t="s">
        <v>513</v>
      </c>
      <c r="N1442" s="14" t="s">
        <v>85</v>
      </c>
      <c r="O1442" s="17" t="s">
        <v>86</v>
      </c>
      <c r="P1442" s="17"/>
      <c r="Q1442" s="17"/>
      <c r="R1442" s="17"/>
      <c r="S1442" s="17">
        <v>59600</v>
      </c>
      <c r="T1442" s="17">
        <v>0</v>
      </c>
      <c r="U1442" s="20">
        <f t="shared" si="96"/>
        <v>0</v>
      </c>
      <c r="V1442" s="41">
        <f t="shared" si="99"/>
        <v>-100</v>
      </c>
      <c r="W1442" s="17"/>
      <c r="X1442" s="17" t="s">
        <v>56</v>
      </c>
      <c r="Z1442" s="17" t="s">
        <v>56</v>
      </c>
      <c r="AA1442" s="17"/>
      <c r="AB1442" s="17" t="s">
        <v>57</v>
      </c>
      <c r="AC1442" s="17">
        <v>2014</v>
      </c>
      <c r="AD1442" s="17">
        <v>1</v>
      </c>
      <c r="AE1442" s="17"/>
      <c r="AF1442" s="17"/>
      <c r="AG1442" s="17">
        <v>2002</v>
      </c>
      <c r="AH1442" s="14">
        <f t="shared" si="97"/>
        <v>12</v>
      </c>
      <c r="AI1442" s="17">
        <f t="shared" si="98"/>
        <v>13</v>
      </c>
      <c r="AJ1442" s="17"/>
      <c r="AK1442" s="17" t="s">
        <v>56</v>
      </c>
      <c r="AL1442" s="16" t="s">
        <v>308</v>
      </c>
      <c r="AM1442" s="17">
        <v>2020</v>
      </c>
      <c r="AN1442" s="15" t="s">
        <v>309</v>
      </c>
      <c r="AO1442" s="15" t="s">
        <v>56</v>
      </c>
      <c r="AP1442" s="15"/>
      <c r="AQ1442" s="15" t="s">
        <v>56</v>
      </c>
      <c r="AR1442" s="15" t="s">
        <v>58</v>
      </c>
      <c r="AS1442" s="15" t="s">
        <v>62</v>
      </c>
      <c r="AT1442" s="15"/>
      <c r="AU1442" s="45"/>
      <c r="AV1442" s="15"/>
      <c r="AW1442" s="12" t="str">
        <f>B1442&amp;C1442&amp;L1442&amp;M1442&amp;O1442&amp;U1442&amp;AL1442&amp;AM1442</f>
        <v>MexicoBahías de HuatulcoTripneustes depressuswhite sea urchindensity0Rojas-Montiel2020</v>
      </c>
    </row>
    <row r="1443" spans="1:49" ht="14.5" x14ac:dyDescent="0.35">
      <c r="A1443" s="12">
        <v>1442</v>
      </c>
      <c r="B1443" s="15" t="s">
        <v>254</v>
      </c>
      <c r="C1443" s="15" t="s">
        <v>325</v>
      </c>
      <c r="D1443" s="15" t="s">
        <v>325</v>
      </c>
      <c r="E1443" s="15" t="s">
        <v>68</v>
      </c>
      <c r="F1443" s="16" t="s">
        <v>50</v>
      </c>
      <c r="G1443" s="16" t="s">
        <v>51</v>
      </c>
      <c r="H1443" s="16" t="s">
        <v>78</v>
      </c>
      <c r="I1443" s="16" t="s">
        <v>53</v>
      </c>
      <c r="J1443" s="17">
        <v>21.9</v>
      </c>
      <c r="K1443" s="17"/>
      <c r="L1443" s="17" t="s">
        <v>311</v>
      </c>
      <c r="M1443" s="17"/>
      <c r="N1443" s="14" t="s">
        <v>85</v>
      </c>
      <c r="O1443" s="17" t="s">
        <v>86</v>
      </c>
      <c r="P1443" s="17"/>
      <c r="Q1443" s="17"/>
      <c r="R1443" s="17"/>
      <c r="S1443" s="17">
        <v>9000</v>
      </c>
      <c r="T1443" s="17">
        <v>36100</v>
      </c>
      <c r="U1443" s="20">
        <f t="shared" si="96"/>
        <v>4.0111111111111111</v>
      </c>
      <c r="V1443" s="41">
        <f t="shared" si="99"/>
        <v>301.11111111111109</v>
      </c>
      <c r="W1443" s="17"/>
      <c r="X1443" s="17" t="s">
        <v>56</v>
      </c>
      <c r="Z1443" s="17" t="s">
        <v>56</v>
      </c>
      <c r="AA1443" s="17"/>
      <c r="AB1443" s="17" t="s">
        <v>57</v>
      </c>
      <c r="AC1443" s="17">
        <v>2014</v>
      </c>
      <c r="AD1443" s="17">
        <v>1</v>
      </c>
      <c r="AE1443" s="17"/>
      <c r="AF1443" s="17"/>
      <c r="AG1443" s="17">
        <v>2002</v>
      </c>
      <c r="AH1443" s="14">
        <f t="shared" si="97"/>
        <v>12</v>
      </c>
      <c r="AI1443" s="17">
        <f t="shared" si="98"/>
        <v>13</v>
      </c>
      <c r="AJ1443" s="17"/>
      <c r="AK1443" s="17" t="s">
        <v>56</v>
      </c>
      <c r="AL1443" s="16" t="s">
        <v>308</v>
      </c>
      <c r="AM1443" s="17">
        <v>2020</v>
      </c>
      <c r="AN1443" s="15" t="s">
        <v>309</v>
      </c>
      <c r="AO1443" s="15" t="s">
        <v>56</v>
      </c>
      <c r="AP1443" s="15"/>
      <c r="AQ1443" s="15" t="s">
        <v>56</v>
      </c>
      <c r="AR1443" s="15" t="s">
        <v>58</v>
      </c>
      <c r="AS1443" s="15" t="s">
        <v>62</v>
      </c>
      <c r="AT1443" s="15"/>
      <c r="AU1443" s="45"/>
      <c r="AV1443" s="15"/>
      <c r="AW1443" s="12" t="str">
        <f>B1443&amp;C1443&amp;L1443&amp;M1443&amp;O1443&amp;U1443&amp;AL1443&amp;AM1443</f>
        <v>MexicoBahías de HuatulcoToxopneustes roseusdensity4.01111111111111Rojas-Montiel2020</v>
      </c>
    </row>
    <row r="1444" spans="1:49" ht="14.5" x14ac:dyDescent="0.35">
      <c r="A1444" s="12">
        <v>1443</v>
      </c>
      <c r="B1444" s="15" t="s">
        <v>254</v>
      </c>
      <c r="C1444" s="15" t="s">
        <v>325</v>
      </c>
      <c r="D1444" s="15" t="s">
        <v>325</v>
      </c>
      <c r="E1444" s="15" t="s">
        <v>68</v>
      </c>
      <c r="F1444" s="16" t="s">
        <v>50</v>
      </c>
      <c r="G1444" s="16" t="s">
        <v>51</v>
      </c>
      <c r="H1444" s="16" t="s">
        <v>78</v>
      </c>
      <c r="I1444" s="16" t="s">
        <v>53</v>
      </c>
      <c r="J1444" s="17">
        <v>21.9</v>
      </c>
      <c r="K1444" s="17"/>
      <c r="L1444" s="17" t="s">
        <v>312</v>
      </c>
      <c r="M1444" s="17"/>
      <c r="N1444" s="14" t="s">
        <v>85</v>
      </c>
      <c r="O1444" s="17" t="s">
        <v>86</v>
      </c>
      <c r="P1444" s="17"/>
      <c r="Q1444" s="17"/>
      <c r="R1444" s="17"/>
      <c r="S1444" s="17">
        <v>0</v>
      </c>
      <c r="T1444" s="17">
        <v>0</v>
      </c>
      <c r="U1444" s="20" t="str">
        <f t="shared" si="96"/>
        <v>N/A</v>
      </c>
      <c r="V1444" s="41" t="str">
        <f t="shared" si="99"/>
        <v>N/A</v>
      </c>
      <c r="W1444" s="17"/>
      <c r="X1444" s="17" t="s">
        <v>56</v>
      </c>
      <c r="Z1444" s="17" t="s">
        <v>56</v>
      </c>
      <c r="AA1444" s="17"/>
      <c r="AB1444" s="17" t="s">
        <v>57</v>
      </c>
      <c r="AC1444" s="17">
        <v>2014</v>
      </c>
      <c r="AD1444" s="17">
        <v>1</v>
      </c>
      <c r="AE1444" s="17"/>
      <c r="AF1444" s="17"/>
      <c r="AG1444" s="17">
        <v>2002</v>
      </c>
      <c r="AH1444" s="14">
        <f t="shared" si="97"/>
        <v>12</v>
      </c>
      <c r="AI1444" s="17">
        <f t="shared" si="98"/>
        <v>13</v>
      </c>
      <c r="AJ1444" s="17"/>
      <c r="AK1444" s="17" t="s">
        <v>56</v>
      </c>
      <c r="AL1444" s="16" t="s">
        <v>308</v>
      </c>
      <c r="AM1444" s="17">
        <v>2020</v>
      </c>
      <c r="AN1444" s="15" t="s">
        <v>309</v>
      </c>
      <c r="AO1444" s="15" t="s">
        <v>56</v>
      </c>
      <c r="AP1444" s="15"/>
      <c r="AQ1444" s="15" t="s">
        <v>56</v>
      </c>
      <c r="AR1444" s="15" t="s">
        <v>58</v>
      </c>
      <c r="AS1444" s="15" t="s">
        <v>62</v>
      </c>
      <c r="AT1444" s="15"/>
      <c r="AU1444" s="45"/>
      <c r="AV1444" s="15"/>
      <c r="AW1444" s="12" t="str">
        <f>B1444&amp;C1444&amp;L1444&amp;M1444&amp;O1444&amp;U1444&amp;AL1444&amp;AM1444</f>
        <v>MexicoBahías de HuatulcoEchinometra vanbruntidensityN/ARojas-Montiel2020</v>
      </c>
    </row>
    <row r="1445" spans="1:49" ht="14.5" x14ac:dyDescent="0.35">
      <c r="A1445" s="12">
        <v>1444</v>
      </c>
      <c r="B1445" s="15" t="s">
        <v>254</v>
      </c>
      <c r="C1445" s="15" t="s">
        <v>325</v>
      </c>
      <c r="D1445" s="15" t="s">
        <v>325</v>
      </c>
      <c r="E1445" s="15" t="s">
        <v>68</v>
      </c>
      <c r="F1445" s="13" t="s">
        <v>50</v>
      </c>
      <c r="G1445" s="13" t="s">
        <v>51</v>
      </c>
      <c r="H1445" s="16" t="s">
        <v>78</v>
      </c>
      <c r="I1445" s="16" t="s">
        <v>53</v>
      </c>
      <c r="J1445" s="17">
        <v>21.9</v>
      </c>
      <c r="K1445" s="17"/>
      <c r="L1445" s="17" t="s">
        <v>313</v>
      </c>
      <c r="M1445" s="17"/>
      <c r="N1445" s="14" t="s">
        <v>85</v>
      </c>
      <c r="O1445" s="17" t="s">
        <v>86</v>
      </c>
      <c r="P1445" s="17"/>
      <c r="Q1445" s="17"/>
      <c r="R1445" s="17"/>
      <c r="S1445" s="17">
        <v>1100</v>
      </c>
      <c r="T1445" s="17">
        <v>161100</v>
      </c>
      <c r="U1445" s="20">
        <f t="shared" si="96"/>
        <v>146.45454545454547</v>
      </c>
      <c r="V1445" s="41">
        <f t="shared" si="99"/>
        <v>14545.454545454546</v>
      </c>
      <c r="W1445" s="17"/>
      <c r="X1445" s="17" t="s">
        <v>56</v>
      </c>
      <c r="Z1445" s="17" t="s">
        <v>56</v>
      </c>
      <c r="AA1445" s="17"/>
      <c r="AB1445" s="17" t="s">
        <v>57</v>
      </c>
      <c r="AC1445" s="17">
        <v>2014</v>
      </c>
      <c r="AD1445" s="17">
        <v>1</v>
      </c>
      <c r="AE1445" s="17"/>
      <c r="AF1445" s="17"/>
      <c r="AG1445" s="17">
        <v>2002</v>
      </c>
      <c r="AH1445" s="14">
        <f t="shared" si="97"/>
        <v>12</v>
      </c>
      <c r="AI1445" s="17">
        <f t="shared" si="98"/>
        <v>13</v>
      </c>
      <c r="AJ1445" s="17"/>
      <c r="AK1445" s="17" t="s">
        <v>56</v>
      </c>
      <c r="AL1445" s="16" t="s">
        <v>308</v>
      </c>
      <c r="AM1445" s="17">
        <v>2020</v>
      </c>
      <c r="AN1445" s="15" t="s">
        <v>309</v>
      </c>
      <c r="AO1445" s="15" t="s">
        <v>56</v>
      </c>
      <c r="AP1445" s="15"/>
      <c r="AQ1445" s="15" t="s">
        <v>56</v>
      </c>
      <c r="AR1445" s="15" t="s">
        <v>58</v>
      </c>
      <c r="AS1445" s="15" t="s">
        <v>62</v>
      </c>
      <c r="AT1445" s="15"/>
      <c r="AU1445" s="45" t="s">
        <v>2848</v>
      </c>
      <c r="AV1445" s="15"/>
      <c r="AW1445" s="12" t="str">
        <f>B1445&amp;C1445&amp;L1445&amp;M1445&amp;O1445&amp;U1445&amp;AL1445&amp;AM1445</f>
        <v>MexicoBahías de HuatulcoDiadema mexicanumdensity146.454545454545Rojas-Montiel2020</v>
      </c>
    </row>
    <row r="1446" spans="1:49" ht="14.5" x14ac:dyDescent="0.35">
      <c r="A1446" s="12">
        <v>1445</v>
      </c>
      <c r="B1446" s="15" t="s">
        <v>254</v>
      </c>
      <c r="C1446" s="15" t="s">
        <v>325</v>
      </c>
      <c r="D1446" s="15" t="s">
        <v>325</v>
      </c>
      <c r="E1446" s="15" t="s">
        <v>68</v>
      </c>
      <c r="F1446" s="13" t="s">
        <v>50</v>
      </c>
      <c r="G1446" s="13" t="s">
        <v>51</v>
      </c>
      <c r="H1446" s="16" t="s">
        <v>78</v>
      </c>
      <c r="I1446" s="16" t="s">
        <v>53</v>
      </c>
      <c r="J1446" s="17">
        <v>21.9</v>
      </c>
      <c r="K1446" s="17"/>
      <c r="L1446" s="17" t="s">
        <v>314</v>
      </c>
      <c r="M1446" s="17"/>
      <c r="N1446" s="14" t="s">
        <v>85</v>
      </c>
      <c r="O1446" s="17" t="s">
        <v>86</v>
      </c>
      <c r="P1446" s="17"/>
      <c r="Q1446" s="17"/>
      <c r="R1446" s="17"/>
      <c r="S1446" s="17">
        <v>600</v>
      </c>
      <c r="T1446" s="17">
        <v>0</v>
      </c>
      <c r="U1446" s="20">
        <f t="shared" si="96"/>
        <v>0</v>
      </c>
      <c r="V1446" s="41">
        <f t="shared" si="99"/>
        <v>-100</v>
      </c>
      <c r="W1446" s="17"/>
      <c r="X1446" s="17" t="s">
        <v>56</v>
      </c>
      <c r="Z1446" s="17" t="s">
        <v>56</v>
      </c>
      <c r="AA1446" s="17"/>
      <c r="AB1446" s="17" t="s">
        <v>57</v>
      </c>
      <c r="AC1446" s="17">
        <v>2014</v>
      </c>
      <c r="AD1446" s="17">
        <v>1</v>
      </c>
      <c r="AE1446" s="17"/>
      <c r="AF1446" s="17"/>
      <c r="AG1446" s="17">
        <v>2002</v>
      </c>
      <c r="AH1446" s="14">
        <f t="shared" si="97"/>
        <v>12</v>
      </c>
      <c r="AI1446" s="17">
        <f t="shared" si="98"/>
        <v>13</v>
      </c>
      <c r="AJ1446" s="17"/>
      <c r="AK1446" s="17" t="s">
        <v>56</v>
      </c>
      <c r="AL1446" s="16" t="s">
        <v>308</v>
      </c>
      <c r="AM1446" s="17">
        <v>2020</v>
      </c>
      <c r="AN1446" s="15" t="s">
        <v>309</v>
      </c>
      <c r="AO1446" s="15" t="s">
        <v>56</v>
      </c>
      <c r="AP1446" s="15"/>
      <c r="AQ1446" s="15" t="s">
        <v>56</v>
      </c>
      <c r="AR1446" s="15" t="s">
        <v>58</v>
      </c>
      <c r="AS1446" s="15" t="s">
        <v>62</v>
      </c>
      <c r="AT1446" s="15"/>
      <c r="AU1446" s="45"/>
      <c r="AV1446" s="15"/>
      <c r="AW1446" s="12" t="str">
        <f>B1446&amp;C1446&amp;L1446&amp;M1446&amp;O1446&amp;U1446&amp;AL1446&amp;AM1446</f>
        <v>MexicoBahías de HuatulcoCentrostephanus coronatudensity0Rojas-Montiel2020</v>
      </c>
    </row>
    <row r="1447" spans="1:49" ht="14.5" x14ac:dyDescent="0.35">
      <c r="A1447" s="12">
        <v>1446</v>
      </c>
      <c r="B1447" s="15" t="s">
        <v>254</v>
      </c>
      <c r="C1447" s="15" t="s">
        <v>325</v>
      </c>
      <c r="D1447" s="15" t="s">
        <v>325</v>
      </c>
      <c r="E1447" s="15" t="s">
        <v>68</v>
      </c>
      <c r="F1447" s="13" t="s">
        <v>50</v>
      </c>
      <c r="G1447" s="13" t="s">
        <v>51</v>
      </c>
      <c r="H1447" s="16" t="s">
        <v>78</v>
      </c>
      <c r="I1447" s="13" t="s">
        <v>53</v>
      </c>
      <c r="J1447" s="17">
        <v>21.9</v>
      </c>
      <c r="K1447" s="17"/>
      <c r="L1447" s="17" t="s">
        <v>315</v>
      </c>
      <c r="M1447" s="17"/>
      <c r="N1447" s="14" t="s">
        <v>85</v>
      </c>
      <c r="O1447" s="17" t="s">
        <v>86</v>
      </c>
      <c r="P1447" s="17"/>
      <c r="Q1447" s="17"/>
      <c r="R1447" s="17"/>
      <c r="S1447" s="17">
        <v>0</v>
      </c>
      <c r="T1447" s="17">
        <v>0</v>
      </c>
      <c r="U1447" s="20" t="str">
        <f t="shared" si="96"/>
        <v>N/A</v>
      </c>
      <c r="V1447" s="41" t="str">
        <f t="shared" si="99"/>
        <v>N/A</v>
      </c>
      <c r="W1447" s="17"/>
      <c r="X1447" s="17" t="s">
        <v>56</v>
      </c>
      <c r="Z1447" s="17" t="s">
        <v>56</v>
      </c>
      <c r="AA1447" s="17"/>
      <c r="AB1447" s="17" t="s">
        <v>57</v>
      </c>
      <c r="AC1447" s="17">
        <v>2014</v>
      </c>
      <c r="AD1447" s="17">
        <v>1</v>
      </c>
      <c r="AE1447" s="17"/>
      <c r="AF1447" s="17"/>
      <c r="AG1447" s="17">
        <v>2002</v>
      </c>
      <c r="AH1447" s="14">
        <f t="shared" si="97"/>
        <v>12</v>
      </c>
      <c r="AI1447" s="17">
        <f t="shared" si="98"/>
        <v>13</v>
      </c>
      <c r="AJ1447" s="17"/>
      <c r="AK1447" s="17" t="s">
        <v>56</v>
      </c>
      <c r="AL1447" s="16" t="s">
        <v>308</v>
      </c>
      <c r="AM1447" s="17">
        <v>2020</v>
      </c>
      <c r="AN1447" s="15" t="s">
        <v>309</v>
      </c>
      <c r="AO1447" s="15" t="s">
        <v>56</v>
      </c>
      <c r="AP1447" s="15"/>
      <c r="AQ1447" s="15" t="s">
        <v>56</v>
      </c>
      <c r="AR1447" s="15" t="s">
        <v>58</v>
      </c>
      <c r="AS1447" s="15" t="s">
        <v>62</v>
      </c>
      <c r="AT1447" s="15"/>
      <c r="AU1447" s="45"/>
      <c r="AV1447" s="15"/>
      <c r="AW1447" s="12" t="str">
        <f>B1447&amp;C1447&amp;L1447&amp;M1447&amp;O1447&amp;U1447&amp;AL1447&amp;AM1447</f>
        <v>MexicoBahías de HuatulcoArbacia stellatadensityN/ARojas-Montiel2020</v>
      </c>
    </row>
    <row r="1448" spans="1:49" ht="14.5" x14ac:dyDescent="0.35">
      <c r="A1448" s="12">
        <v>1447</v>
      </c>
      <c r="B1448" s="15" t="s">
        <v>254</v>
      </c>
      <c r="C1448" s="15" t="s">
        <v>325</v>
      </c>
      <c r="D1448" s="15" t="s">
        <v>325</v>
      </c>
      <c r="E1448" s="15" t="s">
        <v>68</v>
      </c>
      <c r="F1448" s="13" t="s">
        <v>50</v>
      </c>
      <c r="G1448" s="13" t="s">
        <v>51</v>
      </c>
      <c r="H1448" s="16" t="s">
        <v>78</v>
      </c>
      <c r="I1448" s="13" t="s">
        <v>53</v>
      </c>
      <c r="J1448" s="17">
        <v>21.9</v>
      </c>
      <c r="K1448" s="17"/>
      <c r="L1448" s="17" t="s">
        <v>316</v>
      </c>
      <c r="M1448" s="17"/>
      <c r="N1448" s="14" t="s">
        <v>85</v>
      </c>
      <c r="O1448" s="17" t="s">
        <v>86</v>
      </c>
      <c r="P1448" s="17"/>
      <c r="Q1448" s="17"/>
      <c r="R1448" s="17"/>
      <c r="S1448" s="17">
        <v>88400</v>
      </c>
      <c r="T1448" s="17">
        <v>50000</v>
      </c>
      <c r="U1448" s="20">
        <f t="shared" si="96"/>
        <v>0.56561085972850678</v>
      </c>
      <c r="V1448" s="41">
        <f t="shared" si="99"/>
        <v>-43.438914027149323</v>
      </c>
      <c r="W1448" s="17"/>
      <c r="X1448" s="17" t="s">
        <v>56</v>
      </c>
      <c r="Z1448" s="17" t="s">
        <v>56</v>
      </c>
      <c r="AA1448" s="17"/>
      <c r="AB1448" s="17" t="s">
        <v>57</v>
      </c>
      <c r="AC1448" s="17">
        <v>2014</v>
      </c>
      <c r="AD1448" s="17">
        <v>1</v>
      </c>
      <c r="AE1448" s="17"/>
      <c r="AF1448" s="17"/>
      <c r="AG1448" s="17">
        <v>2002</v>
      </c>
      <c r="AH1448" s="14">
        <f t="shared" si="97"/>
        <v>12</v>
      </c>
      <c r="AI1448" s="17">
        <f t="shared" si="98"/>
        <v>13</v>
      </c>
      <c r="AJ1448" s="17"/>
      <c r="AK1448" s="17" t="s">
        <v>56</v>
      </c>
      <c r="AL1448" s="16" t="s">
        <v>308</v>
      </c>
      <c r="AM1448" s="17">
        <v>2020</v>
      </c>
      <c r="AN1448" s="15" t="s">
        <v>309</v>
      </c>
      <c r="AO1448" s="15" t="s">
        <v>56</v>
      </c>
      <c r="AP1448" s="15"/>
      <c r="AQ1448" s="15" t="s">
        <v>56</v>
      </c>
      <c r="AR1448" s="15" t="s">
        <v>58</v>
      </c>
      <c r="AS1448" s="15" t="s">
        <v>62</v>
      </c>
      <c r="AT1448" s="15"/>
      <c r="AU1448" s="45"/>
      <c r="AV1448" s="15"/>
      <c r="AW1448" s="12" t="str">
        <f>B1448&amp;C1448&amp;L1448&amp;M1448&amp;O1448&amp;U1448&amp;AL1448&amp;AM1448</f>
        <v>MexicoBahías de HuatulcoPhataria unifascialisdensity0.565610859728507Rojas-Montiel2020</v>
      </c>
    </row>
    <row r="1449" spans="1:49" ht="14.5" x14ac:dyDescent="0.35">
      <c r="A1449" s="12">
        <v>1448</v>
      </c>
      <c r="B1449" s="15" t="s">
        <v>254</v>
      </c>
      <c r="C1449" s="15" t="s">
        <v>325</v>
      </c>
      <c r="D1449" s="15" t="s">
        <v>325</v>
      </c>
      <c r="E1449" s="12" t="s">
        <v>68</v>
      </c>
      <c r="F1449" s="13" t="s">
        <v>50</v>
      </c>
      <c r="G1449" s="13" t="s">
        <v>51</v>
      </c>
      <c r="H1449" s="16" t="s">
        <v>78</v>
      </c>
      <c r="I1449" s="16" t="s">
        <v>53</v>
      </c>
      <c r="J1449" s="17">
        <v>21.9</v>
      </c>
      <c r="K1449" s="17"/>
      <c r="L1449" s="17" t="s">
        <v>317</v>
      </c>
      <c r="M1449" s="17"/>
      <c r="N1449" s="14" t="s">
        <v>85</v>
      </c>
      <c r="O1449" s="17" t="s">
        <v>86</v>
      </c>
      <c r="P1449" s="17"/>
      <c r="Q1449" s="17"/>
      <c r="R1449" s="17"/>
      <c r="S1449" s="17">
        <v>6800</v>
      </c>
      <c r="T1449" s="17">
        <v>27800</v>
      </c>
      <c r="U1449" s="19">
        <f t="shared" si="96"/>
        <v>4.0882352941176467</v>
      </c>
      <c r="V1449" s="41">
        <f t="shared" si="99"/>
        <v>308.8235294117647</v>
      </c>
      <c r="W1449" s="14"/>
      <c r="X1449" s="17" t="s">
        <v>56</v>
      </c>
      <c r="Y1449" s="17"/>
      <c r="Z1449" s="17" t="s">
        <v>56</v>
      </c>
      <c r="AA1449" s="17"/>
      <c r="AB1449" s="17" t="s">
        <v>57</v>
      </c>
      <c r="AC1449" s="17">
        <v>2014</v>
      </c>
      <c r="AD1449" s="17">
        <v>1</v>
      </c>
      <c r="AE1449" s="17"/>
      <c r="AF1449" s="17"/>
      <c r="AG1449" s="17">
        <v>2002</v>
      </c>
      <c r="AH1449" s="14">
        <f t="shared" si="97"/>
        <v>12</v>
      </c>
      <c r="AI1449" s="17">
        <f t="shared" si="98"/>
        <v>13</v>
      </c>
      <c r="AJ1449" s="17"/>
      <c r="AK1449" s="17" t="s">
        <v>56</v>
      </c>
      <c r="AL1449" s="16" t="s">
        <v>308</v>
      </c>
      <c r="AM1449" s="17">
        <v>2020</v>
      </c>
      <c r="AN1449" s="15" t="s">
        <v>309</v>
      </c>
      <c r="AO1449" s="15" t="s">
        <v>56</v>
      </c>
      <c r="AP1449" s="15"/>
      <c r="AQ1449" s="15" t="s">
        <v>56</v>
      </c>
      <c r="AR1449" s="15" t="s">
        <v>58</v>
      </c>
      <c r="AS1449" s="15" t="s">
        <v>62</v>
      </c>
      <c r="AT1449" s="12"/>
      <c r="AU1449" s="45"/>
      <c r="AV1449" s="15"/>
      <c r="AW1449" s="12" t="str">
        <f>B1449&amp;C1449&amp;L1449&amp;M1449&amp;O1449&amp;U1449&amp;AL1449&amp;AM1449</f>
        <v>MexicoBahías de HuatulcoPharia pyramidatadensity4.08823529411765Rojas-Montiel2020</v>
      </c>
    </row>
    <row r="1450" spans="1:49" ht="14.5" x14ac:dyDescent="0.35">
      <c r="A1450" s="12">
        <v>1449</v>
      </c>
      <c r="B1450" s="15" t="s">
        <v>254</v>
      </c>
      <c r="C1450" s="15" t="s">
        <v>325</v>
      </c>
      <c r="D1450" s="15" t="s">
        <v>325</v>
      </c>
      <c r="E1450" s="15" t="s">
        <v>68</v>
      </c>
      <c r="F1450" s="13" t="s">
        <v>50</v>
      </c>
      <c r="G1450" s="13" t="s">
        <v>51</v>
      </c>
      <c r="H1450" s="16" t="s">
        <v>78</v>
      </c>
      <c r="I1450" s="13" t="s">
        <v>53</v>
      </c>
      <c r="J1450" s="17">
        <v>21.9</v>
      </c>
      <c r="K1450" s="17"/>
      <c r="L1450" s="17" t="s">
        <v>318</v>
      </c>
      <c r="M1450" s="17"/>
      <c r="N1450" s="14" t="s">
        <v>85</v>
      </c>
      <c r="O1450" s="17" t="s">
        <v>86</v>
      </c>
      <c r="P1450" s="17"/>
      <c r="Q1450" s="17"/>
      <c r="R1450" s="17"/>
      <c r="S1450" s="17">
        <v>265000</v>
      </c>
      <c r="T1450" s="17">
        <v>0</v>
      </c>
      <c r="U1450" s="20">
        <f t="shared" si="96"/>
        <v>0</v>
      </c>
      <c r="V1450" s="41">
        <f t="shared" si="99"/>
        <v>-100</v>
      </c>
      <c r="W1450" s="17"/>
      <c r="X1450" s="17" t="s">
        <v>56</v>
      </c>
      <c r="Z1450" s="17" t="s">
        <v>56</v>
      </c>
      <c r="AA1450" s="17"/>
      <c r="AB1450" s="17" t="s">
        <v>57</v>
      </c>
      <c r="AC1450" s="17">
        <v>2014</v>
      </c>
      <c r="AD1450" s="17">
        <v>1</v>
      </c>
      <c r="AE1450" s="17"/>
      <c r="AF1450" s="17"/>
      <c r="AG1450" s="17">
        <v>2002</v>
      </c>
      <c r="AH1450" s="14">
        <f t="shared" si="97"/>
        <v>12</v>
      </c>
      <c r="AI1450" s="17">
        <f t="shared" si="98"/>
        <v>13</v>
      </c>
      <c r="AJ1450" s="17"/>
      <c r="AK1450" s="17" t="s">
        <v>56</v>
      </c>
      <c r="AL1450" s="16" t="s">
        <v>308</v>
      </c>
      <c r="AM1450" s="17">
        <v>2020</v>
      </c>
      <c r="AN1450" s="15" t="s">
        <v>309</v>
      </c>
      <c r="AO1450" s="15" t="s">
        <v>56</v>
      </c>
      <c r="AP1450" s="15"/>
      <c r="AQ1450" s="15" t="s">
        <v>56</v>
      </c>
      <c r="AR1450" s="15" t="s">
        <v>58</v>
      </c>
      <c r="AS1450" s="15" t="s">
        <v>62</v>
      </c>
      <c r="AT1450" s="15"/>
      <c r="AU1450" s="45"/>
      <c r="AV1450" s="15"/>
      <c r="AW1450" s="12" t="str">
        <f>B1450&amp;C1450&amp;L1450&amp;M1450&amp;O1450&amp;U1450&amp;AL1450&amp;AM1450</f>
        <v>MexicoBahías de HuatulcoPentaceraster cumingidensity0Rojas-Montiel2020</v>
      </c>
    </row>
    <row r="1451" spans="1:49" ht="14.5" x14ac:dyDescent="0.35">
      <c r="A1451" s="12">
        <v>1450</v>
      </c>
      <c r="B1451" s="15" t="s">
        <v>254</v>
      </c>
      <c r="C1451" s="15" t="s">
        <v>325</v>
      </c>
      <c r="D1451" s="15" t="s">
        <v>325</v>
      </c>
      <c r="E1451" s="15" t="s">
        <v>68</v>
      </c>
      <c r="F1451" s="13" t="s">
        <v>50</v>
      </c>
      <c r="G1451" s="13" t="s">
        <v>51</v>
      </c>
      <c r="H1451" s="16" t="s">
        <v>78</v>
      </c>
      <c r="I1451" s="13" t="s">
        <v>53</v>
      </c>
      <c r="J1451" s="17">
        <v>21.9</v>
      </c>
      <c r="K1451" s="17"/>
      <c r="L1451" s="17" t="s">
        <v>319</v>
      </c>
      <c r="M1451" s="17"/>
      <c r="N1451" s="14" t="s">
        <v>85</v>
      </c>
      <c r="O1451" s="17" t="s">
        <v>86</v>
      </c>
      <c r="P1451" s="17"/>
      <c r="Q1451" s="17"/>
      <c r="R1451" s="17"/>
      <c r="S1451" s="17">
        <v>300</v>
      </c>
      <c r="T1451" s="17">
        <v>0</v>
      </c>
      <c r="U1451" s="20">
        <f t="shared" si="96"/>
        <v>0</v>
      </c>
      <c r="V1451" s="41">
        <f t="shared" si="99"/>
        <v>-100</v>
      </c>
      <c r="W1451" s="17"/>
      <c r="X1451" s="17" t="s">
        <v>56</v>
      </c>
      <c r="Z1451" s="17" t="s">
        <v>56</v>
      </c>
      <c r="AA1451" s="17"/>
      <c r="AB1451" s="17" t="s">
        <v>57</v>
      </c>
      <c r="AC1451" s="17">
        <v>2014</v>
      </c>
      <c r="AD1451" s="17">
        <v>1</v>
      </c>
      <c r="AE1451" s="17"/>
      <c r="AF1451" s="17"/>
      <c r="AG1451" s="17">
        <v>2002</v>
      </c>
      <c r="AH1451" s="14">
        <f t="shared" si="97"/>
        <v>12</v>
      </c>
      <c r="AI1451" s="17">
        <f t="shared" si="98"/>
        <v>13</v>
      </c>
      <c r="AJ1451" s="17"/>
      <c r="AK1451" s="17" t="s">
        <v>56</v>
      </c>
      <c r="AL1451" s="16" t="s">
        <v>308</v>
      </c>
      <c r="AM1451" s="17">
        <v>2020</v>
      </c>
      <c r="AN1451" s="15" t="s">
        <v>309</v>
      </c>
      <c r="AO1451" s="15" t="s">
        <v>56</v>
      </c>
      <c r="AP1451" s="15"/>
      <c r="AQ1451" s="15" t="s">
        <v>56</v>
      </c>
      <c r="AR1451" s="15" t="s">
        <v>58</v>
      </c>
      <c r="AS1451" s="15" t="s">
        <v>62</v>
      </c>
      <c r="AT1451" s="15"/>
      <c r="AU1451" s="45"/>
      <c r="AV1451" s="15"/>
      <c r="AW1451" s="12" t="str">
        <f>B1451&amp;C1451&amp;L1451&amp;M1451&amp;O1451&amp;U1451&amp;AL1451&amp;AM1451</f>
        <v>MexicoBahías de HuatulcoNidorellia armatadensity0Rojas-Montiel2020</v>
      </c>
    </row>
    <row r="1452" spans="1:49" ht="14.5" x14ac:dyDescent="0.35">
      <c r="A1452" s="12">
        <v>1451</v>
      </c>
      <c r="B1452" s="12" t="s">
        <v>254</v>
      </c>
      <c r="C1452" s="12" t="s">
        <v>325</v>
      </c>
      <c r="D1452" s="12" t="s">
        <v>325</v>
      </c>
      <c r="E1452" s="12" t="s">
        <v>68</v>
      </c>
      <c r="F1452" s="13" t="s">
        <v>50</v>
      </c>
      <c r="G1452" s="13" t="s">
        <v>51</v>
      </c>
      <c r="H1452" s="13" t="s">
        <v>78</v>
      </c>
      <c r="I1452" s="13" t="s">
        <v>53</v>
      </c>
      <c r="J1452" s="17">
        <v>21.9</v>
      </c>
      <c r="K1452" s="17"/>
      <c r="L1452" s="14" t="s">
        <v>320</v>
      </c>
      <c r="M1452" s="14"/>
      <c r="N1452" s="14" t="s">
        <v>85</v>
      </c>
      <c r="O1452" s="17" t="s">
        <v>86</v>
      </c>
      <c r="P1452" s="14"/>
      <c r="Q1452" s="14"/>
      <c r="R1452" s="14"/>
      <c r="S1452" s="14">
        <v>600</v>
      </c>
      <c r="T1452" s="14">
        <v>0</v>
      </c>
      <c r="U1452" s="19">
        <f t="shared" si="96"/>
        <v>0</v>
      </c>
      <c r="V1452" s="41">
        <f t="shared" si="99"/>
        <v>-100</v>
      </c>
      <c r="W1452" s="14"/>
      <c r="X1452" s="14" t="s">
        <v>56</v>
      </c>
      <c r="Z1452" s="14" t="s">
        <v>56</v>
      </c>
      <c r="AA1452" s="14"/>
      <c r="AB1452" s="14" t="s">
        <v>57</v>
      </c>
      <c r="AC1452" s="14">
        <v>2014</v>
      </c>
      <c r="AD1452" s="14">
        <v>1</v>
      </c>
      <c r="AE1452" s="14"/>
      <c r="AF1452" s="14"/>
      <c r="AG1452" s="14">
        <v>2002</v>
      </c>
      <c r="AH1452" s="14">
        <f t="shared" si="97"/>
        <v>12</v>
      </c>
      <c r="AI1452" s="17">
        <f t="shared" si="98"/>
        <v>13</v>
      </c>
      <c r="AJ1452" s="14"/>
      <c r="AK1452" s="14" t="s">
        <v>56</v>
      </c>
      <c r="AL1452" s="13" t="s">
        <v>308</v>
      </c>
      <c r="AM1452" s="14">
        <v>2020</v>
      </c>
      <c r="AN1452" s="12" t="s">
        <v>309</v>
      </c>
      <c r="AO1452" s="12" t="s">
        <v>56</v>
      </c>
      <c r="AP1452" s="12"/>
      <c r="AQ1452" s="12" t="s">
        <v>56</v>
      </c>
      <c r="AR1452" s="12" t="s">
        <v>58</v>
      </c>
      <c r="AS1452" s="12" t="s">
        <v>62</v>
      </c>
      <c r="AT1452" s="12"/>
      <c r="AU1452" s="45"/>
      <c r="AV1452" s="15"/>
      <c r="AW1452" s="12" t="str">
        <f>B1452&amp;C1452&amp;L1452&amp;M1452&amp;O1452&amp;U1452&amp;AL1452&amp;AM1452</f>
        <v>MexicoBahías de HuatulcoAcanthaster plancidensity0Rojas-Montiel2020</v>
      </c>
    </row>
    <row r="1453" spans="1:49" ht="14.5" x14ac:dyDescent="0.35">
      <c r="A1453" s="12">
        <v>1452</v>
      </c>
      <c r="B1453" s="12" t="s">
        <v>254</v>
      </c>
      <c r="C1453" s="12" t="s">
        <v>325</v>
      </c>
      <c r="D1453" s="12" t="s">
        <v>325</v>
      </c>
      <c r="E1453" s="12" t="s">
        <v>68</v>
      </c>
      <c r="F1453" s="13" t="s">
        <v>50</v>
      </c>
      <c r="G1453" s="13" t="s">
        <v>51</v>
      </c>
      <c r="H1453" s="13" t="s">
        <v>78</v>
      </c>
      <c r="I1453" s="13" t="s">
        <v>53</v>
      </c>
      <c r="J1453" s="17">
        <v>21.9</v>
      </c>
      <c r="K1453" s="14"/>
      <c r="L1453" s="14" t="s">
        <v>321</v>
      </c>
      <c r="M1453" s="14"/>
      <c r="N1453" s="14" t="s">
        <v>85</v>
      </c>
      <c r="O1453" s="17" t="s">
        <v>86</v>
      </c>
      <c r="P1453" s="14"/>
      <c r="Q1453" s="14"/>
      <c r="R1453" s="14"/>
      <c r="S1453" s="14">
        <v>600</v>
      </c>
      <c r="T1453" s="14">
        <v>0</v>
      </c>
      <c r="U1453" s="19">
        <f t="shared" si="96"/>
        <v>0</v>
      </c>
      <c r="V1453" s="41">
        <f t="shared" si="99"/>
        <v>-100</v>
      </c>
      <c r="W1453" s="14"/>
      <c r="X1453" s="14" t="s">
        <v>56</v>
      </c>
      <c r="Z1453" s="14" t="s">
        <v>56</v>
      </c>
      <c r="AA1453" s="14"/>
      <c r="AB1453" s="14" t="s">
        <v>57</v>
      </c>
      <c r="AC1453" s="14">
        <v>2014</v>
      </c>
      <c r="AD1453" s="14">
        <v>1</v>
      </c>
      <c r="AE1453" s="14"/>
      <c r="AF1453" s="14"/>
      <c r="AG1453" s="14">
        <v>2002</v>
      </c>
      <c r="AH1453" s="14">
        <f t="shared" si="97"/>
        <v>12</v>
      </c>
      <c r="AI1453" s="17">
        <f t="shared" si="98"/>
        <v>13</v>
      </c>
      <c r="AJ1453" s="14"/>
      <c r="AK1453" s="14" t="s">
        <v>56</v>
      </c>
      <c r="AL1453" s="13" t="s">
        <v>308</v>
      </c>
      <c r="AM1453" s="14">
        <v>2020</v>
      </c>
      <c r="AN1453" s="12" t="s">
        <v>309</v>
      </c>
      <c r="AO1453" s="12" t="s">
        <v>56</v>
      </c>
      <c r="AP1453" s="12"/>
      <c r="AQ1453" s="12" t="s">
        <v>56</v>
      </c>
      <c r="AR1453" s="12" t="s">
        <v>58</v>
      </c>
      <c r="AS1453" s="12" t="s">
        <v>62</v>
      </c>
      <c r="AT1453" s="12"/>
      <c r="AU1453" s="45"/>
      <c r="AV1453" s="15"/>
      <c r="AW1453" s="12" t="str">
        <f>B1453&amp;C1453&amp;L1453&amp;M1453&amp;O1453&amp;U1453&amp;AL1453&amp;AM1453</f>
        <v>MexicoBahías de HuatulcoMithrodia bradleyidensity0Rojas-Montiel2020</v>
      </c>
    </row>
    <row r="1454" spans="1:49" ht="14.5" x14ac:dyDescent="0.35">
      <c r="A1454" s="12">
        <v>1453</v>
      </c>
      <c r="B1454" s="12" t="s">
        <v>254</v>
      </c>
      <c r="C1454" s="12" t="s">
        <v>325</v>
      </c>
      <c r="D1454" s="12" t="s">
        <v>325</v>
      </c>
      <c r="E1454" s="12" t="s">
        <v>68</v>
      </c>
      <c r="F1454" s="13" t="s">
        <v>50</v>
      </c>
      <c r="G1454" s="13" t="s">
        <v>51</v>
      </c>
      <c r="H1454" s="13" t="s">
        <v>78</v>
      </c>
      <c r="I1454" s="13" t="s">
        <v>53</v>
      </c>
      <c r="J1454" s="17">
        <v>21.9</v>
      </c>
      <c r="K1454" s="17"/>
      <c r="L1454" s="14" t="s">
        <v>322</v>
      </c>
      <c r="M1454" s="14"/>
      <c r="N1454" s="14" t="s">
        <v>85</v>
      </c>
      <c r="O1454" s="17" t="s">
        <v>86</v>
      </c>
      <c r="P1454" s="14"/>
      <c r="Q1454" s="14"/>
      <c r="R1454" s="14"/>
      <c r="S1454" s="14">
        <v>0</v>
      </c>
      <c r="T1454" s="14">
        <v>0</v>
      </c>
      <c r="U1454" s="19" t="str">
        <f t="shared" si="96"/>
        <v>N/A</v>
      </c>
      <c r="V1454" s="41" t="str">
        <f t="shared" si="99"/>
        <v>N/A</v>
      </c>
      <c r="W1454" s="14"/>
      <c r="X1454" s="14" t="s">
        <v>56</v>
      </c>
      <c r="Z1454" s="14" t="s">
        <v>56</v>
      </c>
      <c r="AA1454" s="14"/>
      <c r="AB1454" s="14" t="s">
        <v>57</v>
      </c>
      <c r="AC1454" s="14">
        <v>2014</v>
      </c>
      <c r="AD1454" s="14">
        <v>1</v>
      </c>
      <c r="AE1454" s="14"/>
      <c r="AF1454" s="14"/>
      <c r="AG1454" s="14">
        <v>2002</v>
      </c>
      <c r="AH1454" s="14">
        <f t="shared" si="97"/>
        <v>12</v>
      </c>
      <c r="AI1454" s="17">
        <f t="shared" si="98"/>
        <v>13</v>
      </c>
      <c r="AJ1454" s="14"/>
      <c r="AK1454" s="14" t="s">
        <v>56</v>
      </c>
      <c r="AL1454" s="13" t="s">
        <v>308</v>
      </c>
      <c r="AM1454" s="14">
        <v>2020</v>
      </c>
      <c r="AN1454" s="12" t="s">
        <v>309</v>
      </c>
      <c r="AO1454" s="12" t="s">
        <v>56</v>
      </c>
      <c r="AP1454" s="12"/>
      <c r="AQ1454" s="12" t="s">
        <v>56</v>
      </c>
      <c r="AR1454" s="12" t="s">
        <v>58</v>
      </c>
      <c r="AS1454" s="12" t="s">
        <v>62</v>
      </c>
      <c r="AT1454" s="12"/>
      <c r="AU1454" s="45"/>
      <c r="AV1454" s="15"/>
      <c r="AW1454" s="12" t="str">
        <f>B1454&amp;C1454&amp;L1454&amp;M1454&amp;O1454&amp;U1454&amp;AL1454&amp;AM1454</f>
        <v>MexicoBahías de HuatulcoHeliaster kubinijidensityN/ARojas-Montiel2020</v>
      </c>
    </row>
    <row r="1455" spans="1:49" ht="14.5" x14ac:dyDescent="0.35">
      <c r="A1455" s="12">
        <v>1454</v>
      </c>
      <c r="B1455" s="12" t="s">
        <v>254</v>
      </c>
      <c r="C1455" s="12" t="s">
        <v>325</v>
      </c>
      <c r="D1455" s="12" t="s">
        <v>325</v>
      </c>
      <c r="E1455" s="12" t="s">
        <v>68</v>
      </c>
      <c r="F1455" s="13" t="s">
        <v>50</v>
      </c>
      <c r="G1455" s="13" t="s">
        <v>51</v>
      </c>
      <c r="H1455" s="13" t="s">
        <v>78</v>
      </c>
      <c r="I1455" s="13" t="s">
        <v>53</v>
      </c>
      <c r="J1455" s="17">
        <v>21.9</v>
      </c>
      <c r="K1455" s="17"/>
      <c r="L1455" s="14" t="s">
        <v>323</v>
      </c>
      <c r="M1455" s="14"/>
      <c r="N1455" s="14" t="s">
        <v>85</v>
      </c>
      <c r="O1455" s="17" t="s">
        <v>86</v>
      </c>
      <c r="P1455" s="14"/>
      <c r="Q1455" s="14"/>
      <c r="R1455" s="14"/>
      <c r="S1455" s="14">
        <v>0</v>
      </c>
      <c r="T1455" s="14">
        <v>0</v>
      </c>
      <c r="U1455" s="19" t="str">
        <f t="shared" si="96"/>
        <v>N/A</v>
      </c>
      <c r="V1455" s="41" t="str">
        <f t="shared" si="99"/>
        <v>N/A</v>
      </c>
      <c r="W1455" s="14"/>
      <c r="X1455" s="14" t="s">
        <v>56</v>
      </c>
      <c r="Z1455" s="14" t="s">
        <v>56</v>
      </c>
      <c r="AA1455" s="14"/>
      <c r="AB1455" s="14" t="s">
        <v>57</v>
      </c>
      <c r="AC1455" s="14">
        <v>2014</v>
      </c>
      <c r="AD1455" s="14">
        <v>1</v>
      </c>
      <c r="AE1455" s="14"/>
      <c r="AF1455" s="14"/>
      <c r="AG1455" s="14">
        <v>2002</v>
      </c>
      <c r="AH1455" s="14">
        <f t="shared" si="97"/>
        <v>12</v>
      </c>
      <c r="AI1455" s="17">
        <f t="shared" si="98"/>
        <v>13</v>
      </c>
      <c r="AJ1455" s="14"/>
      <c r="AK1455" s="14" t="s">
        <v>56</v>
      </c>
      <c r="AL1455" s="13" t="s">
        <v>308</v>
      </c>
      <c r="AM1455" s="14">
        <v>2020</v>
      </c>
      <c r="AN1455" s="12" t="s">
        <v>309</v>
      </c>
      <c r="AO1455" s="12" t="s">
        <v>56</v>
      </c>
      <c r="AP1455" s="12"/>
      <c r="AQ1455" s="12" t="s">
        <v>56</v>
      </c>
      <c r="AR1455" s="12" t="s">
        <v>58</v>
      </c>
      <c r="AS1455" s="12" t="s">
        <v>62</v>
      </c>
      <c r="AT1455" s="12"/>
      <c r="AU1455" s="45"/>
      <c r="AV1455" s="15"/>
      <c r="AW1455" s="12" t="str">
        <f>B1455&amp;C1455&amp;L1455&amp;M1455&amp;O1455&amp;U1455&amp;AL1455&amp;AM1455</f>
        <v>MexicoBahías de HuatulcoEchinaster tenuispinadensityN/ARojas-Montiel2020</v>
      </c>
    </row>
    <row r="1456" spans="1:49" ht="14.5" x14ac:dyDescent="0.35">
      <c r="A1456" s="12">
        <v>1455</v>
      </c>
      <c r="B1456" s="12" t="s">
        <v>1527</v>
      </c>
      <c r="C1456" s="12" t="s">
        <v>1568</v>
      </c>
      <c r="D1456" s="12" t="s">
        <v>1568</v>
      </c>
      <c r="E1456" s="12" t="s">
        <v>68</v>
      </c>
      <c r="F1456" s="13" t="s">
        <v>50</v>
      </c>
      <c r="G1456" s="13" t="s">
        <v>51</v>
      </c>
      <c r="H1456" s="13" t="s">
        <v>481</v>
      </c>
      <c r="I1456" s="13" t="s">
        <v>53</v>
      </c>
      <c r="J1456" s="17">
        <v>24</v>
      </c>
      <c r="K1456" s="17"/>
      <c r="L1456" s="14" t="s">
        <v>1569</v>
      </c>
      <c r="M1456" s="14"/>
      <c r="N1456" s="14" t="s">
        <v>85</v>
      </c>
      <c r="O1456" s="17" t="s">
        <v>86</v>
      </c>
      <c r="P1456" s="14"/>
      <c r="Q1456" s="14"/>
      <c r="R1456" s="14"/>
      <c r="S1456" s="14">
        <v>69.36</v>
      </c>
      <c r="T1456" s="14">
        <v>45.36</v>
      </c>
      <c r="U1456" s="19">
        <f t="shared" si="96"/>
        <v>0.65397923875432529</v>
      </c>
      <c r="V1456" s="41">
        <f t="shared" si="99"/>
        <v>-34.602076124567475</v>
      </c>
      <c r="W1456" s="14"/>
      <c r="X1456" s="14" t="s">
        <v>56</v>
      </c>
      <c r="Z1456" s="14" t="s">
        <v>56</v>
      </c>
      <c r="AA1456" s="14"/>
      <c r="AB1456" s="14" t="s">
        <v>57</v>
      </c>
      <c r="AC1456" s="14">
        <v>2009</v>
      </c>
      <c r="AD1456" s="14">
        <v>1</v>
      </c>
      <c r="AE1456" s="14"/>
      <c r="AF1456" s="14"/>
      <c r="AG1456" s="14">
        <v>2004</v>
      </c>
      <c r="AH1456" s="14">
        <f t="shared" si="97"/>
        <v>5</v>
      </c>
      <c r="AI1456" s="17">
        <f t="shared" si="98"/>
        <v>6</v>
      </c>
      <c r="AJ1456" s="14"/>
      <c r="AK1456" s="14" t="s">
        <v>58</v>
      </c>
      <c r="AL1456" s="13" t="s">
        <v>1570</v>
      </c>
      <c r="AM1456" s="14">
        <v>2013</v>
      </c>
      <c r="AN1456" s="12" t="s">
        <v>232</v>
      </c>
      <c r="AO1456" s="12" t="s">
        <v>56</v>
      </c>
      <c r="AP1456" s="12"/>
      <c r="AQ1456" s="12" t="s">
        <v>56</v>
      </c>
      <c r="AR1456" s="12" t="s">
        <v>58</v>
      </c>
      <c r="AS1456" s="12" t="s">
        <v>62</v>
      </c>
      <c r="AT1456" s="12"/>
      <c r="AU1456" s="45" t="s">
        <v>1571</v>
      </c>
      <c r="AV1456" s="15"/>
      <c r="AW1456" s="12" t="str">
        <f>B1456&amp;C1456&amp;L1456&amp;M1456&amp;O1456&amp;U1456&amp;AL1456&amp;AM1456</f>
        <v>ItalyPlemmirio Marine Protected AreaApogon imberbisdensity0.653979238754325Pierpaolo2013</v>
      </c>
    </row>
    <row r="1457" spans="1:49" ht="14.5" x14ac:dyDescent="0.35">
      <c r="A1457" s="12">
        <v>1456</v>
      </c>
      <c r="B1457" s="15" t="s">
        <v>1527</v>
      </c>
      <c r="C1457" s="15" t="s">
        <v>1568</v>
      </c>
      <c r="D1457" s="15" t="s">
        <v>1568</v>
      </c>
      <c r="E1457" s="15" t="s">
        <v>68</v>
      </c>
      <c r="F1457" s="13" t="s">
        <v>50</v>
      </c>
      <c r="G1457" s="13" t="s">
        <v>51</v>
      </c>
      <c r="H1457" s="16" t="s">
        <v>481</v>
      </c>
      <c r="I1457" s="16" t="s">
        <v>53</v>
      </c>
      <c r="J1457" s="17">
        <v>24</v>
      </c>
      <c r="K1457" s="17"/>
      <c r="L1457" s="17" t="s">
        <v>1572</v>
      </c>
      <c r="M1457" s="17"/>
      <c r="N1457" s="17" t="s">
        <v>120</v>
      </c>
      <c r="O1457" s="17" t="s">
        <v>86</v>
      </c>
      <c r="P1457" s="17"/>
      <c r="Q1457" s="17"/>
      <c r="R1457" s="17"/>
      <c r="S1457" s="17">
        <v>0</v>
      </c>
      <c r="T1457" s="17">
        <v>930</v>
      </c>
      <c r="U1457" s="20" t="str">
        <f t="shared" si="96"/>
        <v>N/A</v>
      </c>
      <c r="V1457" s="41" t="str">
        <f t="shared" si="99"/>
        <v>N/A</v>
      </c>
      <c r="W1457" s="17"/>
      <c r="X1457" s="17" t="s">
        <v>56</v>
      </c>
      <c r="Z1457" s="17" t="s">
        <v>56</v>
      </c>
      <c r="AA1457" s="17"/>
      <c r="AB1457" s="17" t="s">
        <v>57</v>
      </c>
      <c r="AC1457" s="17">
        <v>2009</v>
      </c>
      <c r="AD1457" s="17">
        <v>1</v>
      </c>
      <c r="AE1457" s="17"/>
      <c r="AF1457" s="17"/>
      <c r="AG1457" s="17">
        <v>2004</v>
      </c>
      <c r="AH1457" s="14">
        <f t="shared" si="97"/>
        <v>5</v>
      </c>
      <c r="AI1457" s="17">
        <f t="shared" si="98"/>
        <v>6</v>
      </c>
      <c r="AJ1457" s="17"/>
      <c r="AK1457" s="17" t="s">
        <v>58</v>
      </c>
      <c r="AL1457" s="16" t="s">
        <v>1570</v>
      </c>
      <c r="AM1457" s="17">
        <v>2013</v>
      </c>
      <c r="AN1457" s="15" t="s">
        <v>232</v>
      </c>
      <c r="AO1457" s="15" t="s">
        <v>56</v>
      </c>
      <c r="AP1457" s="15"/>
      <c r="AQ1457" s="15" t="s">
        <v>56</v>
      </c>
      <c r="AR1457" s="15" t="s">
        <v>58</v>
      </c>
      <c r="AS1457" s="15" t="s">
        <v>62</v>
      </c>
      <c r="AT1457" s="15"/>
      <c r="AU1457" s="45" t="s">
        <v>1571</v>
      </c>
      <c r="AV1457" s="15"/>
      <c r="AW1457" s="12" t="str">
        <f>B1457&amp;C1457&amp;L1457&amp;M1457&amp;O1457&amp;U1457&amp;AL1457&amp;AM1457</f>
        <v>ItalyPlemmirio Marine Protected AreaSpicaradensityN/APierpaolo2013</v>
      </c>
    </row>
    <row r="1458" spans="1:49" ht="14.5" x14ac:dyDescent="0.35">
      <c r="A1458" s="12">
        <v>1457</v>
      </c>
      <c r="B1458" s="15" t="s">
        <v>1527</v>
      </c>
      <c r="C1458" s="15" t="s">
        <v>1568</v>
      </c>
      <c r="D1458" s="15" t="s">
        <v>1568</v>
      </c>
      <c r="E1458" s="15" t="s">
        <v>68</v>
      </c>
      <c r="F1458" s="13" t="s">
        <v>50</v>
      </c>
      <c r="G1458" s="13" t="s">
        <v>51</v>
      </c>
      <c r="H1458" s="16" t="s">
        <v>481</v>
      </c>
      <c r="I1458" s="16" t="s">
        <v>53</v>
      </c>
      <c r="J1458" s="17">
        <v>24</v>
      </c>
      <c r="K1458" s="17"/>
      <c r="L1458" s="17" t="s">
        <v>1573</v>
      </c>
      <c r="M1458" s="17"/>
      <c r="N1458" s="14" t="s">
        <v>85</v>
      </c>
      <c r="O1458" s="17" t="s">
        <v>86</v>
      </c>
      <c r="P1458" s="17"/>
      <c r="Q1458" s="17"/>
      <c r="R1458" s="17"/>
      <c r="S1458" s="17">
        <v>2</v>
      </c>
      <c r="T1458" s="17">
        <v>0</v>
      </c>
      <c r="U1458" s="20">
        <f t="shared" si="96"/>
        <v>0</v>
      </c>
      <c r="V1458" s="41">
        <f t="shared" si="99"/>
        <v>-100</v>
      </c>
      <c r="W1458" s="17"/>
      <c r="X1458" s="17" t="s">
        <v>56</v>
      </c>
      <c r="Z1458" s="17" t="s">
        <v>56</v>
      </c>
      <c r="AA1458" s="17"/>
      <c r="AB1458" s="17" t="s">
        <v>57</v>
      </c>
      <c r="AC1458" s="17">
        <v>2009</v>
      </c>
      <c r="AD1458" s="17">
        <v>1</v>
      </c>
      <c r="AE1458" s="17"/>
      <c r="AF1458" s="17"/>
      <c r="AG1458" s="17">
        <v>2004</v>
      </c>
      <c r="AH1458" s="14">
        <f t="shared" si="97"/>
        <v>5</v>
      </c>
      <c r="AI1458" s="17">
        <f t="shared" si="98"/>
        <v>6</v>
      </c>
      <c r="AJ1458" s="17"/>
      <c r="AK1458" s="17" t="s">
        <v>58</v>
      </c>
      <c r="AL1458" s="16" t="s">
        <v>1570</v>
      </c>
      <c r="AM1458" s="17">
        <v>2013</v>
      </c>
      <c r="AN1458" s="15" t="s">
        <v>232</v>
      </c>
      <c r="AO1458" s="15" t="s">
        <v>56</v>
      </c>
      <c r="AP1458" s="15"/>
      <c r="AQ1458" s="15" t="s">
        <v>56</v>
      </c>
      <c r="AR1458" s="15" t="s">
        <v>58</v>
      </c>
      <c r="AS1458" s="15" t="s">
        <v>62</v>
      </c>
      <c r="AT1458" s="15"/>
      <c r="AU1458" s="45" t="s">
        <v>1571</v>
      </c>
      <c r="AV1458" s="15"/>
      <c r="AW1458" s="12" t="str">
        <f>B1458&amp;C1458&amp;L1458&amp;M1458&amp;O1458&amp;U1458&amp;AL1458&amp;AM1458</f>
        <v>ItalyPlemmirio Marine Protected AreaGobius bucchichidensity0Pierpaolo2013</v>
      </c>
    </row>
    <row r="1459" spans="1:49" ht="14.5" x14ac:dyDescent="0.35">
      <c r="A1459" s="12">
        <v>1458</v>
      </c>
      <c r="B1459" s="15" t="s">
        <v>1527</v>
      </c>
      <c r="C1459" s="15" t="s">
        <v>1568</v>
      </c>
      <c r="D1459" s="15" t="s">
        <v>1568</v>
      </c>
      <c r="E1459" s="15" t="s">
        <v>68</v>
      </c>
      <c r="F1459" s="13" t="s">
        <v>50</v>
      </c>
      <c r="G1459" s="13" t="s">
        <v>51</v>
      </c>
      <c r="H1459" s="16" t="s">
        <v>481</v>
      </c>
      <c r="I1459" s="16" t="s">
        <v>53</v>
      </c>
      <c r="J1459" s="17">
        <v>24</v>
      </c>
      <c r="K1459" s="17"/>
      <c r="L1459" s="17" t="s">
        <v>1574</v>
      </c>
      <c r="M1459" s="17"/>
      <c r="N1459" s="14" t="s">
        <v>85</v>
      </c>
      <c r="O1459" s="17" t="s">
        <v>86</v>
      </c>
      <c r="P1459" s="17"/>
      <c r="Q1459" s="17"/>
      <c r="R1459" s="17"/>
      <c r="S1459" s="17">
        <v>0.32</v>
      </c>
      <c r="T1459" s="17">
        <v>0</v>
      </c>
      <c r="U1459" s="20">
        <f t="shared" si="96"/>
        <v>0</v>
      </c>
      <c r="V1459" s="41">
        <f t="shared" si="99"/>
        <v>-100</v>
      </c>
      <c r="W1459" s="17"/>
      <c r="X1459" s="17" t="s">
        <v>56</v>
      </c>
      <c r="Z1459" s="17" t="s">
        <v>56</v>
      </c>
      <c r="AA1459" s="17"/>
      <c r="AB1459" s="17" t="s">
        <v>57</v>
      </c>
      <c r="AC1459" s="17">
        <v>2009</v>
      </c>
      <c r="AD1459" s="17">
        <v>1</v>
      </c>
      <c r="AE1459" s="17"/>
      <c r="AF1459" s="17"/>
      <c r="AG1459" s="17">
        <v>2004</v>
      </c>
      <c r="AH1459" s="14">
        <f t="shared" si="97"/>
        <v>5</v>
      </c>
      <c r="AI1459" s="17">
        <f t="shared" si="98"/>
        <v>6</v>
      </c>
      <c r="AJ1459" s="17"/>
      <c r="AK1459" s="17" t="s">
        <v>58</v>
      </c>
      <c r="AL1459" s="16" t="s">
        <v>1570</v>
      </c>
      <c r="AM1459" s="17">
        <v>2013</v>
      </c>
      <c r="AN1459" s="15" t="s">
        <v>232</v>
      </c>
      <c r="AO1459" s="15" t="s">
        <v>56</v>
      </c>
      <c r="AP1459" s="15"/>
      <c r="AQ1459" s="15" t="s">
        <v>56</v>
      </c>
      <c r="AR1459" s="15" t="s">
        <v>58</v>
      </c>
      <c r="AS1459" s="15" t="s">
        <v>62</v>
      </c>
      <c r="AT1459" s="15"/>
      <c r="AU1459" s="45" t="s">
        <v>1571</v>
      </c>
      <c r="AV1459" s="15"/>
      <c r="AW1459" s="12" t="str">
        <f>B1459&amp;C1459&amp;L1459&amp;M1459&amp;O1459&amp;U1459&amp;AL1459&amp;AM1459</f>
        <v>ItalyPlemmirio Marine Protected AreaGobius cruentatusdensity0Pierpaolo2013</v>
      </c>
    </row>
    <row r="1460" spans="1:49" ht="14.5" x14ac:dyDescent="0.35">
      <c r="A1460" s="12">
        <v>1459</v>
      </c>
      <c r="B1460" s="15" t="s">
        <v>1527</v>
      </c>
      <c r="C1460" s="15" t="s">
        <v>1568</v>
      </c>
      <c r="D1460" s="15" t="s">
        <v>1568</v>
      </c>
      <c r="E1460" s="15" t="s">
        <v>68</v>
      </c>
      <c r="F1460" s="13" t="s">
        <v>50</v>
      </c>
      <c r="G1460" s="13" t="s">
        <v>51</v>
      </c>
      <c r="H1460" s="16" t="s">
        <v>481</v>
      </c>
      <c r="I1460" s="16" t="s">
        <v>53</v>
      </c>
      <c r="J1460" s="17">
        <v>24</v>
      </c>
      <c r="K1460" s="17"/>
      <c r="L1460" s="17" t="s">
        <v>1575</v>
      </c>
      <c r="M1460" s="17"/>
      <c r="N1460" s="14" t="s">
        <v>85</v>
      </c>
      <c r="O1460" s="17" t="s">
        <v>86</v>
      </c>
      <c r="P1460" s="17"/>
      <c r="Q1460" s="17"/>
      <c r="R1460" s="17"/>
      <c r="S1460" s="17">
        <v>1.04</v>
      </c>
      <c r="T1460" s="17">
        <v>0</v>
      </c>
      <c r="U1460" s="20">
        <f t="shared" si="96"/>
        <v>0</v>
      </c>
      <c r="V1460" s="41">
        <f t="shared" si="99"/>
        <v>-100</v>
      </c>
      <c r="W1460" s="17"/>
      <c r="X1460" s="17" t="s">
        <v>56</v>
      </c>
      <c r="Z1460" s="17" t="s">
        <v>56</v>
      </c>
      <c r="AA1460" s="17"/>
      <c r="AB1460" s="17" t="s">
        <v>57</v>
      </c>
      <c r="AC1460" s="17">
        <v>2009</v>
      </c>
      <c r="AD1460" s="17">
        <v>1</v>
      </c>
      <c r="AE1460" s="17"/>
      <c r="AF1460" s="17"/>
      <c r="AG1460" s="17">
        <v>2004</v>
      </c>
      <c r="AH1460" s="14">
        <f t="shared" si="97"/>
        <v>5</v>
      </c>
      <c r="AI1460" s="17">
        <f t="shared" si="98"/>
        <v>6</v>
      </c>
      <c r="AJ1460" s="17"/>
      <c r="AK1460" s="17" t="s">
        <v>58</v>
      </c>
      <c r="AL1460" s="16" t="s">
        <v>1570</v>
      </c>
      <c r="AM1460" s="17">
        <v>2013</v>
      </c>
      <c r="AN1460" s="15" t="s">
        <v>232</v>
      </c>
      <c r="AO1460" s="15" t="s">
        <v>56</v>
      </c>
      <c r="AP1460" s="15"/>
      <c r="AQ1460" s="15" t="s">
        <v>56</v>
      </c>
      <c r="AR1460" s="15" t="s">
        <v>58</v>
      </c>
      <c r="AS1460" s="15" t="s">
        <v>62</v>
      </c>
      <c r="AT1460" s="15"/>
      <c r="AU1460" s="45" t="s">
        <v>1571</v>
      </c>
      <c r="AV1460" s="15"/>
      <c r="AW1460" s="12" t="str">
        <f>B1460&amp;C1460&amp;L1460&amp;M1460&amp;O1460&amp;U1460&amp;AL1460&amp;AM1460</f>
        <v>ItalyPlemmirio Marine Protected AreaGobius geniporusdensity0Pierpaolo2013</v>
      </c>
    </row>
    <row r="1461" spans="1:49" ht="14.5" x14ac:dyDescent="0.35">
      <c r="A1461" s="12">
        <v>1460</v>
      </c>
      <c r="B1461" s="15" t="s">
        <v>1527</v>
      </c>
      <c r="C1461" s="15" t="s">
        <v>1568</v>
      </c>
      <c r="D1461" s="15" t="s">
        <v>1568</v>
      </c>
      <c r="E1461" s="15" t="s">
        <v>68</v>
      </c>
      <c r="F1461" s="13" t="s">
        <v>50</v>
      </c>
      <c r="G1461" s="13" t="s">
        <v>51</v>
      </c>
      <c r="H1461" s="16" t="s">
        <v>481</v>
      </c>
      <c r="I1461" s="16" t="s">
        <v>53</v>
      </c>
      <c r="J1461" s="17">
        <v>24</v>
      </c>
      <c r="K1461" s="17"/>
      <c r="L1461" s="17" t="s">
        <v>1576</v>
      </c>
      <c r="M1461" s="17"/>
      <c r="N1461" s="14" t="s">
        <v>85</v>
      </c>
      <c r="O1461" s="17" t="s">
        <v>86</v>
      </c>
      <c r="P1461" s="17"/>
      <c r="Q1461" s="17"/>
      <c r="R1461" s="17"/>
      <c r="S1461" s="17">
        <v>1.68</v>
      </c>
      <c r="T1461" s="17">
        <v>0</v>
      </c>
      <c r="U1461" s="20">
        <f t="shared" si="96"/>
        <v>0</v>
      </c>
      <c r="V1461" s="41">
        <f t="shared" si="99"/>
        <v>-100</v>
      </c>
      <c r="W1461" s="17"/>
      <c r="X1461" s="17" t="s">
        <v>56</v>
      </c>
      <c r="Z1461" s="17" t="s">
        <v>56</v>
      </c>
      <c r="AA1461" s="17"/>
      <c r="AB1461" s="17" t="s">
        <v>57</v>
      </c>
      <c r="AC1461" s="17">
        <v>2009</v>
      </c>
      <c r="AD1461" s="17">
        <v>1</v>
      </c>
      <c r="AE1461" s="17"/>
      <c r="AF1461" s="17"/>
      <c r="AG1461" s="17">
        <v>2004</v>
      </c>
      <c r="AH1461" s="14">
        <f t="shared" si="97"/>
        <v>5</v>
      </c>
      <c r="AI1461" s="17">
        <f t="shared" si="98"/>
        <v>6</v>
      </c>
      <c r="AJ1461" s="17"/>
      <c r="AK1461" s="17" t="s">
        <v>58</v>
      </c>
      <c r="AL1461" s="16" t="s">
        <v>1570</v>
      </c>
      <c r="AM1461" s="17">
        <v>2013</v>
      </c>
      <c r="AN1461" s="15" t="s">
        <v>232</v>
      </c>
      <c r="AO1461" s="15" t="s">
        <v>56</v>
      </c>
      <c r="AP1461" s="15"/>
      <c r="AQ1461" s="15" t="s">
        <v>56</v>
      </c>
      <c r="AR1461" s="15" t="s">
        <v>58</v>
      </c>
      <c r="AS1461" s="15" t="s">
        <v>62</v>
      </c>
      <c r="AT1461" s="15"/>
      <c r="AU1461" s="45" t="s">
        <v>1571</v>
      </c>
      <c r="AV1461" s="15"/>
      <c r="AW1461" s="12" t="str">
        <f>B1461&amp;C1461&amp;L1461&amp;M1461&amp;O1461&amp;U1461&amp;AL1461&amp;AM1461</f>
        <v>ItalyPlemmirio Marine Protected AreaGobius vittatusdensity0Pierpaolo2013</v>
      </c>
    </row>
    <row r="1462" spans="1:49" ht="14.5" x14ac:dyDescent="0.35">
      <c r="A1462" s="12">
        <v>1461</v>
      </c>
      <c r="B1462" s="15" t="s">
        <v>1527</v>
      </c>
      <c r="C1462" s="15" t="s">
        <v>1568</v>
      </c>
      <c r="D1462" s="15" t="s">
        <v>1568</v>
      </c>
      <c r="E1462" s="15" t="s">
        <v>68</v>
      </c>
      <c r="F1462" s="13" t="s">
        <v>50</v>
      </c>
      <c r="G1462" s="13" t="s">
        <v>51</v>
      </c>
      <c r="H1462" s="16" t="s">
        <v>481</v>
      </c>
      <c r="I1462" s="16" t="s">
        <v>53</v>
      </c>
      <c r="J1462" s="17">
        <v>24</v>
      </c>
      <c r="K1462" s="17"/>
      <c r="L1462" s="17" t="s">
        <v>1577</v>
      </c>
      <c r="M1462" s="17"/>
      <c r="N1462" s="14" t="s">
        <v>85</v>
      </c>
      <c r="O1462" s="17" t="s">
        <v>86</v>
      </c>
      <c r="P1462" s="17"/>
      <c r="Q1462" s="17"/>
      <c r="R1462" s="17"/>
      <c r="S1462" s="17">
        <v>213.36</v>
      </c>
      <c r="T1462" s="17">
        <v>448.64</v>
      </c>
      <c r="U1462" s="20">
        <f t="shared" si="96"/>
        <v>2.1027371578552678</v>
      </c>
      <c r="V1462" s="41">
        <f t="shared" si="99"/>
        <v>110.27371578552678</v>
      </c>
      <c r="W1462" s="17"/>
      <c r="X1462" s="17" t="s">
        <v>56</v>
      </c>
      <c r="Z1462" s="17" t="s">
        <v>56</v>
      </c>
      <c r="AA1462" s="17"/>
      <c r="AB1462" s="17" t="s">
        <v>57</v>
      </c>
      <c r="AC1462" s="17">
        <v>2009</v>
      </c>
      <c r="AD1462" s="17">
        <v>1</v>
      </c>
      <c r="AE1462" s="17"/>
      <c r="AF1462" s="17"/>
      <c r="AG1462" s="17">
        <v>2004</v>
      </c>
      <c r="AH1462" s="14">
        <f t="shared" si="97"/>
        <v>5</v>
      </c>
      <c r="AI1462" s="17">
        <f t="shared" si="98"/>
        <v>6</v>
      </c>
      <c r="AJ1462" s="17"/>
      <c r="AK1462" s="17" t="s">
        <v>58</v>
      </c>
      <c r="AL1462" s="16" t="s">
        <v>1570</v>
      </c>
      <c r="AM1462" s="17">
        <v>2013</v>
      </c>
      <c r="AN1462" s="15" t="s">
        <v>232</v>
      </c>
      <c r="AO1462" s="15" t="s">
        <v>56</v>
      </c>
      <c r="AP1462" s="15"/>
      <c r="AQ1462" s="15" t="s">
        <v>56</v>
      </c>
      <c r="AR1462" s="15" t="s">
        <v>58</v>
      </c>
      <c r="AS1462" s="15" t="s">
        <v>62</v>
      </c>
      <c r="AT1462" s="15"/>
      <c r="AU1462" s="45" t="s">
        <v>1571</v>
      </c>
      <c r="AV1462" s="15"/>
      <c r="AW1462" s="12" t="str">
        <f>B1462&amp;C1462&amp;L1462&amp;M1462&amp;O1462&amp;U1462&amp;AL1462&amp;AM1462</f>
        <v>ItalyPlemmirio Marine Protected AreaCoris julisdensity2.10273715785527Pierpaolo2013</v>
      </c>
    </row>
    <row r="1463" spans="1:49" ht="14.5" x14ac:dyDescent="0.35">
      <c r="A1463" s="12">
        <v>1462</v>
      </c>
      <c r="B1463" s="15" t="s">
        <v>1527</v>
      </c>
      <c r="C1463" s="15" t="s">
        <v>1568</v>
      </c>
      <c r="D1463" s="15" t="s">
        <v>1568</v>
      </c>
      <c r="E1463" s="15" t="s">
        <v>68</v>
      </c>
      <c r="F1463" s="13" t="s">
        <v>50</v>
      </c>
      <c r="G1463" s="13" t="s">
        <v>51</v>
      </c>
      <c r="H1463" s="16" t="s">
        <v>481</v>
      </c>
      <c r="I1463" s="16" t="s">
        <v>53</v>
      </c>
      <c r="J1463" s="17">
        <v>24</v>
      </c>
      <c r="K1463" s="17"/>
      <c r="L1463" s="17" t="s">
        <v>1578</v>
      </c>
      <c r="M1463" s="17"/>
      <c r="N1463" s="14" t="s">
        <v>85</v>
      </c>
      <c r="O1463" s="17" t="s">
        <v>86</v>
      </c>
      <c r="P1463" s="17"/>
      <c r="Q1463" s="17"/>
      <c r="R1463" s="17"/>
      <c r="S1463" s="17">
        <v>0.64</v>
      </c>
      <c r="T1463" s="17">
        <v>0</v>
      </c>
      <c r="U1463" s="20">
        <f t="shared" si="96"/>
        <v>0</v>
      </c>
      <c r="V1463" s="41">
        <f t="shared" si="99"/>
        <v>-100</v>
      </c>
      <c r="W1463" s="17"/>
      <c r="X1463" s="17" t="s">
        <v>56</v>
      </c>
      <c r="Z1463" s="17" t="s">
        <v>56</v>
      </c>
      <c r="AA1463" s="17"/>
      <c r="AB1463" s="17" t="s">
        <v>57</v>
      </c>
      <c r="AC1463" s="17">
        <v>2009</v>
      </c>
      <c r="AD1463" s="17">
        <v>1</v>
      </c>
      <c r="AE1463" s="17"/>
      <c r="AF1463" s="17"/>
      <c r="AG1463" s="17">
        <v>2004</v>
      </c>
      <c r="AH1463" s="14">
        <f t="shared" si="97"/>
        <v>5</v>
      </c>
      <c r="AI1463" s="17">
        <f t="shared" si="98"/>
        <v>6</v>
      </c>
      <c r="AJ1463" s="17"/>
      <c r="AK1463" s="17" t="s">
        <v>58</v>
      </c>
      <c r="AL1463" s="16" t="s">
        <v>1570</v>
      </c>
      <c r="AM1463" s="17">
        <v>2013</v>
      </c>
      <c r="AN1463" s="15" t="s">
        <v>232</v>
      </c>
      <c r="AO1463" s="15" t="s">
        <v>56</v>
      </c>
      <c r="AP1463" s="15"/>
      <c r="AQ1463" s="15" t="s">
        <v>56</v>
      </c>
      <c r="AR1463" s="15" t="s">
        <v>58</v>
      </c>
      <c r="AS1463" s="15" t="s">
        <v>62</v>
      </c>
      <c r="AT1463" s="15"/>
      <c r="AU1463" s="45" t="s">
        <v>1571</v>
      </c>
      <c r="AV1463" s="15"/>
      <c r="AW1463" s="12" t="str">
        <f>B1463&amp;C1463&amp;L1463&amp;M1463&amp;O1463&amp;U1463&amp;AL1463&amp;AM1463</f>
        <v>ItalyPlemmirio Marine Protected AreaLabrus viridisdensity0Pierpaolo2013</v>
      </c>
    </row>
    <row r="1464" spans="1:49" ht="14.5" x14ac:dyDescent="0.35">
      <c r="A1464" s="12">
        <v>1463</v>
      </c>
      <c r="B1464" s="15" t="s">
        <v>1527</v>
      </c>
      <c r="C1464" s="15" t="s">
        <v>1568</v>
      </c>
      <c r="D1464" s="15" t="s">
        <v>1568</v>
      </c>
      <c r="E1464" s="15" t="s">
        <v>68</v>
      </c>
      <c r="F1464" s="13" t="s">
        <v>50</v>
      </c>
      <c r="G1464" s="13" t="s">
        <v>51</v>
      </c>
      <c r="H1464" s="16" t="s">
        <v>481</v>
      </c>
      <c r="I1464" s="16" t="s">
        <v>53</v>
      </c>
      <c r="J1464" s="17">
        <v>24</v>
      </c>
      <c r="K1464" s="17"/>
      <c r="L1464" s="17" t="s">
        <v>1579</v>
      </c>
      <c r="M1464" s="17"/>
      <c r="N1464" s="14" t="s">
        <v>85</v>
      </c>
      <c r="O1464" s="17" t="s">
        <v>86</v>
      </c>
      <c r="P1464" s="17"/>
      <c r="Q1464" s="17"/>
      <c r="R1464" s="17"/>
      <c r="S1464" s="17">
        <v>6</v>
      </c>
      <c r="T1464" s="17">
        <v>8</v>
      </c>
      <c r="U1464" s="20">
        <f t="shared" si="96"/>
        <v>1.3333333333333333</v>
      </c>
      <c r="V1464" s="41">
        <f t="shared" si="99"/>
        <v>33.333333333333329</v>
      </c>
      <c r="W1464" s="17"/>
      <c r="X1464" s="17" t="s">
        <v>56</v>
      </c>
      <c r="Z1464" s="17" t="s">
        <v>56</v>
      </c>
      <c r="AA1464" s="17"/>
      <c r="AB1464" s="17" t="s">
        <v>57</v>
      </c>
      <c r="AC1464" s="17">
        <v>2009</v>
      </c>
      <c r="AD1464" s="17">
        <v>1</v>
      </c>
      <c r="AE1464" s="17"/>
      <c r="AF1464" s="17"/>
      <c r="AG1464" s="17">
        <v>2004</v>
      </c>
      <c r="AH1464" s="14">
        <f t="shared" si="97"/>
        <v>5</v>
      </c>
      <c r="AI1464" s="17">
        <f t="shared" si="98"/>
        <v>6</v>
      </c>
      <c r="AJ1464" s="17"/>
      <c r="AK1464" s="17" t="s">
        <v>58</v>
      </c>
      <c r="AL1464" s="16" t="s">
        <v>1570</v>
      </c>
      <c r="AM1464" s="17">
        <v>2013</v>
      </c>
      <c r="AN1464" s="15" t="s">
        <v>232</v>
      </c>
      <c r="AO1464" s="15" t="s">
        <v>56</v>
      </c>
      <c r="AP1464" s="15"/>
      <c r="AQ1464" s="15" t="s">
        <v>56</v>
      </c>
      <c r="AR1464" s="15" t="s">
        <v>58</v>
      </c>
      <c r="AS1464" s="15" t="s">
        <v>62</v>
      </c>
      <c r="AT1464" s="15"/>
      <c r="AU1464" s="45" t="s">
        <v>1571</v>
      </c>
      <c r="AV1464" s="15"/>
      <c r="AW1464" s="12" t="str">
        <f>B1464&amp;C1464&amp;L1464&amp;M1464&amp;O1464&amp;U1464&amp;AL1464&amp;AM1464</f>
        <v>ItalyPlemmirio Marine Protected AreaSymphodus doderleinidensity1.33333333333333Pierpaolo2013</v>
      </c>
    </row>
    <row r="1465" spans="1:49" ht="14.5" x14ac:dyDescent="0.35">
      <c r="A1465" s="12">
        <v>1464</v>
      </c>
      <c r="B1465" s="15" t="s">
        <v>1527</v>
      </c>
      <c r="C1465" s="15" t="s">
        <v>1568</v>
      </c>
      <c r="D1465" s="15" t="s">
        <v>1568</v>
      </c>
      <c r="E1465" s="15" t="s">
        <v>68</v>
      </c>
      <c r="F1465" s="13" t="s">
        <v>50</v>
      </c>
      <c r="G1465" s="13" t="s">
        <v>51</v>
      </c>
      <c r="H1465" s="16" t="s">
        <v>481</v>
      </c>
      <c r="I1465" s="16" t="s">
        <v>53</v>
      </c>
      <c r="J1465" s="17">
        <v>24</v>
      </c>
      <c r="K1465" s="17"/>
      <c r="L1465" s="17" t="s">
        <v>1580</v>
      </c>
      <c r="M1465" s="17"/>
      <c r="N1465" s="14" t="s">
        <v>85</v>
      </c>
      <c r="O1465" s="17" t="s">
        <v>86</v>
      </c>
      <c r="P1465" s="17"/>
      <c r="Q1465" s="17"/>
      <c r="R1465" s="17"/>
      <c r="S1465" s="17">
        <v>7.36</v>
      </c>
      <c r="T1465" s="17">
        <v>7.36</v>
      </c>
      <c r="U1465" s="20">
        <f t="shared" si="96"/>
        <v>1</v>
      </c>
      <c r="V1465" s="41">
        <f t="shared" si="99"/>
        <v>0</v>
      </c>
      <c r="W1465" s="17"/>
      <c r="X1465" s="17" t="s">
        <v>56</v>
      </c>
      <c r="Z1465" s="17" t="s">
        <v>56</v>
      </c>
      <c r="AA1465" s="17"/>
      <c r="AB1465" s="17" t="s">
        <v>57</v>
      </c>
      <c r="AC1465" s="17">
        <v>2009</v>
      </c>
      <c r="AD1465" s="17">
        <v>1</v>
      </c>
      <c r="AE1465" s="17"/>
      <c r="AF1465" s="17"/>
      <c r="AG1465" s="17">
        <v>2004</v>
      </c>
      <c r="AH1465" s="14">
        <f t="shared" si="97"/>
        <v>5</v>
      </c>
      <c r="AI1465" s="17">
        <f t="shared" si="98"/>
        <v>6</v>
      </c>
      <c r="AJ1465" s="17"/>
      <c r="AK1465" s="17" t="s">
        <v>58</v>
      </c>
      <c r="AL1465" s="16" t="s">
        <v>1570</v>
      </c>
      <c r="AM1465" s="17">
        <v>2013</v>
      </c>
      <c r="AN1465" s="15" t="s">
        <v>232</v>
      </c>
      <c r="AO1465" s="15" t="s">
        <v>56</v>
      </c>
      <c r="AP1465" s="15"/>
      <c r="AQ1465" s="15" t="s">
        <v>56</v>
      </c>
      <c r="AR1465" s="15" t="s">
        <v>58</v>
      </c>
      <c r="AS1465" s="15" t="s">
        <v>62</v>
      </c>
      <c r="AT1465" s="15"/>
      <c r="AU1465" s="45" t="s">
        <v>1571</v>
      </c>
      <c r="AV1465" s="15"/>
      <c r="AW1465" s="12" t="str">
        <f>B1465&amp;C1465&amp;L1465&amp;M1465&amp;O1465&amp;U1465&amp;AL1465&amp;AM1465</f>
        <v>ItalyPlemmirio Marine Protected AreaSymphodus mediterraneusdensity1Pierpaolo2013</v>
      </c>
    </row>
    <row r="1466" spans="1:49" ht="14.5" x14ac:dyDescent="0.35">
      <c r="A1466" s="12">
        <v>1465</v>
      </c>
      <c r="B1466" s="15" t="s">
        <v>1527</v>
      </c>
      <c r="C1466" s="15" t="s">
        <v>1568</v>
      </c>
      <c r="D1466" s="15" t="s">
        <v>1568</v>
      </c>
      <c r="E1466" s="15" t="s">
        <v>68</v>
      </c>
      <c r="F1466" s="13" t="s">
        <v>50</v>
      </c>
      <c r="G1466" s="13" t="s">
        <v>51</v>
      </c>
      <c r="H1466" s="16" t="s">
        <v>481</v>
      </c>
      <c r="I1466" s="16" t="s">
        <v>53</v>
      </c>
      <c r="J1466" s="17">
        <v>24</v>
      </c>
      <c r="K1466" s="17"/>
      <c r="L1466" s="17" t="s">
        <v>1581</v>
      </c>
      <c r="M1466" s="17"/>
      <c r="N1466" s="14" t="s">
        <v>85</v>
      </c>
      <c r="O1466" s="17" t="s">
        <v>86</v>
      </c>
      <c r="P1466" s="17"/>
      <c r="Q1466" s="17"/>
      <c r="R1466" s="17"/>
      <c r="S1466" s="17">
        <v>0</v>
      </c>
      <c r="T1466" s="17">
        <v>1.36</v>
      </c>
      <c r="U1466" s="20" t="str">
        <f t="shared" si="96"/>
        <v>N/A</v>
      </c>
      <c r="V1466" s="41" t="str">
        <f t="shared" si="99"/>
        <v>N/A</v>
      </c>
      <c r="W1466" s="17"/>
      <c r="X1466" s="17" t="s">
        <v>56</v>
      </c>
      <c r="Z1466" s="17" t="s">
        <v>56</v>
      </c>
      <c r="AA1466" s="17"/>
      <c r="AB1466" s="17" t="s">
        <v>57</v>
      </c>
      <c r="AC1466" s="17">
        <v>2009</v>
      </c>
      <c r="AD1466" s="17">
        <v>1</v>
      </c>
      <c r="AE1466" s="17"/>
      <c r="AF1466" s="17"/>
      <c r="AG1466" s="17">
        <v>2004</v>
      </c>
      <c r="AH1466" s="14">
        <f t="shared" si="97"/>
        <v>5</v>
      </c>
      <c r="AI1466" s="17">
        <f t="shared" si="98"/>
        <v>6</v>
      </c>
      <c r="AJ1466" s="17"/>
      <c r="AK1466" s="17" t="s">
        <v>58</v>
      </c>
      <c r="AL1466" s="16" t="s">
        <v>1570</v>
      </c>
      <c r="AM1466" s="17">
        <v>2013</v>
      </c>
      <c r="AN1466" s="15" t="s">
        <v>232</v>
      </c>
      <c r="AO1466" s="15" t="s">
        <v>56</v>
      </c>
      <c r="AP1466" s="15"/>
      <c r="AQ1466" s="15" t="s">
        <v>56</v>
      </c>
      <c r="AR1466" s="15" t="s">
        <v>58</v>
      </c>
      <c r="AS1466" s="15" t="s">
        <v>62</v>
      </c>
      <c r="AT1466" s="15"/>
      <c r="AU1466" s="45" t="s">
        <v>1571</v>
      </c>
      <c r="AV1466" s="15"/>
      <c r="AW1466" s="12" t="str">
        <f>B1466&amp;C1466&amp;L1466&amp;M1466&amp;O1466&amp;U1466&amp;AL1466&amp;AM1466</f>
        <v>ItalyPlemmirio Marine Protected AreaSymphodus melanocercusdensityN/APierpaolo2013</v>
      </c>
    </row>
    <row r="1467" spans="1:49" ht="14.5" x14ac:dyDescent="0.35">
      <c r="A1467" s="12">
        <v>1466</v>
      </c>
      <c r="B1467" s="15" t="s">
        <v>1527</v>
      </c>
      <c r="C1467" s="15" t="s">
        <v>1568</v>
      </c>
      <c r="D1467" s="15" t="s">
        <v>1568</v>
      </c>
      <c r="E1467" s="15" t="s">
        <v>68</v>
      </c>
      <c r="F1467" s="13" t="s">
        <v>50</v>
      </c>
      <c r="G1467" s="13" t="s">
        <v>51</v>
      </c>
      <c r="H1467" s="16" t="s">
        <v>481</v>
      </c>
      <c r="I1467" s="16" t="s">
        <v>53</v>
      </c>
      <c r="J1467" s="17">
        <v>24</v>
      </c>
      <c r="K1467" s="17"/>
      <c r="L1467" s="17" t="s">
        <v>1582</v>
      </c>
      <c r="M1467" s="17"/>
      <c r="N1467" s="14" t="s">
        <v>85</v>
      </c>
      <c r="O1467" s="17" t="s">
        <v>86</v>
      </c>
      <c r="P1467" s="17"/>
      <c r="Q1467" s="17"/>
      <c r="R1467" s="17"/>
      <c r="S1467" s="17">
        <v>8</v>
      </c>
      <c r="T1467" s="17">
        <v>16</v>
      </c>
      <c r="U1467" s="20">
        <f t="shared" si="96"/>
        <v>2</v>
      </c>
      <c r="V1467" s="41">
        <f t="shared" si="99"/>
        <v>100</v>
      </c>
      <c r="W1467" s="17"/>
      <c r="X1467" s="17" t="s">
        <v>56</v>
      </c>
      <c r="Z1467" s="17" t="s">
        <v>56</v>
      </c>
      <c r="AA1467" s="17"/>
      <c r="AB1467" s="17" t="s">
        <v>57</v>
      </c>
      <c r="AC1467" s="17">
        <v>2009</v>
      </c>
      <c r="AD1467" s="17">
        <v>1</v>
      </c>
      <c r="AE1467" s="17"/>
      <c r="AF1467" s="17"/>
      <c r="AG1467" s="17">
        <v>2004</v>
      </c>
      <c r="AH1467" s="14">
        <f t="shared" si="97"/>
        <v>5</v>
      </c>
      <c r="AI1467" s="17">
        <f t="shared" si="98"/>
        <v>6</v>
      </c>
      <c r="AJ1467" s="17"/>
      <c r="AK1467" s="17" t="s">
        <v>58</v>
      </c>
      <c r="AL1467" s="16" t="s">
        <v>1570</v>
      </c>
      <c r="AM1467" s="17">
        <v>2013</v>
      </c>
      <c r="AN1467" s="15" t="s">
        <v>232</v>
      </c>
      <c r="AO1467" s="15" t="s">
        <v>56</v>
      </c>
      <c r="AP1467" s="15"/>
      <c r="AQ1467" s="15" t="s">
        <v>56</v>
      </c>
      <c r="AR1467" s="15" t="s">
        <v>58</v>
      </c>
      <c r="AS1467" s="15" t="s">
        <v>62</v>
      </c>
      <c r="AT1467" s="15"/>
      <c r="AU1467" s="45" t="s">
        <v>1571</v>
      </c>
      <c r="AV1467" s="15"/>
      <c r="AW1467" s="12" t="str">
        <f>B1467&amp;C1467&amp;L1467&amp;M1467&amp;O1467&amp;U1467&amp;AL1467&amp;AM1467</f>
        <v>ItalyPlemmirio Marine Protected AreaSymphodus ocellatusdensity2Pierpaolo2013</v>
      </c>
    </row>
    <row r="1468" spans="1:49" ht="14.5" x14ac:dyDescent="0.35">
      <c r="A1468" s="12">
        <v>1467</v>
      </c>
      <c r="B1468" s="15" t="s">
        <v>1527</v>
      </c>
      <c r="C1468" s="15" t="s">
        <v>1568</v>
      </c>
      <c r="D1468" s="15" t="s">
        <v>1568</v>
      </c>
      <c r="E1468" s="15" t="s">
        <v>68</v>
      </c>
      <c r="F1468" s="13" t="s">
        <v>50</v>
      </c>
      <c r="G1468" s="13" t="s">
        <v>51</v>
      </c>
      <c r="H1468" s="16" t="s">
        <v>481</v>
      </c>
      <c r="I1468" s="16" t="s">
        <v>53</v>
      </c>
      <c r="J1468" s="17">
        <v>24</v>
      </c>
      <c r="K1468" s="17"/>
      <c r="L1468" s="17" t="s">
        <v>1583</v>
      </c>
      <c r="M1468" s="17"/>
      <c r="N1468" s="14" t="s">
        <v>85</v>
      </c>
      <c r="O1468" s="17" t="s">
        <v>86</v>
      </c>
      <c r="P1468" s="17"/>
      <c r="Q1468" s="17"/>
      <c r="R1468" s="17"/>
      <c r="S1468" s="17">
        <v>5.04</v>
      </c>
      <c r="T1468" s="17">
        <v>0</v>
      </c>
      <c r="U1468" s="20">
        <f t="shared" si="96"/>
        <v>0</v>
      </c>
      <c r="V1468" s="41">
        <f t="shared" si="99"/>
        <v>-100</v>
      </c>
      <c r="W1468" s="17"/>
      <c r="X1468" s="17" t="s">
        <v>56</v>
      </c>
      <c r="Z1468" s="17" t="s">
        <v>56</v>
      </c>
      <c r="AA1468" s="17"/>
      <c r="AB1468" s="17" t="s">
        <v>57</v>
      </c>
      <c r="AC1468" s="17">
        <v>2009</v>
      </c>
      <c r="AD1468" s="17">
        <v>1</v>
      </c>
      <c r="AE1468" s="17"/>
      <c r="AF1468" s="17"/>
      <c r="AG1468" s="17">
        <v>2004</v>
      </c>
      <c r="AH1468" s="14">
        <f t="shared" si="97"/>
        <v>5</v>
      </c>
      <c r="AI1468" s="17">
        <f t="shared" si="98"/>
        <v>6</v>
      </c>
      <c r="AJ1468" s="17"/>
      <c r="AK1468" s="17" t="s">
        <v>58</v>
      </c>
      <c r="AL1468" s="16" t="s">
        <v>1570</v>
      </c>
      <c r="AM1468" s="17">
        <v>2013</v>
      </c>
      <c r="AN1468" s="15" t="s">
        <v>232</v>
      </c>
      <c r="AO1468" s="15" t="s">
        <v>56</v>
      </c>
      <c r="AP1468" s="15"/>
      <c r="AQ1468" s="15" t="s">
        <v>56</v>
      </c>
      <c r="AR1468" s="15" t="s">
        <v>58</v>
      </c>
      <c r="AS1468" s="15" t="s">
        <v>62</v>
      </c>
      <c r="AT1468" s="15"/>
      <c r="AU1468" s="45" t="s">
        <v>1571</v>
      </c>
      <c r="AV1468" s="15"/>
      <c r="AW1468" s="12" t="str">
        <f>B1468&amp;C1468&amp;L1468&amp;M1468&amp;O1468&amp;U1468&amp;AL1468&amp;AM1468</f>
        <v>ItalyPlemmirio Marine Protected AreaSymphodus rostratusdensity0Pierpaolo2013</v>
      </c>
    </row>
    <row r="1469" spans="1:49" ht="14.5" x14ac:dyDescent="0.35">
      <c r="A1469" s="12">
        <v>1468</v>
      </c>
      <c r="B1469" s="15" t="s">
        <v>1527</v>
      </c>
      <c r="C1469" s="15" t="s">
        <v>1568</v>
      </c>
      <c r="D1469" s="15" t="s">
        <v>1568</v>
      </c>
      <c r="E1469" s="15" t="s">
        <v>68</v>
      </c>
      <c r="F1469" s="13" t="s">
        <v>50</v>
      </c>
      <c r="G1469" s="13" t="s">
        <v>51</v>
      </c>
      <c r="H1469" s="16" t="s">
        <v>481</v>
      </c>
      <c r="I1469" s="16" t="s">
        <v>53</v>
      </c>
      <c r="J1469" s="17">
        <v>24</v>
      </c>
      <c r="K1469" s="17"/>
      <c r="L1469" s="17" t="s">
        <v>1584</v>
      </c>
      <c r="M1469" s="17"/>
      <c r="N1469" s="14" t="s">
        <v>85</v>
      </c>
      <c r="O1469" s="17" t="s">
        <v>86</v>
      </c>
      <c r="P1469" s="17"/>
      <c r="Q1469" s="17"/>
      <c r="R1469" s="17"/>
      <c r="S1469" s="17">
        <v>10.64</v>
      </c>
      <c r="T1469" s="17">
        <v>22.64</v>
      </c>
      <c r="U1469" s="20">
        <f t="shared" si="96"/>
        <v>2.1278195488721803</v>
      </c>
      <c r="V1469" s="41">
        <f t="shared" si="99"/>
        <v>112.78195488721803</v>
      </c>
      <c r="W1469" s="17"/>
      <c r="X1469" s="17" t="s">
        <v>56</v>
      </c>
      <c r="Z1469" s="17" t="s">
        <v>56</v>
      </c>
      <c r="AA1469" s="17"/>
      <c r="AB1469" s="17" t="s">
        <v>57</v>
      </c>
      <c r="AC1469" s="17">
        <v>2009</v>
      </c>
      <c r="AD1469" s="17">
        <v>1</v>
      </c>
      <c r="AE1469" s="17"/>
      <c r="AF1469" s="17"/>
      <c r="AG1469" s="17">
        <v>2004</v>
      </c>
      <c r="AH1469" s="14">
        <f t="shared" si="97"/>
        <v>5</v>
      </c>
      <c r="AI1469" s="17">
        <f t="shared" si="98"/>
        <v>6</v>
      </c>
      <c r="AJ1469" s="17"/>
      <c r="AK1469" s="17" t="s">
        <v>58</v>
      </c>
      <c r="AL1469" s="16" t="s">
        <v>1570</v>
      </c>
      <c r="AM1469" s="17">
        <v>2013</v>
      </c>
      <c r="AN1469" s="15" t="s">
        <v>232</v>
      </c>
      <c r="AO1469" s="15" t="s">
        <v>56</v>
      </c>
      <c r="AP1469" s="15"/>
      <c r="AQ1469" s="15" t="s">
        <v>56</v>
      </c>
      <c r="AR1469" s="15" t="s">
        <v>58</v>
      </c>
      <c r="AS1469" s="15" t="s">
        <v>62</v>
      </c>
      <c r="AT1469" s="15"/>
      <c r="AU1469" s="45" t="s">
        <v>1571</v>
      </c>
      <c r="AV1469" s="15"/>
      <c r="AW1469" s="12" t="str">
        <f>B1469&amp;C1469&amp;L1469&amp;M1469&amp;O1469&amp;U1469&amp;AL1469&amp;AM1469</f>
        <v>ItalyPlemmirio Marine Protected AreaSymphodus tincadensity2.12781954887218Pierpaolo2013</v>
      </c>
    </row>
    <row r="1470" spans="1:49" ht="14.5" x14ac:dyDescent="0.35">
      <c r="A1470" s="12">
        <v>1469</v>
      </c>
      <c r="B1470" s="12" t="s">
        <v>1527</v>
      </c>
      <c r="C1470" s="12" t="s">
        <v>1568</v>
      </c>
      <c r="D1470" s="12" t="s">
        <v>1568</v>
      </c>
      <c r="E1470" s="12" t="s">
        <v>68</v>
      </c>
      <c r="F1470" s="13" t="s">
        <v>50</v>
      </c>
      <c r="G1470" s="13" t="s">
        <v>51</v>
      </c>
      <c r="H1470" s="13" t="s">
        <v>481</v>
      </c>
      <c r="I1470" s="13" t="s">
        <v>53</v>
      </c>
      <c r="J1470" s="17">
        <v>24</v>
      </c>
      <c r="K1470" s="17"/>
      <c r="L1470" s="14" t="s">
        <v>1585</v>
      </c>
      <c r="M1470" s="14"/>
      <c r="N1470" s="14" t="s">
        <v>85</v>
      </c>
      <c r="O1470" s="17" t="s">
        <v>86</v>
      </c>
      <c r="P1470" s="14"/>
      <c r="Q1470" s="14"/>
      <c r="R1470" s="14"/>
      <c r="S1470" s="14">
        <v>217.68</v>
      </c>
      <c r="T1470" s="14">
        <v>236</v>
      </c>
      <c r="U1470" s="19">
        <f t="shared" si="96"/>
        <v>1.0841602352076443</v>
      </c>
      <c r="V1470" s="41">
        <f t="shared" si="99"/>
        <v>8.4160235207644263</v>
      </c>
      <c r="W1470" s="14"/>
      <c r="X1470" s="14" t="s">
        <v>56</v>
      </c>
      <c r="Z1470" s="14" t="s">
        <v>56</v>
      </c>
      <c r="AA1470" s="14"/>
      <c r="AB1470" s="14" t="s">
        <v>57</v>
      </c>
      <c r="AC1470" s="14">
        <v>2009</v>
      </c>
      <c r="AD1470" s="14">
        <v>1</v>
      </c>
      <c r="AE1470" s="14"/>
      <c r="AF1470" s="14"/>
      <c r="AG1470" s="14">
        <v>2004</v>
      </c>
      <c r="AH1470" s="14">
        <f t="shared" si="97"/>
        <v>5</v>
      </c>
      <c r="AI1470" s="17">
        <f t="shared" si="98"/>
        <v>6</v>
      </c>
      <c r="AJ1470" s="14"/>
      <c r="AK1470" s="14" t="s">
        <v>58</v>
      </c>
      <c r="AL1470" s="13" t="s">
        <v>1570</v>
      </c>
      <c r="AM1470" s="14">
        <v>2013</v>
      </c>
      <c r="AN1470" s="12" t="s">
        <v>232</v>
      </c>
      <c r="AO1470" s="12" t="s">
        <v>56</v>
      </c>
      <c r="AP1470" s="12"/>
      <c r="AQ1470" s="12" t="s">
        <v>56</v>
      </c>
      <c r="AR1470" s="12" t="s">
        <v>58</v>
      </c>
      <c r="AS1470" s="12" t="s">
        <v>62</v>
      </c>
      <c r="AT1470" s="12"/>
      <c r="AU1470" s="45" t="s">
        <v>1571</v>
      </c>
      <c r="AV1470" s="15"/>
      <c r="AW1470" s="12" t="str">
        <f>B1470&amp;C1470&amp;L1470&amp;M1470&amp;O1470&amp;U1470&amp;AL1470&amp;AM1470</f>
        <v>ItalyPlemmirio Marine Protected AreaThalassoma pavodensity1.08416023520764Pierpaolo2013</v>
      </c>
    </row>
    <row r="1471" spans="1:49" ht="14.5" x14ac:dyDescent="0.35">
      <c r="A1471" s="12">
        <v>1470</v>
      </c>
      <c r="B1471" s="12" t="s">
        <v>1527</v>
      </c>
      <c r="C1471" s="12" t="s">
        <v>1568</v>
      </c>
      <c r="D1471" s="12" t="s">
        <v>1568</v>
      </c>
      <c r="E1471" s="12" t="s">
        <v>68</v>
      </c>
      <c r="F1471" s="13" t="s">
        <v>50</v>
      </c>
      <c r="G1471" s="13" t="s">
        <v>51</v>
      </c>
      <c r="H1471" s="13" t="s">
        <v>481</v>
      </c>
      <c r="I1471" s="13" t="s">
        <v>53</v>
      </c>
      <c r="J1471" s="17">
        <v>24</v>
      </c>
      <c r="K1471" s="14"/>
      <c r="L1471" s="14" t="s">
        <v>1586</v>
      </c>
      <c r="M1471" s="14"/>
      <c r="N1471" s="14" t="s">
        <v>85</v>
      </c>
      <c r="O1471" s="17" t="s">
        <v>86</v>
      </c>
      <c r="P1471" s="14"/>
      <c r="Q1471" s="14"/>
      <c r="R1471" s="14"/>
      <c r="S1471" s="14">
        <v>4.6399999999999997</v>
      </c>
      <c r="T1471" s="14">
        <v>68</v>
      </c>
      <c r="U1471" s="19">
        <f t="shared" ref="U1471:U1534" si="100">IFERROR(IF(AND(Q1471="",R1471="",S1471="",T1471=""),"",IF(AND(Q1471&lt;&gt;"",R1471&lt;&gt;"",S1471&lt;&gt;"",T1471&lt;&gt;""),(T1471/R1471)/(S1471/Q1471),IF(AND(Q1471&lt;&gt;"",R1471&lt;&gt;""),R1471/Q1471,IF(AND(S1471&lt;&gt;"",T1471&lt;&gt;""),T1471/S1471,IF(AND(Q1471&lt;&gt;"",S1471&lt;&gt;""),Q1471/S1471,IF(AND(R1471&lt;&gt;"",T1471&lt;&gt;""),T1471/R1471)))))), "N/A")</f>
        <v>14.655172413793105</v>
      </c>
      <c r="V1471" s="41">
        <f t="shared" si="99"/>
        <v>1365.5172413793105</v>
      </c>
      <c r="W1471" s="14"/>
      <c r="X1471" s="14" t="s">
        <v>56</v>
      </c>
      <c r="Z1471" s="14" t="s">
        <v>56</v>
      </c>
      <c r="AA1471" s="14"/>
      <c r="AB1471" s="14" t="s">
        <v>57</v>
      </c>
      <c r="AC1471" s="14">
        <v>2009</v>
      </c>
      <c r="AD1471" s="14">
        <v>1</v>
      </c>
      <c r="AE1471" s="14"/>
      <c r="AF1471" s="14"/>
      <c r="AG1471" s="14">
        <v>2004</v>
      </c>
      <c r="AH1471" s="14">
        <f t="shared" si="97"/>
        <v>5</v>
      </c>
      <c r="AI1471" s="17">
        <f t="shared" si="98"/>
        <v>6</v>
      </c>
      <c r="AJ1471" s="14"/>
      <c r="AK1471" s="14" t="s">
        <v>58</v>
      </c>
      <c r="AL1471" s="13" t="s">
        <v>1570</v>
      </c>
      <c r="AM1471" s="14">
        <v>2013</v>
      </c>
      <c r="AN1471" s="12" t="s">
        <v>232</v>
      </c>
      <c r="AO1471" s="12" t="s">
        <v>56</v>
      </c>
      <c r="AP1471" s="12"/>
      <c r="AQ1471" s="12" t="s">
        <v>56</v>
      </c>
      <c r="AR1471" s="12" t="s">
        <v>58</v>
      </c>
      <c r="AS1471" s="12" t="s">
        <v>62</v>
      </c>
      <c r="AT1471" s="12"/>
      <c r="AU1471" s="45" t="s">
        <v>1571</v>
      </c>
      <c r="AV1471" s="15"/>
      <c r="AW1471" s="12" t="str">
        <f>B1471&amp;C1471&amp;L1471&amp;M1471&amp;O1471&amp;U1471&amp;AL1471&amp;AM1471</f>
        <v>ItalyPlemmirio Marine Protected AreaMullus surmuletusdensity14.6551724137931Pierpaolo2013</v>
      </c>
    </row>
    <row r="1472" spans="1:49" ht="14.5" x14ac:dyDescent="0.35">
      <c r="A1472" s="12">
        <v>1471</v>
      </c>
      <c r="B1472" s="12" t="s">
        <v>1527</v>
      </c>
      <c r="C1472" s="12" t="s">
        <v>1568</v>
      </c>
      <c r="D1472" s="12" t="s">
        <v>1568</v>
      </c>
      <c r="E1472" s="12" t="s">
        <v>68</v>
      </c>
      <c r="F1472" s="13" t="s">
        <v>50</v>
      </c>
      <c r="G1472" s="13" t="s">
        <v>51</v>
      </c>
      <c r="H1472" s="13" t="s">
        <v>481</v>
      </c>
      <c r="I1472" s="13" t="s">
        <v>53</v>
      </c>
      <c r="J1472" s="17">
        <v>24</v>
      </c>
      <c r="K1472" s="14"/>
      <c r="L1472" s="14" t="s">
        <v>1587</v>
      </c>
      <c r="M1472" s="14"/>
      <c r="N1472" s="14" t="s">
        <v>85</v>
      </c>
      <c r="O1472" s="17" t="s">
        <v>86</v>
      </c>
      <c r="P1472" s="14"/>
      <c r="Q1472" s="14"/>
      <c r="R1472" s="14"/>
      <c r="S1472" s="14">
        <v>0.64</v>
      </c>
      <c r="T1472" s="14">
        <v>16</v>
      </c>
      <c r="U1472" s="19">
        <f t="shared" si="100"/>
        <v>25</v>
      </c>
      <c r="V1472" s="41">
        <f t="shared" si="99"/>
        <v>2400</v>
      </c>
      <c r="W1472" s="14"/>
      <c r="X1472" s="14" t="s">
        <v>56</v>
      </c>
      <c r="Z1472" s="14" t="s">
        <v>56</v>
      </c>
      <c r="AA1472" s="14"/>
      <c r="AB1472" s="14" t="s">
        <v>57</v>
      </c>
      <c r="AC1472" s="14">
        <v>2009</v>
      </c>
      <c r="AD1472" s="14">
        <v>1</v>
      </c>
      <c r="AE1472" s="14"/>
      <c r="AF1472" s="14"/>
      <c r="AG1472" s="14">
        <v>2004</v>
      </c>
      <c r="AH1472" s="14">
        <f t="shared" ref="AH1472:AH1535" si="101">IF(OR(AG1472="NA",AC1472="NA"),"NA",IF(OR(AC1472="",AG1472=""), "", AC1472-AG1472))</f>
        <v>5</v>
      </c>
      <c r="AI1472" s="17">
        <f t="shared" ref="AI1472:AI1535" si="102">IF(AH1472="NA", "NA",IF(OR(AH1472="",AND(AD1472="",AE1472="")), "",AH1472+AD1472+AE1472/12))</f>
        <v>6</v>
      </c>
      <c r="AJ1472" s="14"/>
      <c r="AK1472" s="14" t="s">
        <v>58</v>
      </c>
      <c r="AL1472" s="13" t="s">
        <v>1570</v>
      </c>
      <c r="AM1472" s="14">
        <v>2013</v>
      </c>
      <c r="AN1472" s="12" t="s">
        <v>232</v>
      </c>
      <c r="AO1472" s="12" t="s">
        <v>56</v>
      </c>
      <c r="AP1472" s="12"/>
      <c r="AQ1472" s="12" t="s">
        <v>56</v>
      </c>
      <c r="AR1472" s="12" t="s">
        <v>58</v>
      </c>
      <c r="AS1472" s="12" t="s">
        <v>62</v>
      </c>
      <c r="AT1472" s="12"/>
      <c r="AU1472" s="45" t="s">
        <v>1571</v>
      </c>
      <c r="AV1472" s="15"/>
      <c r="AW1472" s="12" t="str">
        <f>B1472&amp;C1472&amp;L1472&amp;M1472&amp;O1472&amp;U1472&amp;AL1472&amp;AM1472</f>
        <v>ItalyPlemmirio Marine Protected AreaMuraena helenadensity25Pierpaolo2013</v>
      </c>
    </row>
    <row r="1473" spans="1:49" ht="14.5" x14ac:dyDescent="0.35">
      <c r="A1473" s="12">
        <v>1472</v>
      </c>
      <c r="B1473" s="12" t="s">
        <v>1527</v>
      </c>
      <c r="C1473" s="12" t="s">
        <v>1568</v>
      </c>
      <c r="D1473" s="12" t="s">
        <v>1568</v>
      </c>
      <c r="E1473" s="12" t="s">
        <v>68</v>
      </c>
      <c r="F1473" s="13" t="s">
        <v>50</v>
      </c>
      <c r="G1473" s="13" t="s">
        <v>51</v>
      </c>
      <c r="H1473" s="13" t="s">
        <v>481</v>
      </c>
      <c r="I1473" s="13" t="s">
        <v>53</v>
      </c>
      <c r="J1473" s="17">
        <v>24</v>
      </c>
      <c r="K1473" s="17"/>
      <c r="L1473" s="17" t="s">
        <v>1588</v>
      </c>
      <c r="M1473" s="17" t="s">
        <v>1407</v>
      </c>
      <c r="N1473" s="14" t="s">
        <v>85</v>
      </c>
      <c r="O1473" s="17" t="s">
        <v>86</v>
      </c>
      <c r="P1473" s="14"/>
      <c r="Q1473" s="14"/>
      <c r="R1473" s="14"/>
      <c r="S1473" s="14">
        <v>949.68</v>
      </c>
      <c r="T1473" s="14">
        <v>288</v>
      </c>
      <c r="U1473" s="19">
        <f t="shared" si="100"/>
        <v>0.30326004548900681</v>
      </c>
      <c r="V1473" s="41">
        <f t="shared" si="99"/>
        <v>-69.673995451099316</v>
      </c>
      <c r="W1473" s="14"/>
      <c r="X1473" s="14" t="s">
        <v>56</v>
      </c>
      <c r="Z1473" s="14" t="s">
        <v>56</v>
      </c>
      <c r="AA1473" s="14"/>
      <c r="AB1473" s="14" t="s">
        <v>57</v>
      </c>
      <c r="AC1473" s="14">
        <v>2009</v>
      </c>
      <c r="AD1473" s="14">
        <v>1</v>
      </c>
      <c r="AE1473" s="14"/>
      <c r="AF1473" s="14"/>
      <c r="AG1473" s="14">
        <v>2004</v>
      </c>
      <c r="AH1473" s="14">
        <f t="shared" si="101"/>
        <v>5</v>
      </c>
      <c r="AI1473" s="17">
        <f t="shared" si="102"/>
        <v>6</v>
      </c>
      <c r="AJ1473" s="14"/>
      <c r="AK1473" s="14" t="s">
        <v>58</v>
      </c>
      <c r="AL1473" s="13" t="s">
        <v>1570</v>
      </c>
      <c r="AM1473" s="14">
        <v>2013</v>
      </c>
      <c r="AN1473" s="12" t="s">
        <v>232</v>
      </c>
      <c r="AO1473" s="12" t="s">
        <v>56</v>
      </c>
      <c r="AP1473" s="12"/>
      <c r="AQ1473" s="12" t="s">
        <v>56</v>
      </c>
      <c r="AR1473" s="12" t="s">
        <v>58</v>
      </c>
      <c r="AS1473" s="12" t="s">
        <v>62</v>
      </c>
      <c r="AT1473" s="12"/>
      <c r="AU1473" s="45" t="s">
        <v>1571</v>
      </c>
      <c r="AV1473" s="15"/>
      <c r="AW1473" s="12" t="str">
        <f>B1473&amp;C1473&amp;L1473&amp;M1473&amp;O1473&amp;U1473&amp;AL1473&amp;AM1473</f>
        <v>ItalyPlemmirio Marine Protected AreaChromis chromisDamselfishdensity0.303260045489007Pierpaolo2013</v>
      </c>
    </row>
    <row r="1474" spans="1:49" ht="14.5" x14ac:dyDescent="0.35">
      <c r="A1474" s="12">
        <v>1473</v>
      </c>
      <c r="B1474" s="12" t="s">
        <v>1527</v>
      </c>
      <c r="C1474" s="12" t="s">
        <v>1568</v>
      </c>
      <c r="D1474" s="12" t="s">
        <v>1568</v>
      </c>
      <c r="E1474" s="12" t="s">
        <v>68</v>
      </c>
      <c r="F1474" s="13" t="s">
        <v>50</v>
      </c>
      <c r="G1474" s="13" t="s">
        <v>51</v>
      </c>
      <c r="H1474" s="13" t="s">
        <v>481</v>
      </c>
      <c r="I1474" s="13" t="s">
        <v>53</v>
      </c>
      <c r="J1474" s="17">
        <v>24</v>
      </c>
      <c r="K1474" s="17"/>
      <c r="L1474" s="14" t="s">
        <v>1114</v>
      </c>
      <c r="M1474" s="14"/>
      <c r="N1474" s="14" t="s">
        <v>85</v>
      </c>
      <c r="O1474" s="17" t="s">
        <v>86</v>
      </c>
      <c r="P1474" s="14"/>
      <c r="Q1474" s="14"/>
      <c r="R1474" s="14"/>
      <c r="S1474" s="14">
        <v>6.32</v>
      </c>
      <c r="T1474" s="14">
        <v>18</v>
      </c>
      <c r="U1474" s="19">
        <f t="shared" si="100"/>
        <v>2.8481012658227849</v>
      </c>
      <c r="V1474" s="41">
        <f t="shared" ref="V1474:V1537" si="103">IFERROR(IF(U1474 = "", "",(U1474-1)*100),"N/A")</f>
        <v>184.81012658227849</v>
      </c>
      <c r="W1474" s="14"/>
      <c r="X1474" s="14" t="s">
        <v>56</v>
      </c>
      <c r="Z1474" s="14" t="s">
        <v>56</v>
      </c>
      <c r="AA1474" s="14"/>
      <c r="AB1474" s="14" t="s">
        <v>57</v>
      </c>
      <c r="AC1474" s="14">
        <v>2009</v>
      </c>
      <c r="AD1474" s="14">
        <v>1</v>
      </c>
      <c r="AE1474" s="14"/>
      <c r="AF1474" s="14"/>
      <c r="AG1474" s="14">
        <v>2004</v>
      </c>
      <c r="AH1474" s="14">
        <f t="shared" si="101"/>
        <v>5</v>
      </c>
      <c r="AI1474" s="17">
        <f t="shared" si="102"/>
        <v>6</v>
      </c>
      <c r="AJ1474" s="14"/>
      <c r="AK1474" s="14" t="s">
        <v>58</v>
      </c>
      <c r="AL1474" s="13" t="s">
        <v>1570</v>
      </c>
      <c r="AM1474" s="14">
        <v>2013</v>
      </c>
      <c r="AN1474" s="12" t="s">
        <v>232</v>
      </c>
      <c r="AO1474" s="12" t="s">
        <v>56</v>
      </c>
      <c r="AP1474" s="12"/>
      <c r="AQ1474" s="12" t="s">
        <v>56</v>
      </c>
      <c r="AR1474" s="12" t="s">
        <v>58</v>
      </c>
      <c r="AS1474" s="12" t="s">
        <v>62</v>
      </c>
      <c r="AT1474" s="12"/>
      <c r="AU1474" s="45" t="s">
        <v>1571</v>
      </c>
      <c r="AV1474" s="15"/>
      <c r="AW1474" s="12" t="str">
        <f>B1474&amp;C1474&amp;L1474&amp;M1474&amp;O1474&amp;U1474&amp;AL1474&amp;AM1474</f>
        <v>ItalyPlemmirio Marine Protected AreaSparisoma cretensedensity2.84810126582278Pierpaolo2013</v>
      </c>
    </row>
    <row r="1475" spans="1:49" ht="14.5" x14ac:dyDescent="0.35">
      <c r="A1475" s="12">
        <v>1474</v>
      </c>
      <c r="B1475" s="12" t="s">
        <v>1527</v>
      </c>
      <c r="C1475" s="12" t="s">
        <v>1568</v>
      </c>
      <c r="D1475" s="12" t="s">
        <v>1568</v>
      </c>
      <c r="E1475" s="12" t="s">
        <v>68</v>
      </c>
      <c r="F1475" s="13" t="s">
        <v>50</v>
      </c>
      <c r="G1475" s="13" t="s">
        <v>51</v>
      </c>
      <c r="H1475" s="13" t="s">
        <v>481</v>
      </c>
      <c r="I1475" s="13" t="s">
        <v>53</v>
      </c>
      <c r="J1475" s="17">
        <v>24</v>
      </c>
      <c r="K1475" s="14"/>
      <c r="L1475" s="14" t="s">
        <v>497</v>
      </c>
      <c r="M1475" s="14"/>
      <c r="N1475" s="14" t="s">
        <v>85</v>
      </c>
      <c r="O1475" s="17" t="s">
        <v>86</v>
      </c>
      <c r="P1475" s="14"/>
      <c r="Q1475" s="14"/>
      <c r="R1475" s="14"/>
      <c r="S1475" s="14">
        <v>0</v>
      </c>
      <c r="T1475" s="14">
        <v>80</v>
      </c>
      <c r="U1475" s="19" t="str">
        <f t="shared" si="100"/>
        <v>N/A</v>
      </c>
      <c r="V1475" s="41" t="str">
        <f t="shared" si="103"/>
        <v>N/A</v>
      </c>
      <c r="W1475" s="14"/>
      <c r="X1475" s="14" t="s">
        <v>56</v>
      </c>
      <c r="Z1475" s="14" t="s">
        <v>56</v>
      </c>
      <c r="AA1475" s="14"/>
      <c r="AB1475" s="14" t="s">
        <v>57</v>
      </c>
      <c r="AC1475" s="14">
        <v>2009</v>
      </c>
      <c r="AD1475" s="14">
        <v>1</v>
      </c>
      <c r="AE1475" s="14"/>
      <c r="AF1475" s="14"/>
      <c r="AG1475" s="14">
        <v>2004</v>
      </c>
      <c r="AH1475" s="14">
        <f t="shared" si="101"/>
        <v>5</v>
      </c>
      <c r="AI1475" s="17">
        <f t="shared" si="102"/>
        <v>6</v>
      </c>
      <c r="AJ1475" s="14"/>
      <c r="AK1475" s="14" t="s">
        <v>58</v>
      </c>
      <c r="AL1475" s="13" t="s">
        <v>1570</v>
      </c>
      <c r="AM1475" s="14">
        <v>2013</v>
      </c>
      <c r="AN1475" s="12" t="s">
        <v>232</v>
      </c>
      <c r="AO1475" s="12" t="s">
        <v>56</v>
      </c>
      <c r="AP1475" s="12"/>
      <c r="AQ1475" s="12" t="s">
        <v>56</v>
      </c>
      <c r="AR1475" s="12" t="s">
        <v>58</v>
      </c>
      <c r="AS1475" s="12" t="s">
        <v>62</v>
      </c>
      <c r="AT1475" s="12"/>
      <c r="AU1475" s="45" t="s">
        <v>1571</v>
      </c>
      <c r="AV1475" s="15"/>
      <c r="AW1475" s="12" t="str">
        <f>B1475&amp;C1475&amp;L1475&amp;M1475&amp;O1475&amp;U1475&amp;AL1475&amp;AM1475</f>
        <v>ItalyPlemmirio Marine Protected AreaSciaena umbradensityN/APierpaolo2013</v>
      </c>
    </row>
    <row r="1476" spans="1:49" ht="14.5" x14ac:dyDescent="0.35">
      <c r="A1476" s="12">
        <v>1475</v>
      </c>
      <c r="B1476" s="12" t="s">
        <v>1527</v>
      </c>
      <c r="C1476" s="12" t="s">
        <v>1568</v>
      </c>
      <c r="D1476" s="12" t="s">
        <v>1568</v>
      </c>
      <c r="E1476" s="12" t="s">
        <v>68</v>
      </c>
      <c r="F1476" s="13" t="s">
        <v>50</v>
      </c>
      <c r="G1476" s="13" t="s">
        <v>51</v>
      </c>
      <c r="H1476" s="13" t="s">
        <v>481</v>
      </c>
      <c r="I1476" s="13" t="s">
        <v>53</v>
      </c>
      <c r="J1476" s="17">
        <v>24</v>
      </c>
      <c r="K1476" s="17"/>
      <c r="L1476" s="14" t="s">
        <v>1589</v>
      </c>
      <c r="M1476" s="14"/>
      <c r="N1476" s="14" t="s">
        <v>85</v>
      </c>
      <c r="O1476" s="17" t="s">
        <v>86</v>
      </c>
      <c r="P1476" s="14"/>
      <c r="Q1476" s="14"/>
      <c r="R1476" s="14"/>
      <c r="S1476" s="14">
        <v>5.68</v>
      </c>
      <c r="T1476" s="14">
        <v>2.64</v>
      </c>
      <c r="U1476" s="19">
        <f t="shared" si="100"/>
        <v>0.46478873239436624</v>
      </c>
      <c r="V1476" s="41">
        <f t="shared" si="103"/>
        <v>-53.521126760563376</v>
      </c>
      <c r="W1476" s="14"/>
      <c r="X1476" s="14" t="s">
        <v>56</v>
      </c>
      <c r="Z1476" s="14" t="s">
        <v>56</v>
      </c>
      <c r="AA1476" s="14"/>
      <c r="AB1476" s="14" t="s">
        <v>57</v>
      </c>
      <c r="AC1476" s="14">
        <v>2009</v>
      </c>
      <c r="AD1476" s="14">
        <v>1</v>
      </c>
      <c r="AE1476" s="14"/>
      <c r="AF1476" s="14"/>
      <c r="AG1476" s="14">
        <v>2004</v>
      </c>
      <c r="AH1476" s="14">
        <f t="shared" si="101"/>
        <v>5</v>
      </c>
      <c r="AI1476" s="17">
        <f t="shared" si="102"/>
        <v>6</v>
      </c>
      <c r="AJ1476" s="14"/>
      <c r="AK1476" s="14" t="s">
        <v>58</v>
      </c>
      <c r="AL1476" s="13" t="s">
        <v>1570</v>
      </c>
      <c r="AM1476" s="14">
        <v>2013</v>
      </c>
      <c r="AN1476" s="12" t="s">
        <v>232</v>
      </c>
      <c r="AO1476" s="12" t="s">
        <v>56</v>
      </c>
      <c r="AP1476" s="12"/>
      <c r="AQ1476" s="12" t="s">
        <v>56</v>
      </c>
      <c r="AR1476" s="12" t="s">
        <v>58</v>
      </c>
      <c r="AS1476" s="12" t="s">
        <v>62</v>
      </c>
      <c r="AT1476" s="12"/>
      <c r="AU1476" s="45" t="s">
        <v>1571</v>
      </c>
      <c r="AV1476" s="15"/>
      <c r="AW1476" s="12" t="str">
        <f>B1476&amp;C1476&amp;L1476&amp;M1476&amp;O1476&amp;U1476&amp;AL1476&amp;AM1476</f>
        <v>ItalyPlemmirio Marine Protected AreaScorpaena maderensisdensity0.464788732394366Pierpaolo2013</v>
      </c>
    </row>
    <row r="1477" spans="1:49" ht="14.5" x14ac:dyDescent="0.35">
      <c r="A1477" s="12">
        <v>1476</v>
      </c>
      <c r="B1477" s="12" t="s">
        <v>1527</v>
      </c>
      <c r="C1477" s="12" t="s">
        <v>1568</v>
      </c>
      <c r="D1477" s="12" t="s">
        <v>1568</v>
      </c>
      <c r="E1477" s="12" t="s">
        <v>68</v>
      </c>
      <c r="F1477" s="13" t="s">
        <v>50</v>
      </c>
      <c r="G1477" s="13" t="s">
        <v>51</v>
      </c>
      <c r="H1477" s="13" t="s">
        <v>481</v>
      </c>
      <c r="I1477" s="13" t="s">
        <v>53</v>
      </c>
      <c r="J1477" s="17">
        <v>24</v>
      </c>
      <c r="K1477" s="17"/>
      <c r="L1477" s="14" t="s">
        <v>1590</v>
      </c>
      <c r="M1477" s="14"/>
      <c r="N1477" s="14" t="s">
        <v>85</v>
      </c>
      <c r="O1477" s="17" t="s">
        <v>86</v>
      </c>
      <c r="P1477" s="14"/>
      <c r="Q1477" s="14"/>
      <c r="R1477" s="14"/>
      <c r="S1477" s="14">
        <v>1.04</v>
      </c>
      <c r="T1477" s="14">
        <v>0</v>
      </c>
      <c r="U1477" s="19">
        <f t="shared" si="100"/>
        <v>0</v>
      </c>
      <c r="V1477" s="41">
        <f t="shared" si="103"/>
        <v>-100</v>
      </c>
      <c r="W1477" s="14"/>
      <c r="X1477" s="14" t="s">
        <v>56</v>
      </c>
      <c r="Z1477" s="14" t="s">
        <v>56</v>
      </c>
      <c r="AA1477" s="14"/>
      <c r="AB1477" s="14" t="s">
        <v>57</v>
      </c>
      <c r="AC1477" s="14">
        <v>2009</v>
      </c>
      <c r="AD1477" s="14">
        <v>1</v>
      </c>
      <c r="AE1477" s="14"/>
      <c r="AF1477" s="14"/>
      <c r="AG1477" s="14">
        <v>2004</v>
      </c>
      <c r="AH1477" s="14">
        <f t="shared" si="101"/>
        <v>5</v>
      </c>
      <c r="AI1477" s="17">
        <f t="shared" si="102"/>
        <v>6</v>
      </c>
      <c r="AJ1477" s="14"/>
      <c r="AK1477" s="14" t="s">
        <v>58</v>
      </c>
      <c r="AL1477" s="13" t="s">
        <v>1570</v>
      </c>
      <c r="AM1477" s="14">
        <v>2013</v>
      </c>
      <c r="AN1477" s="12" t="s">
        <v>232</v>
      </c>
      <c r="AO1477" s="12" t="s">
        <v>56</v>
      </c>
      <c r="AP1477" s="12"/>
      <c r="AQ1477" s="12" t="s">
        <v>56</v>
      </c>
      <c r="AR1477" s="12" t="s">
        <v>58</v>
      </c>
      <c r="AS1477" s="12" t="s">
        <v>62</v>
      </c>
      <c r="AT1477" s="12"/>
      <c r="AU1477" s="45" t="s">
        <v>1571</v>
      </c>
      <c r="AV1477" s="15"/>
      <c r="AW1477" s="12" t="str">
        <f>B1477&amp;C1477&amp;L1477&amp;M1477&amp;O1477&amp;U1477&amp;AL1477&amp;AM1477</f>
        <v>ItalyPlemmirio Marine Protected AreaScorpaena notatadensity0Pierpaolo2013</v>
      </c>
    </row>
    <row r="1478" spans="1:49" ht="14.5" x14ac:dyDescent="0.35">
      <c r="A1478" s="12">
        <v>1477</v>
      </c>
      <c r="B1478" s="15" t="s">
        <v>1527</v>
      </c>
      <c r="C1478" s="15" t="s">
        <v>1568</v>
      </c>
      <c r="D1478" s="15" t="s">
        <v>1568</v>
      </c>
      <c r="E1478" s="15" t="s">
        <v>68</v>
      </c>
      <c r="F1478" s="16" t="s">
        <v>50</v>
      </c>
      <c r="G1478" s="16" t="s">
        <v>51</v>
      </c>
      <c r="H1478" s="16" t="s">
        <v>481</v>
      </c>
      <c r="I1478" s="16" t="s">
        <v>53</v>
      </c>
      <c r="J1478" s="17">
        <v>24</v>
      </c>
      <c r="K1478" s="17"/>
      <c r="L1478" s="17" t="s">
        <v>1591</v>
      </c>
      <c r="M1478" s="17"/>
      <c r="N1478" s="14" t="s">
        <v>85</v>
      </c>
      <c r="O1478" s="17" t="s">
        <v>86</v>
      </c>
      <c r="P1478" s="17"/>
      <c r="Q1478" s="17"/>
      <c r="R1478" s="17"/>
      <c r="S1478" s="17">
        <v>1.68</v>
      </c>
      <c r="T1478" s="17">
        <v>4.6399999999999997</v>
      </c>
      <c r="U1478" s="20">
        <f t="shared" si="100"/>
        <v>2.7619047619047619</v>
      </c>
      <c r="V1478" s="41">
        <f t="shared" si="103"/>
        <v>176.19047619047618</v>
      </c>
      <c r="W1478" s="17"/>
      <c r="X1478" s="17" t="s">
        <v>56</v>
      </c>
      <c r="Z1478" s="17" t="s">
        <v>56</v>
      </c>
      <c r="AA1478" s="17"/>
      <c r="AB1478" s="17" t="s">
        <v>57</v>
      </c>
      <c r="AC1478" s="17">
        <v>2009</v>
      </c>
      <c r="AD1478" s="17">
        <v>1</v>
      </c>
      <c r="AE1478" s="17"/>
      <c r="AF1478" s="17"/>
      <c r="AG1478" s="17">
        <v>2004</v>
      </c>
      <c r="AH1478" s="14">
        <f t="shared" si="101"/>
        <v>5</v>
      </c>
      <c r="AI1478" s="17">
        <f t="shared" si="102"/>
        <v>6</v>
      </c>
      <c r="AJ1478" s="17"/>
      <c r="AK1478" s="17" t="s">
        <v>58</v>
      </c>
      <c r="AL1478" s="16" t="s">
        <v>1570</v>
      </c>
      <c r="AM1478" s="17">
        <v>2013</v>
      </c>
      <c r="AN1478" s="15" t="s">
        <v>232</v>
      </c>
      <c r="AO1478" s="15" t="s">
        <v>56</v>
      </c>
      <c r="AP1478" s="15"/>
      <c r="AQ1478" s="15" t="s">
        <v>56</v>
      </c>
      <c r="AR1478" s="15" t="s">
        <v>58</v>
      </c>
      <c r="AS1478" s="15" t="s">
        <v>62</v>
      </c>
      <c r="AT1478" s="15"/>
      <c r="AU1478" s="45" t="s">
        <v>1571</v>
      </c>
      <c r="AV1478" s="15"/>
      <c r="AW1478" s="12" t="str">
        <f>B1478&amp;C1478&amp;L1478&amp;M1478&amp;O1478&amp;U1478&amp;AL1478&amp;AM1478</f>
        <v>ItalyPlemmirio Marine Protected AreaScorpaena porcusdensity2.76190476190476Pierpaolo2013</v>
      </c>
    </row>
    <row r="1479" spans="1:49" ht="14.5" x14ac:dyDescent="0.35">
      <c r="A1479" s="12">
        <v>1478</v>
      </c>
      <c r="B1479" s="12" t="s">
        <v>1527</v>
      </c>
      <c r="C1479" s="12" t="s">
        <v>1568</v>
      </c>
      <c r="D1479" s="12" t="s">
        <v>1568</v>
      </c>
      <c r="E1479" s="12" t="s">
        <v>68</v>
      </c>
      <c r="F1479" s="13" t="s">
        <v>50</v>
      </c>
      <c r="G1479" s="13" t="s">
        <v>51</v>
      </c>
      <c r="H1479" s="13" t="s">
        <v>481</v>
      </c>
      <c r="I1479" s="13" t="s">
        <v>53</v>
      </c>
      <c r="J1479" s="17">
        <v>24</v>
      </c>
      <c r="K1479" s="17"/>
      <c r="L1479" s="14" t="s">
        <v>1592</v>
      </c>
      <c r="M1479" s="14"/>
      <c r="N1479" s="14" t="s">
        <v>85</v>
      </c>
      <c r="O1479" s="17" t="s">
        <v>86</v>
      </c>
      <c r="P1479" s="14"/>
      <c r="Q1479" s="14"/>
      <c r="R1479" s="14"/>
      <c r="S1479" s="14">
        <v>0</v>
      </c>
      <c r="T1479" s="14">
        <v>6</v>
      </c>
      <c r="U1479" s="19" t="str">
        <f t="shared" si="100"/>
        <v>N/A</v>
      </c>
      <c r="V1479" s="41" t="str">
        <f t="shared" si="103"/>
        <v>N/A</v>
      </c>
      <c r="W1479" s="14"/>
      <c r="X1479" s="14" t="s">
        <v>56</v>
      </c>
      <c r="Z1479" s="14" t="s">
        <v>56</v>
      </c>
      <c r="AA1479" s="14"/>
      <c r="AB1479" s="14" t="s">
        <v>57</v>
      </c>
      <c r="AC1479" s="14">
        <v>2009</v>
      </c>
      <c r="AD1479" s="14">
        <v>1</v>
      </c>
      <c r="AE1479" s="14"/>
      <c r="AF1479" s="14"/>
      <c r="AG1479" s="14">
        <v>2004</v>
      </c>
      <c r="AH1479" s="14">
        <f t="shared" si="101"/>
        <v>5</v>
      </c>
      <c r="AI1479" s="17">
        <f t="shared" si="102"/>
        <v>6</v>
      </c>
      <c r="AJ1479" s="14"/>
      <c r="AK1479" s="14" t="s">
        <v>58</v>
      </c>
      <c r="AL1479" s="13" t="s">
        <v>1570</v>
      </c>
      <c r="AM1479" s="14">
        <v>2013</v>
      </c>
      <c r="AN1479" s="12" t="s">
        <v>232</v>
      </c>
      <c r="AO1479" s="12" t="s">
        <v>56</v>
      </c>
      <c r="AP1479" s="12"/>
      <c r="AQ1479" s="12" t="s">
        <v>56</v>
      </c>
      <c r="AR1479" s="12" t="s">
        <v>58</v>
      </c>
      <c r="AS1479" s="12" t="s">
        <v>62</v>
      </c>
      <c r="AT1479" s="12"/>
      <c r="AU1479" s="45" t="s">
        <v>1571</v>
      </c>
      <c r="AV1479" s="15"/>
      <c r="AW1479" s="12" t="str">
        <f>B1479&amp;C1479&amp;L1479&amp;M1479&amp;O1479&amp;U1479&amp;AL1479&amp;AM1479</f>
        <v>ItalyPlemmirio Marine Protected AreaScorpaena scrofadensityN/APierpaolo2013</v>
      </c>
    </row>
    <row r="1480" spans="1:49" ht="14.5" x14ac:dyDescent="0.35">
      <c r="A1480" s="12">
        <v>1479</v>
      </c>
      <c r="B1480" s="12" t="s">
        <v>1527</v>
      </c>
      <c r="C1480" s="12" t="s">
        <v>1568</v>
      </c>
      <c r="D1480" s="12" t="s">
        <v>1568</v>
      </c>
      <c r="E1480" s="12" t="s">
        <v>68</v>
      </c>
      <c r="F1480" s="13" t="s">
        <v>50</v>
      </c>
      <c r="G1480" s="13" t="s">
        <v>51</v>
      </c>
      <c r="H1480" s="13" t="s">
        <v>481</v>
      </c>
      <c r="I1480" s="13" t="s">
        <v>53</v>
      </c>
      <c r="J1480" s="17">
        <v>24</v>
      </c>
      <c r="K1480" s="17"/>
      <c r="L1480" s="14" t="s">
        <v>1593</v>
      </c>
      <c r="M1480" s="14"/>
      <c r="N1480" s="14" t="s">
        <v>85</v>
      </c>
      <c r="O1480" s="17" t="s">
        <v>86</v>
      </c>
      <c r="P1480" s="14"/>
      <c r="Q1480" s="14"/>
      <c r="R1480" s="14"/>
      <c r="S1480" s="14">
        <v>0</v>
      </c>
      <c r="T1480" s="14">
        <v>10</v>
      </c>
      <c r="U1480" s="19" t="str">
        <f t="shared" si="100"/>
        <v>N/A</v>
      </c>
      <c r="V1480" s="41" t="str">
        <f t="shared" si="103"/>
        <v>N/A</v>
      </c>
      <c r="W1480" s="14"/>
      <c r="X1480" s="14" t="s">
        <v>56</v>
      </c>
      <c r="Z1480" s="14" t="s">
        <v>56</v>
      </c>
      <c r="AA1480" s="14"/>
      <c r="AB1480" s="14" t="s">
        <v>57</v>
      </c>
      <c r="AC1480" s="14">
        <v>2009</v>
      </c>
      <c r="AD1480" s="14">
        <v>1</v>
      </c>
      <c r="AE1480" s="14"/>
      <c r="AF1480" s="14"/>
      <c r="AG1480" s="14">
        <v>2004</v>
      </c>
      <c r="AH1480" s="14">
        <f t="shared" si="101"/>
        <v>5</v>
      </c>
      <c r="AI1480" s="17">
        <f t="shared" si="102"/>
        <v>6</v>
      </c>
      <c r="AJ1480" s="14"/>
      <c r="AK1480" s="14" t="s">
        <v>58</v>
      </c>
      <c r="AL1480" s="13" t="s">
        <v>1570</v>
      </c>
      <c r="AM1480" s="14">
        <v>2013</v>
      </c>
      <c r="AN1480" s="12" t="s">
        <v>232</v>
      </c>
      <c r="AO1480" s="12" t="s">
        <v>56</v>
      </c>
      <c r="AP1480" s="12"/>
      <c r="AQ1480" s="12" t="s">
        <v>56</v>
      </c>
      <c r="AR1480" s="12" t="s">
        <v>58</v>
      </c>
      <c r="AS1480" s="12" t="s">
        <v>62</v>
      </c>
      <c r="AT1480" s="12"/>
      <c r="AU1480" s="45" t="s">
        <v>1571</v>
      </c>
      <c r="AV1480" s="15"/>
      <c r="AW1480" s="12" t="str">
        <f>B1480&amp;C1480&amp;L1480&amp;M1480&amp;O1480&amp;U1480&amp;AL1480&amp;AM1480</f>
        <v>ItalyPlemmirio Marine Protected AreaAnthias anthiasdensityN/APierpaolo2013</v>
      </c>
    </row>
    <row r="1481" spans="1:49" ht="14.5" x14ac:dyDescent="0.35">
      <c r="A1481" s="12">
        <v>1480</v>
      </c>
      <c r="B1481" s="12" t="s">
        <v>1527</v>
      </c>
      <c r="C1481" s="12" t="s">
        <v>1568</v>
      </c>
      <c r="D1481" s="12" t="s">
        <v>1568</v>
      </c>
      <c r="E1481" s="12" t="s">
        <v>68</v>
      </c>
      <c r="F1481" s="13" t="s">
        <v>50</v>
      </c>
      <c r="G1481" s="13" t="s">
        <v>51</v>
      </c>
      <c r="H1481" s="13" t="s">
        <v>481</v>
      </c>
      <c r="I1481" s="13" t="s">
        <v>53</v>
      </c>
      <c r="J1481" s="17">
        <v>24</v>
      </c>
      <c r="K1481" s="17"/>
      <c r="L1481" s="14" t="s">
        <v>486</v>
      </c>
      <c r="M1481" s="14"/>
      <c r="N1481" s="14" t="s">
        <v>85</v>
      </c>
      <c r="O1481" s="17" t="s">
        <v>86</v>
      </c>
      <c r="P1481" s="14"/>
      <c r="Q1481" s="14"/>
      <c r="R1481" s="14"/>
      <c r="S1481" s="14">
        <v>0</v>
      </c>
      <c r="T1481" s="14">
        <v>4.6399999999999997</v>
      </c>
      <c r="U1481" s="19" t="str">
        <f t="shared" si="100"/>
        <v>N/A</v>
      </c>
      <c r="V1481" s="41" t="str">
        <f t="shared" si="103"/>
        <v>N/A</v>
      </c>
      <c r="W1481" s="14"/>
      <c r="X1481" s="14" t="s">
        <v>56</v>
      </c>
      <c r="Z1481" s="14" t="s">
        <v>56</v>
      </c>
      <c r="AA1481" s="14"/>
      <c r="AB1481" s="14" t="s">
        <v>57</v>
      </c>
      <c r="AC1481" s="14">
        <v>2009</v>
      </c>
      <c r="AD1481" s="14">
        <v>1</v>
      </c>
      <c r="AE1481" s="14"/>
      <c r="AF1481" s="14"/>
      <c r="AG1481" s="14">
        <v>2004</v>
      </c>
      <c r="AH1481" s="14">
        <f t="shared" si="101"/>
        <v>5</v>
      </c>
      <c r="AI1481" s="17">
        <f t="shared" si="102"/>
        <v>6</v>
      </c>
      <c r="AJ1481" s="14"/>
      <c r="AK1481" s="14" t="s">
        <v>58</v>
      </c>
      <c r="AL1481" s="13" t="s">
        <v>1570</v>
      </c>
      <c r="AM1481" s="14">
        <v>2013</v>
      </c>
      <c r="AN1481" s="12" t="s">
        <v>232</v>
      </c>
      <c r="AO1481" s="12" t="s">
        <v>56</v>
      </c>
      <c r="AP1481" s="12"/>
      <c r="AQ1481" s="12" t="s">
        <v>56</v>
      </c>
      <c r="AR1481" s="12" t="s">
        <v>58</v>
      </c>
      <c r="AS1481" s="12" t="s">
        <v>62</v>
      </c>
      <c r="AT1481" s="12"/>
      <c r="AU1481" s="45" t="s">
        <v>1571</v>
      </c>
      <c r="AV1481" s="15"/>
      <c r="AW1481" s="12" t="str">
        <f>B1481&amp;C1481&amp;L1481&amp;M1481&amp;O1481&amp;U1481&amp;AL1481&amp;AM1481</f>
        <v>ItalyPlemmirio Marine Protected AreaEpinephelus costaedensityN/APierpaolo2013</v>
      </c>
    </row>
    <row r="1482" spans="1:49" ht="14.5" x14ac:dyDescent="0.35">
      <c r="A1482" s="12">
        <v>1481</v>
      </c>
      <c r="B1482" s="12" t="s">
        <v>1527</v>
      </c>
      <c r="C1482" s="12" t="s">
        <v>1568</v>
      </c>
      <c r="D1482" s="12" t="s">
        <v>1568</v>
      </c>
      <c r="E1482" s="12" t="s">
        <v>68</v>
      </c>
      <c r="F1482" s="13" t="s">
        <v>50</v>
      </c>
      <c r="G1482" s="13" t="s">
        <v>51</v>
      </c>
      <c r="H1482" s="13" t="s">
        <v>481</v>
      </c>
      <c r="I1482" s="13" t="s">
        <v>53</v>
      </c>
      <c r="J1482" s="17">
        <v>24</v>
      </c>
      <c r="K1482" s="17"/>
      <c r="L1482" s="14" t="s">
        <v>482</v>
      </c>
      <c r="M1482" s="14"/>
      <c r="N1482" s="14" t="s">
        <v>85</v>
      </c>
      <c r="O1482" s="17" t="s">
        <v>86</v>
      </c>
      <c r="P1482" s="14"/>
      <c r="Q1482" s="14"/>
      <c r="R1482" s="14"/>
      <c r="S1482" s="14">
        <v>0</v>
      </c>
      <c r="T1482" s="14">
        <v>6</v>
      </c>
      <c r="U1482" s="19" t="str">
        <f t="shared" si="100"/>
        <v>N/A</v>
      </c>
      <c r="V1482" s="41" t="str">
        <f t="shared" si="103"/>
        <v>N/A</v>
      </c>
      <c r="W1482" s="14"/>
      <c r="X1482" s="14" t="s">
        <v>56</v>
      </c>
      <c r="Z1482" s="14" t="s">
        <v>56</v>
      </c>
      <c r="AA1482" s="14"/>
      <c r="AB1482" s="14" t="s">
        <v>57</v>
      </c>
      <c r="AC1482" s="14">
        <v>2009</v>
      </c>
      <c r="AD1482" s="14">
        <v>1</v>
      </c>
      <c r="AE1482" s="14"/>
      <c r="AF1482" s="14"/>
      <c r="AG1482" s="14">
        <v>2004</v>
      </c>
      <c r="AH1482" s="14">
        <f t="shared" si="101"/>
        <v>5</v>
      </c>
      <c r="AI1482" s="17">
        <f t="shared" si="102"/>
        <v>6</v>
      </c>
      <c r="AJ1482" s="14"/>
      <c r="AK1482" s="14" t="s">
        <v>58</v>
      </c>
      <c r="AL1482" s="13" t="s">
        <v>1570</v>
      </c>
      <c r="AM1482" s="14">
        <v>2013</v>
      </c>
      <c r="AN1482" s="12" t="s">
        <v>232</v>
      </c>
      <c r="AO1482" s="12" t="s">
        <v>56</v>
      </c>
      <c r="AP1482" s="12"/>
      <c r="AQ1482" s="12" t="s">
        <v>56</v>
      </c>
      <c r="AR1482" s="12" t="s">
        <v>58</v>
      </c>
      <c r="AS1482" s="12" t="s">
        <v>62</v>
      </c>
      <c r="AT1482" s="12"/>
      <c r="AU1482" s="45" t="s">
        <v>1571</v>
      </c>
      <c r="AV1482" s="15"/>
      <c r="AW1482" s="12" t="str">
        <f>B1482&amp;C1482&amp;L1482&amp;M1482&amp;O1482&amp;U1482&amp;AL1482&amp;AM1482</f>
        <v>ItalyPlemmirio Marine Protected AreaEpinephelus marginatusdensityN/APierpaolo2013</v>
      </c>
    </row>
    <row r="1483" spans="1:49" ht="14.5" x14ac:dyDescent="0.35">
      <c r="A1483" s="12">
        <v>1482</v>
      </c>
      <c r="B1483" s="12" t="s">
        <v>1527</v>
      </c>
      <c r="C1483" s="12" t="s">
        <v>1568</v>
      </c>
      <c r="D1483" s="15" t="s">
        <v>1568</v>
      </c>
      <c r="E1483" s="12" t="s">
        <v>68</v>
      </c>
      <c r="F1483" s="13" t="s">
        <v>50</v>
      </c>
      <c r="G1483" s="13" t="s">
        <v>51</v>
      </c>
      <c r="H1483" s="13" t="s">
        <v>481</v>
      </c>
      <c r="I1483" s="13" t="s">
        <v>53</v>
      </c>
      <c r="J1483" s="14">
        <v>24</v>
      </c>
      <c r="K1483" s="17"/>
      <c r="L1483" s="14" t="s">
        <v>488</v>
      </c>
      <c r="M1483" s="14"/>
      <c r="N1483" s="14" t="s">
        <v>85</v>
      </c>
      <c r="O1483" s="17" t="s">
        <v>86</v>
      </c>
      <c r="P1483" s="14"/>
      <c r="Q1483" s="14"/>
      <c r="R1483" s="14"/>
      <c r="S1483" s="14">
        <v>0</v>
      </c>
      <c r="T1483" s="14">
        <v>8</v>
      </c>
      <c r="U1483" s="19" t="str">
        <f t="shared" si="100"/>
        <v>N/A</v>
      </c>
      <c r="V1483" s="41" t="str">
        <f t="shared" si="103"/>
        <v>N/A</v>
      </c>
      <c r="W1483" s="14"/>
      <c r="X1483" s="14" t="s">
        <v>56</v>
      </c>
      <c r="Z1483" s="14" t="s">
        <v>56</v>
      </c>
      <c r="AA1483" s="14"/>
      <c r="AB1483" s="14" t="s">
        <v>57</v>
      </c>
      <c r="AC1483" s="14">
        <v>2009</v>
      </c>
      <c r="AD1483" s="14">
        <v>1</v>
      </c>
      <c r="AE1483" s="14"/>
      <c r="AF1483" s="14"/>
      <c r="AG1483" s="14">
        <v>2004</v>
      </c>
      <c r="AH1483" s="14">
        <f t="shared" si="101"/>
        <v>5</v>
      </c>
      <c r="AI1483" s="17">
        <f t="shared" si="102"/>
        <v>6</v>
      </c>
      <c r="AJ1483" s="14"/>
      <c r="AK1483" s="14" t="s">
        <v>58</v>
      </c>
      <c r="AL1483" s="13" t="s">
        <v>1570</v>
      </c>
      <c r="AM1483" s="14">
        <v>2013</v>
      </c>
      <c r="AN1483" s="12" t="s">
        <v>232</v>
      </c>
      <c r="AO1483" s="12" t="s">
        <v>56</v>
      </c>
      <c r="AP1483" s="12"/>
      <c r="AQ1483" s="12" t="s">
        <v>56</v>
      </c>
      <c r="AR1483" s="12" t="s">
        <v>58</v>
      </c>
      <c r="AS1483" s="12" t="s">
        <v>62</v>
      </c>
      <c r="AT1483" s="12"/>
      <c r="AU1483" s="45" t="s">
        <v>1571</v>
      </c>
      <c r="AV1483" s="15"/>
      <c r="AW1483" s="12" t="str">
        <f>B1483&amp;C1483&amp;L1483&amp;M1483&amp;O1483&amp;U1483&amp;AL1483&amp;AM1483</f>
        <v>ItalyPlemmirio Marine Protected AreaMycteroperca rubradensityN/APierpaolo2013</v>
      </c>
    </row>
    <row r="1484" spans="1:49" ht="14.5" x14ac:dyDescent="0.35">
      <c r="A1484" s="12">
        <v>1483</v>
      </c>
      <c r="B1484" s="12" t="s">
        <v>1527</v>
      </c>
      <c r="C1484" s="12" t="s">
        <v>1568</v>
      </c>
      <c r="D1484" s="15" t="s">
        <v>1568</v>
      </c>
      <c r="E1484" s="12" t="s">
        <v>68</v>
      </c>
      <c r="F1484" s="16" t="s">
        <v>50</v>
      </c>
      <c r="G1484" s="16" t="s">
        <v>51</v>
      </c>
      <c r="H1484" s="13" t="s">
        <v>481</v>
      </c>
      <c r="I1484" s="13" t="s">
        <v>53</v>
      </c>
      <c r="J1484" s="14">
        <v>24</v>
      </c>
      <c r="K1484" s="14"/>
      <c r="L1484" s="14" t="s">
        <v>217</v>
      </c>
      <c r="M1484" s="14"/>
      <c r="N1484" s="14" t="s">
        <v>85</v>
      </c>
      <c r="O1484" s="17" t="s">
        <v>86</v>
      </c>
      <c r="P1484" s="14"/>
      <c r="Q1484" s="14"/>
      <c r="R1484" s="14"/>
      <c r="S1484" s="14">
        <v>26.64</v>
      </c>
      <c r="T1484" s="14">
        <v>32</v>
      </c>
      <c r="U1484" s="19">
        <f t="shared" si="100"/>
        <v>1.2012012012012012</v>
      </c>
      <c r="V1484" s="41">
        <f t="shared" si="103"/>
        <v>20.12012012012012</v>
      </c>
      <c r="W1484" s="14"/>
      <c r="X1484" s="14" t="s">
        <v>56</v>
      </c>
      <c r="Z1484" s="14" t="s">
        <v>56</v>
      </c>
      <c r="AA1484" s="14"/>
      <c r="AB1484" s="14" t="s">
        <v>57</v>
      </c>
      <c r="AC1484" s="14">
        <v>2009</v>
      </c>
      <c r="AD1484" s="14">
        <v>1</v>
      </c>
      <c r="AE1484" s="14"/>
      <c r="AF1484" s="14"/>
      <c r="AG1484" s="14">
        <v>2004</v>
      </c>
      <c r="AH1484" s="14">
        <f t="shared" si="101"/>
        <v>5</v>
      </c>
      <c r="AI1484" s="17">
        <f t="shared" si="102"/>
        <v>6</v>
      </c>
      <c r="AJ1484" s="14"/>
      <c r="AK1484" s="14" t="s">
        <v>58</v>
      </c>
      <c r="AL1484" s="13" t="s">
        <v>1570</v>
      </c>
      <c r="AM1484" s="14">
        <v>2013</v>
      </c>
      <c r="AN1484" s="12" t="s">
        <v>232</v>
      </c>
      <c r="AO1484" s="12" t="s">
        <v>56</v>
      </c>
      <c r="AP1484" s="12"/>
      <c r="AQ1484" s="12" t="s">
        <v>56</v>
      </c>
      <c r="AR1484" s="12" t="s">
        <v>58</v>
      </c>
      <c r="AS1484" s="12" t="s">
        <v>62</v>
      </c>
      <c r="AT1484" s="12"/>
      <c r="AU1484" s="45" t="s">
        <v>1571</v>
      </c>
      <c r="AV1484" s="15"/>
      <c r="AW1484" s="12" t="str">
        <f>B1484&amp;C1484&amp;L1484&amp;M1484&amp;O1484&amp;U1484&amp;AL1484&amp;AM1484</f>
        <v>ItalyPlemmirio Marine Protected AreaSerranus cabrilladensity1.2012012012012Pierpaolo2013</v>
      </c>
    </row>
    <row r="1485" spans="1:49" ht="14.5" x14ac:dyDescent="0.35">
      <c r="A1485" s="12">
        <v>1484</v>
      </c>
      <c r="B1485" s="12" t="s">
        <v>1527</v>
      </c>
      <c r="C1485" s="12" t="s">
        <v>1568</v>
      </c>
      <c r="D1485" s="15" t="s">
        <v>1568</v>
      </c>
      <c r="E1485" s="12" t="s">
        <v>68</v>
      </c>
      <c r="F1485" s="16" t="s">
        <v>50</v>
      </c>
      <c r="G1485" s="16" t="s">
        <v>51</v>
      </c>
      <c r="H1485" s="13" t="s">
        <v>481</v>
      </c>
      <c r="I1485" s="13" t="s">
        <v>53</v>
      </c>
      <c r="J1485" s="14">
        <v>24</v>
      </c>
      <c r="K1485" s="14"/>
      <c r="L1485" s="14" t="s">
        <v>1002</v>
      </c>
      <c r="M1485" s="17" t="s">
        <v>1847</v>
      </c>
      <c r="N1485" s="14" t="s">
        <v>85</v>
      </c>
      <c r="O1485" s="17" t="s">
        <v>86</v>
      </c>
      <c r="P1485" s="14"/>
      <c r="Q1485" s="14"/>
      <c r="R1485" s="14"/>
      <c r="S1485" s="14">
        <v>17.68</v>
      </c>
      <c r="T1485" s="14">
        <v>26</v>
      </c>
      <c r="U1485" s="19">
        <f t="shared" si="100"/>
        <v>1.4705882352941178</v>
      </c>
      <c r="V1485" s="41">
        <f t="shared" si="103"/>
        <v>47.058823529411775</v>
      </c>
      <c r="W1485" s="14"/>
      <c r="X1485" s="14" t="s">
        <v>56</v>
      </c>
      <c r="Z1485" s="14" t="s">
        <v>56</v>
      </c>
      <c r="AA1485" s="14"/>
      <c r="AB1485" s="14" t="s">
        <v>57</v>
      </c>
      <c r="AC1485" s="14">
        <v>2009</v>
      </c>
      <c r="AD1485" s="14">
        <v>1</v>
      </c>
      <c r="AE1485" s="14"/>
      <c r="AF1485" s="14"/>
      <c r="AG1485" s="14">
        <v>2004</v>
      </c>
      <c r="AH1485" s="14">
        <f t="shared" si="101"/>
        <v>5</v>
      </c>
      <c r="AI1485" s="17">
        <f t="shared" si="102"/>
        <v>6</v>
      </c>
      <c r="AJ1485" s="14"/>
      <c r="AK1485" s="14" t="s">
        <v>58</v>
      </c>
      <c r="AL1485" s="13" t="s">
        <v>1570</v>
      </c>
      <c r="AM1485" s="14">
        <v>2013</v>
      </c>
      <c r="AN1485" s="12" t="s">
        <v>232</v>
      </c>
      <c r="AO1485" s="12" t="s">
        <v>56</v>
      </c>
      <c r="AP1485" s="12"/>
      <c r="AQ1485" s="12" t="s">
        <v>56</v>
      </c>
      <c r="AR1485" s="12" t="s">
        <v>58</v>
      </c>
      <c r="AS1485" s="12" t="s">
        <v>62</v>
      </c>
      <c r="AT1485" s="12"/>
      <c r="AU1485" s="45" t="s">
        <v>1571</v>
      </c>
      <c r="AV1485" s="15"/>
      <c r="AW1485" s="12" t="str">
        <f>B1485&amp;C1485&amp;L1485&amp;M1485&amp;O1485&amp;U1485&amp;AL1485&amp;AM1485</f>
        <v>ItalyPlemmirio Marine Protected AreaSerranus scribaPainted comberdensity1.47058823529412Pierpaolo2013</v>
      </c>
    </row>
    <row r="1486" spans="1:49" ht="14.5" x14ac:dyDescent="0.35">
      <c r="A1486" s="12">
        <v>1485</v>
      </c>
      <c r="B1486" s="15" t="s">
        <v>1527</v>
      </c>
      <c r="C1486" s="15" t="s">
        <v>1568</v>
      </c>
      <c r="D1486" s="15" t="s">
        <v>1568</v>
      </c>
      <c r="E1486" s="15" t="s">
        <v>68</v>
      </c>
      <c r="F1486" s="16" t="s">
        <v>50</v>
      </c>
      <c r="G1486" s="16" t="s">
        <v>51</v>
      </c>
      <c r="H1486" s="16" t="s">
        <v>481</v>
      </c>
      <c r="I1486" s="16" t="s">
        <v>53</v>
      </c>
      <c r="J1486" s="17">
        <v>24</v>
      </c>
      <c r="K1486" s="17"/>
      <c r="L1486" s="17" t="s">
        <v>1594</v>
      </c>
      <c r="M1486" s="17"/>
      <c r="N1486" s="14" t="s">
        <v>85</v>
      </c>
      <c r="O1486" s="17" t="s">
        <v>86</v>
      </c>
      <c r="P1486" s="17"/>
      <c r="Q1486" s="17"/>
      <c r="R1486" s="17"/>
      <c r="S1486" s="17">
        <v>22.64</v>
      </c>
      <c r="T1486" s="17">
        <v>173.36</v>
      </c>
      <c r="U1486" s="20">
        <f t="shared" si="100"/>
        <v>7.6572438162544172</v>
      </c>
      <c r="V1486" s="41">
        <f t="shared" si="103"/>
        <v>665.72438162544177</v>
      </c>
      <c r="W1486" s="17"/>
      <c r="X1486" s="17" t="s">
        <v>56</v>
      </c>
      <c r="Z1486" s="17" t="s">
        <v>56</v>
      </c>
      <c r="AA1486" s="17"/>
      <c r="AB1486" s="17" t="s">
        <v>57</v>
      </c>
      <c r="AC1486" s="17">
        <v>2009</v>
      </c>
      <c r="AD1486" s="17">
        <v>1</v>
      </c>
      <c r="AE1486" s="17"/>
      <c r="AF1486" s="17"/>
      <c r="AG1486" s="17">
        <v>2004</v>
      </c>
      <c r="AH1486" s="14">
        <f t="shared" si="101"/>
        <v>5</v>
      </c>
      <c r="AI1486" s="17">
        <f t="shared" si="102"/>
        <v>6</v>
      </c>
      <c r="AJ1486" s="17"/>
      <c r="AK1486" s="17" t="s">
        <v>58</v>
      </c>
      <c r="AL1486" s="16" t="s">
        <v>1570</v>
      </c>
      <c r="AM1486" s="17">
        <v>2013</v>
      </c>
      <c r="AN1486" s="15" t="s">
        <v>232</v>
      </c>
      <c r="AO1486" s="15" t="s">
        <v>56</v>
      </c>
      <c r="AP1486" s="15"/>
      <c r="AQ1486" s="15" t="s">
        <v>56</v>
      </c>
      <c r="AR1486" s="15" t="s">
        <v>58</v>
      </c>
      <c r="AS1486" s="15" t="s">
        <v>62</v>
      </c>
      <c r="AT1486" s="15"/>
      <c r="AU1486" s="45" t="s">
        <v>1571</v>
      </c>
      <c r="AV1486" s="15"/>
      <c r="AW1486" s="12" t="str">
        <f>B1486&amp;C1486&amp;L1486&amp;M1486&amp;O1486&amp;U1486&amp;AL1486&amp;AM1486</f>
        <v>ItalyPlemmirio Marine Protected AreaBoops boopsdensity7.65724381625442Pierpaolo2013</v>
      </c>
    </row>
    <row r="1487" spans="1:49" ht="14.5" x14ac:dyDescent="0.35">
      <c r="A1487" s="12">
        <v>1486</v>
      </c>
      <c r="B1487" s="12" t="s">
        <v>1527</v>
      </c>
      <c r="C1487" s="12" t="s">
        <v>1568</v>
      </c>
      <c r="D1487" s="15" t="s">
        <v>1568</v>
      </c>
      <c r="E1487" s="12" t="s">
        <v>68</v>
      </c>
      <c r="F1487" s="13" t="s">
        <v>50</v>
      </c>
      <c r="G1487" s="16" t="s">
        <v>51</v>
      </c>
      <c r="H1487" s="13" t="s">
        <v>481</v>
      </c>
      <c r="I1487" s="13" t="s">
        <v>53</v>
      </c>
      <c r="J1487" s="14">
        <v>24</v>
      </c>
      <c r="K1487" s="17"/>
      <c r="L1487" s="14" t="s">
        <v>1595</v>
      </c>
      <c r="M1487" s="14"/>
      <c r="N1487" s="14" t="s">
        <v>85</v>
      </c>
      <c r="O1487" s="17" t="s">
        <v>86</v>
      </c>
      <c r="P1487" s="14"/>
      <c r="Q1487" s="14"/>
      <c r="R1487" s="14"/>
      <c r="S1487" s="14">
        <v>1.36</v>
      </c>
      <c r="T1487" s="14">
        <v>2.64</v>
      </c>
      <c r="U1487" s="19">
        <f t="shared" si="100"/>
        <v>1.9411764705882353</v>
      </c>
      <c r="V1487" s="41">
        <f t="shared" si="103"/>
        <v>94.117647058823522</v>
      </c>
      <c r="W1487" s="14"/>
      <c r="X1487" s="14" t="s">
        <v>56</v>
      </c>
      <c r="Z1487" s="14" t="s">
        <v>56</v>
      </c>
      <c r="AA1487" s="14"/>
      <c r="AB1487" s="14" t="s">
        <v>57</v>
      </c>
      <c r="AC1487" s="14">
        <v>2009</v>
      </c>
      <c r="AD1487" s="14">
        <v>1</v>
      </c>
      <c r="AE1487" s="14"/>
      <c r="AF1487" s="14"/>
      <c r="AG1487" s="14">
        <v>2004</v>
      </c>
      <c r="AH1487" s="14">
        <f t="shared" si="101"/>
        <v>5</v>
      </c>
      <c r="AI1487" s="17">
        <f t="shared" si="102"/>
        <v>6</v>
      </c>
      <c r="AJ1487" s="14"/>
      <c r="AK1487" s="14" t="s">
        <v>58</v>
      </c>
      <c r="AL1487" s="13" t="s">
        <v>1570</v>
      </c>
      <c r="AM1487" s="14">
        <v>2013</v>
      </c>
      <c r="AN1487" s="12" t="s">
        <v>232</v>
      </c>
      <c r="AO1487" s="12" t="s">
        <v>56</v>
      </c>
      <c r="AP1487" s="12"/>
      <c r="AQ1487" s="12" t="s">
        <v>56</v>
      </c>
      <c r="AR1487" s="12" t="s">
        <v>58</v>
      </c>
      <c r="AS1487" s="12" t="s">
        <v>62</v>
      </c>
      <c r="AT1487" s="12"/>
      <c r="AU1487" s="45" t="s">
        <v>1571</v>
      </c>
      <c r="AV1487" s="15"/>
      <c r="AW1487" s="12" t="str">
        <f>B1487&amp;C1487&amp;L1487&amp;M1487&amp;O1487&amp;U1487&amp;AL1487&amp;AM1487</f>
        <v>ItalyPlemmirio Marine Protected AreaDiplodus annularisdensity1.94117647058824Pierpaolo2013</v>
      </c>
    </row>
    <row r="1488" spans="1:49" ht="14.5" x14ac:dyDescent="0.35">
      <c r="A1488" s="12">
        <v>1487</v>
      </c>
      <c r="B1488" s="12" t="s">
        <v>1527</v>
      </c>
      <c r="C1488" s="12" t="s">
        <v>1568</v>
      </c>
      <c r="D1488" s="15" t="s">
        <v>1568</v>
      </c>
      <c r="E1488" s="12" t="s">
        <v>68</v>
      </c>
      <c r="F1488" s="13" t="s">
        <v>50</v>
      </c>
      <c r="G1488" s="13" t="s">
        <v>51</v>
      </c>
      <c r="H1488" s="13" t="s">
        <v>481</v>
      </c>
      <c r="I1488" s="13" t="s">
        <v>53</v>
      </c>
      <c r="J1488" s="14">
        <v>24</v>
      </c>
      <c r="K1488" s="17"/>
      <c r="L1488" s="14" t="s">
        <v>226</v>
      </c>
      <c r="M1488" s="14"/>
      <c r="N1488" s="14" t="s">
        <v>85</v>
      </c>
      <c r="O1488" s="17" t="s">
        <v>86</v>
      </c>
      <c r="P1488" s="14"/>
      <c r="Q1488" s="14"/>
      <c r="R1488" s="14"/>
      <c r="S1488" s="14">
        <v>4.32</v>
      </c>
      <c r="T1488" s="14">
        <v>20</v>
      </c>
      <c r="U1488" s="19">
        <f t="shared" si="100"/>
        <v>4.6296296296296298</v>
      </c>
      <c r="V1488" s="41">
        <f t="shared" si="103"/>
        <v>362.96296296296299</v>
      </c>
      <c r="W1488" s="14"/>
      <c r="X1488" s="14" t="s">
        <v>56</v>
      </c>
      <c r="Z1488" s="14" t="s">
        <v>56</v>
      </c>
      <c r="AA1488" s="14"/>
      <c r="AB1488" s="14" t="s">
        <v>57</v>
      </c>
      <c r="AC1488" s="14">
        <v>2009</v>
      </c>
      <c r="AD1488" s="14">
        <v>1</v>
      </c>
      <c r="AE1488" s="14"/>
      <c r="AF1488" s="14"/>
      <c r="AG1488" s="14">
        <v>2004</v>
      </c>
      <c r="AH1488" s="14">
        <f t="shared" si="101"/>
        <v>5</v>
      </c>
      <c r="AI1488" s="17">
        <f t="shared" si="102"/>
        <v>6</v>
      </c>
      <c r="AJ1488" s="14"/>
      <c r="AK1488" s="14" t="s">
        <v>58</v>
      </c>
      <c r="AL1488" s="13" t="s">
        <v>1570</v>
      </c>
      <c r="AM1488" s="14">
        <v>2013</v>
      </c>
      <c r="AN1488" s="15" t="s">
        <v>232</v>
      </c>
      <c r="AO1488" s="12" t="s">
        <v>56</v>
      </c>
      <c r="AP1488" s="12"/>
      <c r="AQ1488" s="12" t="s">
        <v>56</v>
      </c>
      <c r="AR1488" s="12" t="s">
        <v>58</v>
      </c>
      <c r="AS1488" s="12" t="s">
        <v>62</v>
      </c>
      <c r="AT1488" s="12"/>
      <c r="AU1488" s="45" t="s">
        <v>1571</v>
      </c>
      <c r="AV1488" s="15"/>
      <c r="AW1488" s="12" t="str">
        <f>B1488&amp;C1488&amp;L1488&amp;M1488&amp;O1488&amp;U1488&amp;AL1488&amp;AM1488</f>
        <v>ItalyPlemmirio Marine Protected AreaDiplodus sargusdensity4.62962962962963Pierpaolo2013</v>
      </c>
    </row>
    <row r="1489" spans="1:49" ht="14.5" x14ac:dyDescent="0.35">
      <c r="A1489" s="12">
        <v>1488</v>
      </c>
      <c r="B1489" s="12" t="s">
        <v>1527</v>
      </c>
      <c r="C1489" s="12" t="s">
        <v>1568</v>
      </c>
      <c r="D1489" s="15" t="s">
        <v>1568</v>
      </c>
      <c r="E1489" s="12" t="s">
        <v>68</v>
      </c>
      <c r="F1489" s="13" t="s">
        <v>50</v>
      </c>
      <c r="G1489" s="13" t="s">
        <v>51</v>
      </c>
      <c r="H1489" s="13" t="s">
        <v>481</v>
      </c>
      <c r="I1489" s="13" t="s">
        <v>53</v>
      </c>
      <c r="J1489" s="14">
        <v>24</v>
      </c>
      <c r="K1489" s="17"/>
      <c r="L1489" s="14" t="s">
        <v>225</v>
      </c>
      <c r="M1489" s="14"/>
      <c r="N1489" s="14" t="s">
        <v>85</v>
      </c>
      <c r="O1489" s="17" t="s">
        <v>86</v>
      </c>
      <c r="P1489" s="14"/>
      <c r="Q1489" s="14"/>
      <c r="R1489" s="14"/>
      <c r="S1489" s="14">
        <v>9.36</v>
      </c>
      <c r="T1489" s="14">
        <v>38.64</v>
      </c>
      <c r="U1489" s="19">
        <f t="shared" si="100"/>
        <v>4.1282051282051286</v>
      </c>
      <c r="V1489" s="41">
        <f t="shared" si="103"/>
        <v>312.82051282051287</v>
      </c>
      <c r="W1489" s="14"/>
      <c r="X1489" s="14" t="s">
        <v>56</v>
      </c>
      <c r="Z1489" s="14" t="s">
        <v>56</v>
      </c>
      <c r="AA1489" s="14"/>
      <c r="AB1489" s="14" t="s">
        <v>57</v>
      </c>
      <c r="AC1489" s="14">
        <v>2009</v>
      </c>
      <c r="AD1489" s="14">
        <v>1</v>
      </c>
      <c r="AE1489" s="14"/>
      <c r="AF1489" s="14"/>
      <c r="AG1489" s="14">
        <v>2004</v>
      </c>
      <c r="AH1489" s="14">
        <f t="shared" si="101"/>
        <v>5</v>
      </c>
      <c r="AI1489" s="17">
        <f t="shared" si="102"/>
        <v>6</v>
      </c>
      <c r="AJ1489" s="14"/>
      <c r="AK1489" s="14" t="s">
        <v>58</v>
      </c>
      <c r="AL1489" s="13" t="s">
        <v>1570</v>
      </c>
      <c r="AM1489" s="14">
        <v>2013</v>
      </c>
      <c r="AN1489" s="15" t="s">
        <v>232</v>
      </c>
      <c r="AO1489" s="12" t="s">
        <v>56</v>
      </c>
      <c r="AP1489" s="12"/>
      <c r="AQ1489" s="12" t="s">
        <v>56</v>
      </c>
      <c r="AR1489" s="12" t="s">
        <v>58</v>
      </c>
      <c r="AS1489" s="12" t="s">
        <v>62</v>
      </c>
      <c r="AT1489" s="12"/>
      <c r="AU1489" s="45" t="s">
        <v>1571</v>
      </c>
      <c r="AV1489" s="15"/>
      <c r="AW1489" s="12" t="str">
        <f>B1489&amp;C1489&amp;L1489&amp;M1489&amp;O1489&amp;U1489&amp;AL1489&amp;AM1489</f>
        <v>ItalyPlemmirio Marine Protected AreaDiplodus vulgarisdensity4.12820512820513Pierpaolo2013</v>
      </c>
    </row>
    <row r="1490" spans="1:49" ht="14.5" x14ac:dyDescent="0.35">
      <c r="A1490" s="12">
        <v>1489</v>
      </c>
      <c r="B1490" s="12" t="s">
        <v>1527</v>
      </c>
      <c r="C1490" s="12" t="s">
        <v>1568</v>
      </c>
      <c r="D1490" s="15" t="s">
        <v>1568</v>
      </c>
      <c r="E1490" s="12" t="s">
        <v>68</v>
      </c>
      <c r="F1490" s="13" t="s">
        <v>50</v>
      </c>
      <c r="G1490" s="13" t="s">
        <v>51</v>
      </c>
      <c r="H1490" s="13" t="s">
        <v>481</v>
      </c>
      <c r="I1490" s="13" t="s">
        <v>53</v>
      </c>
      <c r="J1490" s="14">
        <v>24</v>
      </c>
      <c r="K1490" s="17"/>
      <c r="L1490" s="14" t="s">
        <v>1596</v>
      </c>
      <c r="M1490" s="14"/>
      <c r="N1490" s="14" t="s">
        <v>85</v>
      </c>
      <c r="O1490" s="17" t="s">
        <v>86</v>
      </c>
      <c r="P1490" s="14"/>
      <c r="Q1490" s="14"/>
      <c r="R1490" s="14"/>
      <c r="S1490" s="14">
        <v>0</v>
      </c>
      <c r="T1490" s="14">
        <v>2</v>
      </c>
      <c r="U1490" s="19" t="str">
        <f t="shared" si="100"/>
        <v>N/A</v>
      </c>
      <c r="V1490" s="41" t="str">
        <f t="shared" si="103"/>
        <v>N/A</v>
      </c>
      <c r="W1490" s="14"/>
      <c r="X1490" s="14" t="s">
        <v>56</v>
      </c>
      <c r="Z1490" s="14" t="s">
        <v>56</v>
      </c>
      <c r="AA1490" s="14"/>
      <c r="AB1490" s="14" t="s">
        <v>57</v>
      </c>
      <c r="AC1490" s="14">
        <v>2009</v>
      </c>
      <c r="AD1490" s="14">
        <v>1</v>
      </c>
      <c r="AE1490" s="14"/>
      <c r="AF1490" s="14"/>
      <c r="AG1490" s="14">
        <v>2004</v>
      </c>
      <c r="AH1490" s="14">
        <f t="shared" si="101"/>
        <v>5</v>
      </c>
      <c r="AI1490" s="17">
        <f t="shared" si="102"/>
        <v>6</v>
      </c>
      <c r="AJ1490" s="14"/>
      <c r="AK1490" s="14" t="s">
        <v>58</v>
      </c>
      <c r="AL1490" s="13" t="s">
        <v>1570</v>
      </c>
      <c r="AM1490" s="14">
        <v>2013</v>
      </c>
      <c r="AN1490" s="15" t="s">
        <v>232</v>
      </c>
      <c r="AO1490" s="12" t="s">
        <v>56</v>
      </c>
      <c r="AP1490" s="12"/>
      <c r="AQ1490" s="12" t="s">
        <v>56</v>
      </c>
      <c r="AR1490" s="12" t="s">
        <v>58</v>
      </c>
      <c r="AS1490" s="12" t="s">
        <v>62</v>
      </c>
      <c r="AT1490" s="12"/>
      <c r="AU1490" s="45" t="s">
        <v>1571</v>
      </c>
      <c r="AV1490" s="15"/>
      <c r="AW1490" s="12" t="str">
        <f>B1490&amp;C1490&amp;L1490&amp;M1490&amp;O1490&amp;U1490&amp;AL1490&amp;AM1490</f>
        <v>ItalyPlemmirio Marine Protected AreaOblada melanuradensityN/APierpaolo2013</v>
      </c>
    </row>
    <row r="1491" spans="1:49" ht="14.5" x14ac:dyDescent="0.35">
      <c r="A1491" s="12">
        <v>1490</v>
      </c>
      <c r="B1491" s="15" t="s">
        <v>1527</v>
      </c>
      <c r="C1491" s="15" t="s">
        <v>1568</v>
      </c>
      <c r="D1491" s="15" t="s">
        <v>1568</v>
      </c>
      <c r="E1491" s="15" t="s">
        <v>68</v>
      </c>
      <c r="F1491" s="16" t="s">
        <v>50</v>
      </c>
      <c r="G1491" s="16" t="s">
        <v>51</v>
      </c>
      <c r="H1491" s="16" t="s">
        <v>481</v>
      </c>
      <c r="I1491" s="16" t="s">
        <v>53</v>
      </c>
      <c r="J1491" s="14">
        <v>24</v>
      </c>
      <c r="K1491" s="17"/>
      <c r="L1491" s="17" t="s">
        <v>1597</v>
      </c>
      <c r="M1491" s="17"/>
      <c r="N1491" s="14" t="s">
        <v>85</v>
      </c>
      <c r="O1491" s="17" t="s">
        <v>86</v>
      </c>
      <c r="P1491" s="17"/>
      <c r="Q1491" s="17"/>
      <c r="R1491" s="17"/>
      <c r="S1491" s="17">
        <v>0</v>
      </c>
      <c r="T1491" s="17">
        <v>2.64</v>
      </c>
      <c r="U1491" s="20" t="str">
        <f t="shared" si="100"/>
        <v>N/A</v>
      </c>
      <c r="V1491" s="41" t="str">
        <f t="shared" si="103"/>
        <v>N/A</v>
      </c>
      <c r="W1491" s="17"/>
      <c r="X1491" s="17" t="s">
        <v>56</v>
      </c>
      <c r="Z1491" s="17" t="s">
        <v>56</v>
      </c>
      <c r="AA1491" s="17"/>
      <c r="AB1491" s="17" t="s">
        <v>57</v>
      </c>
      <c r="AC1491" s="17">
        <v>2009</v>
      </c>
      <c r="AD1491" s="17">
        <v>1</v>
      </c>
      <c r="AE1491" s="17"/>
      <c r="AF1491" s="17"/>
      <c r="AG1491" s="17">
        <v>2004</v>
      </c>
      <c r="AH1491" s="14">
        <f t="shared" si="101"/>
        <v>5</v>
      </c>
      <c r="AI1491" s="17">
        <f t="shared" si="102"/>
        <v>6</v>
      </c>
      <c r="AJ1491" s="17"/>
      <c r="AK1491" s="17" t="s">
        <v>58</v>
      </c>
      <c r="AL1491" s="16" t="s">
        <v>1570</v>
      </c>
      <c r="AM1491" s="17">
        <v>2013</v>
      </c>
      <c r="AN1491" s="15" t="s">
        <v>232</v>
      </c>
      <c r="AO1491" s="15" t="s">
        <v>56</v>
      </c>
      <c r="AP1491" s="15"/>
      <c r="AQ1491" s="15" t="s">
        <v>56</v>
      </c>
      <c r="AR1491" s="15" t="s">
        <v>58</v>
      </c>
      <c r="AS1491" s="15" t="s">
        <v>62</v>
      </c>
      <c r="AT1491" s="15"/>
      <c r="AU1491" s="45" t="s">
        <v>1571</v>
      </c>
      <c r="AV1491" s="15"/>
      <c r="AW1491" s="12" t="str">
        <f>B1491&amp;C1491&amp;L1491&amp;M1491&amp;O1491&amp;U1491&amp;AL1491&amp;AM1491</f>
        <v>ItalyPlemmirio Marine Protected AreaSpondyliosoma cantharusdensityN/APierpaolo2013</v>
      </c>
    </row>
    <row r="1492" spans="1:49" ht="14.5" x14ac:dyDescent="0.35">
      <c r="A1492" s="12">
        <v>1491</v>
      </c>
      <c r="B1492" s="15" t="s">
        <v>1527</v>
      </c>
      <c r="C1492" s="15" t="s">
        <v>1568</v>
      </c>
      <c r="D1492" s="15" t="s">
        <v>1568</v>
      </c>
      <c r="E1492" s="15" t="s">
        <v>68</v>
      </c>
      <c r="F1492" s="13" t="s">
        <v>50</v>
      </c>
      <c r="G1492" s="13" t="s">
        <v>51</v>
      </c>
      <c r="H1492" s="16" t="s">
        <v>481</v>
      </c>
      <c r="I1492" s="16" t="s">
        <v>53</v>
      </c>
      <c r="J1492" s="14">
        <v>24</v>
      </c>
      <c r="K1492" s="17"/>
      <c r="L1492" s="17" t="s">
        <v>212</v>
      </c>
      <c r="M1492" s="17"/>
      <c r="N1492" s="14" t="s">
        <v>85</v>
      </c>
      <c r="O1492" s="17" t="s">
        <v>86</v>
      </c>
      <c r="P1492" s="17"/>
      <c r="Q1492" s="17"/>
      <c r="R1492" s="17"/>
      <c r="S1492" s="17">
        <v>3.36</v>
      </c>
      <c r="T1492" s="17">
        <v>2</v>
      </c>
      <c r="U1492" s="20">
        <f t="shared" si="100"/>
        <v>0.59523809523809523</v>
      </c>
      <c r="V1492" s="41">
        <f t="shared" si="103"/>
        <v>-40.476190476190474</v>
      </c>
      <c r="W1492" s="17"/>
      <c r="X1492" s="17" t="s">
        <v>56</v>
      </c>
      <c r="Z1492" s="17" t="s">
        <v>56</v>
      </c>
      <c r="AA1492" s="17"/>
      <c r="AB1492" s="17" t="s">
        <v>57</v>
      </c>
      <c r="AC1492" s="17">
        <v>2009</v>
      </c>
      <c r="AD1492" s="17">
        <v>1</v>
      </c>
      <c r="AE1492" s="17"/>
      <c r="AF1492" s="17"/>
      <c r="AG1492" s="17">
        <v>2004</v>
      </c>
      <c r="AH1492" s="14">
        <f t="shared" si="101"/>
        <v>5</v>
      </c>
      <c r="AI1492" s="17">
        <f t="shared" si="102"/>
        <v>6</v>
      </c>
      <c r="AJ1492" s="17"/>
      <c r="AK1492" s="17" t="s">
        <v>58</v>
      </c>
      <c r="AL1492" s="16" t="s">
        <v>1570</v>
      </c>
      <c r="AM1492" s="17">
        <v>2013</v>
      </c>
      <c r="AN1492" s="15" t="s">
        <v>232</v>
      </c>
      <c r="AO1492" s="15" t="s">
        <v>56</v>
      </c>
      <c r="AP1492" s="15"/>
      <c r="AQ1492" s="15" t="s">
        <v>56</v>
      </c>
      <c r="AR1492" s="15" t="s">
        <v>58</v>
      </c>
      <c r="AS1492" s="15" t="s">
        <v>62</v>
      </c>
      <c r="AT1492" s="15"/>
      <c r="AU1492" s="45" t="s">
        <v>1571</v>
      </c>
      <c r="AV1492" s="15"/>
      <c r="AW1492" s="12" t="str">
        <f>B1492&amp;C1492&amp;L1492&amp;M1492&amp;O1492&amp;U1492&amp;AL1492&amp;AM1492</f>
        <v>ItalyPlemmirio Marine Protected AreaTripterygion delaisidensity0.595238095238095Pierpaolo2013</v>
      </c>
    </row>
    <row r="1493" spans="1:49" ht="14.5" x14ac:dyDescent="0.35">
      <c r="A1493" s="12">
        <v>1492</v>
      </c>
      <c r="B1493" s="12" t="s">
        <v>1527</v>
      </c>
      <c r="C1493" s="12" t="s">
        <v>1568</v>
      </c>
      <c r="D1493" s="12" t="s">
        <v>1568</v>
      </c>
      <c r="E1493" s="12" t="s">
        <v>68</v>
      </c>
      <c r="F1493" s="13" t="s">
        <v>50</v>
      </c>
      <c r="G1493" s="13" t="s">
        <v>51</v>
      </c>
      <c r="H1493" s="13" t="s">
        <v>481</v>
      </c>
      <c r="I1493" s="13" t="s">
        <v>53</v>
      </c>
      <c r="J1493" s="14">
        <v>24</v>
      </c>
      <c r="K1493" s="17"/>
      <c r="L1493" s="14"/>
      <c r="M1493" s="14" t="s">
        <v>69</v>
      </c>
      <c r="N1493" s="14" t="s">
        <v>1070</v>
      </c>
      <c r="O1493" s="17" t="s">
        <v>55</v>
      </c>
      <c r="P1493" s="14"/>
      <c r="Q1493" s="14"/>
      <c r="R1493" s="14"/>
      <c r="S1493" s="14">
        <v>11.5</v>
      </c>
      <c r="T1493" s="14">
        <v>14.21</v>
      </c>
      <c r="U1493" s="19">
        <f t="shared" si="100"/>
        <v>1.2356521739130435</v>
      </c>
      <c r="V1493" s="41">
        <f t="shared" si="103"/>
        <v>23.565217391304351</v>
      </c>
      <c r="W1493" s="14"/>
      <c r="X1493" s="14" t="s">
        <v>56</v>
      </c>
      <c r="Z1493" s="14" t="s">
        <v>56</v>
      </c>
      <c r="AA1493" s="14"/>
      <c r="AB1493" s="14" t="s">
        <v>57</v>
      </c>
      <c r="AC1493" s="14">
        <v>2009</v>
      </c>
      <c r="AD1493" s="14">
        <v>1</v>
      </c>
      <c r="AE1493" s="14"/>
      <c r="AF1493" s="14"/>
      <c r="AG1493" s="14">
        <v>2004</v>
      </c>
      <c r="AH1493" s="14">
        <f t="shared" si="101"/>
        <v>5</v>
      </c>
      <c r="AI1493" s="17">
        <f t="shared" si="102"/>
        <v>6</v>
      </c>
      <c r="AJ1493" s="14"/>
      <c r="AK1493" s="14" t="s">
        <v>58</v>
      </c>
      <c r="AL1493" s="13" t="s">
        <v>1570</v>
      </c>
      <c r="AM1493" s="14">
        <v>2013</v>
      </c>
      <c r="AN1493" s="15" t="s">
        <v>232</v>
      </c>
      <c r="AO1493" s="12" t="s">
        <v>56</v>
      </c>
      <c r="AP1493" s="12"/>
      <c r="AQ1493" s="12" t="s">
        <v>56</v>
      </c>
      <c r="AR1493" s="12" t="s">
        <v>58</v>
      </c>
      <c r="AS1493" s="12" t="s">
        <v>62</v>
      </c>
      <c r="AT1493" s="12"/>
      <c r="AU1493" s="45" t="s">
        <v>1571</v>
      </c>
      <c r="AV1493" s="15"/>
      <c r="AW1493" s="12" t="str">
        <f>B1493&amp;C1493&amp;L1493&amp;M1493&amp;O1493&amp;U1493&amp;AL1493&amp;AM1493</f>
        <v>ItalyPlemmirio Marine Protected Areafishrichness1.23565217391304Pierpaolo2013</v>
      </c>
    </row>
    <row r="1494" spans="1:49" ht="14.5" x14ac:dyDescent="0.35">
      <c r="A1494" s="12">
        <v>1493</v>
      </c>
      <c r="B1494" s="12" t="s">
        <v>1527</v>
      </c>
      <c r="C1494" s="12" t="s">
        <v>1568</v>
      </c>
      <c r="D1494" s="12" t="s">
        <v>1568</v>
      </c>
      <c r="E1494" s="12" t="s">
        <v>68</v>
      </c>
      <c r="F1494" s="13" t="s">
        <v>50</v>
      </c>
      <c r="G1494" s="13" t="s">
        <v>51</v>
      </c>
      <c r="H1494" s="13" t="s">
        <v>481</v>
      </c>
      <c r="I1494" s="13" t="s">
        <v>53</v>
      </c>
      <c r="J1494" s="14">
        <v>24</v>
      </c>
      <c r="K1494" s="17"/>
      <c r="L1494" s="14"/>
      <c r="M1494" s="14" t="s">
        <v>1420</v>
      </c>
      <c r="N1494" s="53" t="s">
        <v>98</v>
      </c>
      <c r="O1494" s="17" t="s">
        <v>86</v>
      </c>
      <c r="P1494" s="14"/>
      <c r="Q1494" s="14"/>
      <c r="R1494" s="14"/>
      <c r="S1494" s="14">
        <v>215.2</v>
      </c>
      <c r="T1494" s="14">
        <v>300</v>
      </c>
      <c r="U1494" s="19">
        <f t="shared" si="100"/>
        <v>1.3940520446096656</v>
      </c>
      <c r="V1494" s="41">
        <f t="shared" si="103"/>
        <v>39.405204460966559</v>
      </c>
      <c r="W1494" s="14"/>
      <c r="X1494" s="14" t="s">
        <v>56</v>
      </c>
      <c r="Z1494" s="14" t="s">
        <v>56</v>
      </c>
      <c r="AA1494" s="14"/>
      <c r="AB1494" s="14" t="s">
        <v>57</v>
      </c>
      <c r="AC1494" s="14">
        <v>2009</v>
      </c>
      <c r="AD1494" s="14">
        <v>1</v>
      </c>
      <c r="AE1494" s="14"/>
      <c r="AF1494" s="14"/>
      <c r="AG1494" s="14">
        <v>2004</v>
      </c>
      <c r="AH1494" s="14">
        <f t="shared" si="101"/>
        <v>5</v>
      </c>
      <c r="AI1494" s="17">
        <f t="shared" si="102"/>
        <v>6</v>
      </c>
      <c r="AJ1494" s="14"/>
      <c r="AK1494" s="14" t="s">
        <v>58</v>
      </c>
      <c r="AL1494" s="13" t="s">
        <v>1570</v>
      </c>
      <c r="AM1494" s="14">
        <v>2013</v>
      </c>
      <c r="AN1494" s="12" t="s">
        <v>232</v>
      </c>
      <c r="AO1494" s="12" t="s">
        <v>56</v>
      </c>
      <c r="AP1494" s="12"/>
      <c r="AQ1494" s="12" t="s">
        <v>56</v>
      </c>
      <c r="AR1494" s="12" t="s">
        <v>58</v>
      </c>
      <c r="AS1494" s="12" t="s">
        <v>62</v>
      </c>
      <c r="AT1494" s="12"/>
      <c r="AU1494" s="45" t="s">
        <v>1571</v>
      </c>
      <c r="AV1494" s="15"/>
      <c r="AW1494" s="12" t="str">
        <f>B1494&amp;C1494&amp;L1494&amp;M1494&amp;O1494&amp;U1494&amp;AL1494&amp;AM1494</f>
        <v>ItalyPlemmirio Marine Protected Areasmall fishdensity1.39405204460967Pierpaolo2013</v>
      </c>
    </row>
    <row r="1495" spans="1:49" ht="14.5" x14ac:dyDescent="0.35">
      <c r="A1495" s="12">
        <v>1494</v>
      </c>
      <c r="B1495" s="15" t="s">
        <v>1527</v>
      </c>
      <c r="C1495" s="15" t="s">
        <v>1568</v>
      </c>
      <c r="D1495" s="15" t="s">
        <v>1568</v>
      </c>
      <c r="E1495" s="15" t="s">
        <v>68</v>
      </c>
      <c r="F1495" s="16" t="s">
        <v>50</v>
      </c>
      <c r="G1495" s="16" t="s">
        <v>51</v>
      </c>
      <c r="H1495" s="16" t="s">
        <v>481</v>
      </c>
      <c r="I1495" s="16" t="s">
        <v>53</v>
      </c>
      <c r="J1495" s="14">
        <v>24</v>
      </c>
      <c r="K1495" s="17"/>
      <c r="L1495" s="17"/>
      <c r="M1495" s="17" t="s">
        <v>1422</v>
      </c>
      <c r="N1495" s="53" t="s">
        <v>98</v>
      </c>
      <c r="O1495" s="17" t="s">
        <v>86</v>
      </c>
      <c r="P1495" s="17"/>
      <c r="Q1495" s="17"/>
      <c r="R1495" s="17"/>
      <c r="S1495" s="17">
        <v>300.48</v>
      </c>
      <c r="T1495" s="17">
        <v>637.66399999999999</v>
      </c>
      <c r="U1495" s="20">
        <f t="shared" si="100"/>
        <v>2.1221512247071352</v>
      </c>
      <c r="V1495" s="41">
        <f t="shared" si="103"/>
        <v>112.21512247071352</v>
      </c>
      <c r="W1495" s="17"/>
      <c r="X1495" s="17" t="s">
        <v>56</v>
      </c>
      <c r="Z1495" s="17" t="s">
        <v>56</v>
      </c>
      <c r="AA1495" s="17"/>
      <c r="AB1495" s="17" t="s">
        <v>57</v>
      </c>
      <c r="AC1495" s="17">
        <v>2009</v>
      </c>
      <c r="AD1495" s="17">
        <v>1</v>
      </c>
      <c r="AE1495" s="17"/>
      <c r="AF1495" s="17"/>
      <c r="AG1495" s="17">
        <v>2004</v>
      </c>
      <c r="AH1495" s="14">
        <f t="shared" si="101"/>
        <v>5</v>
      </c>
      <c r="AI1495" s="17">
        <f t="shared" si="102"/>
        <v>6</v>
      </c>
      <c r="AJ1495" s="17"/>
      <c r="AK1495" s="17" t="s">
        <v>58</v>
      </c>
      <c r="AL1495" s="16" t="s">
        <v>1570</v>
      </c>
      <c r="AM1495" s="17">
        <v>2013</v>
      </c>
      <c r="AN1495" s="12" t="s">
        <v>232</v>
      </c>
      <c r="AO1495" s="15" t="s">
        <v>56</v>
      </c>
      <c r="AP1495" s="15"/>
      <c r="AQ1495" s="15" t="s">
        <v>56</v>
      </c>
      <c r="AR1495" s="15" t="s">
        <v>58</v>
      </c>
      <c r="AS1495" s="15" t="s">
        <v>62</v>
      </c>
      <c r="AT1495" s="15"/>
      <c r="AU1495" s="45" t="s">
        <v>1571</v>
      </c>
      <c r="AV1495" s="15"/>
      <c r="AW1495" s="12" t="str">
        <f>B1495&amp;C1495&amp;L1495&amp;M1495&amp;O1495&amp;U1495&amp;AL1495&amp;AM1495</f>
        <v>ItalyPlemmirio Marine Protected Areamedium fishdensity2.12215122470714Pierpaolo2013</v>
      </c>
    </row>
    <row r="1496" spans="1:49" ht="14.5" x14ac:dyDescent="0.35">
      <c r="A1496" s="12">
        <v>1495</v>
      </c>
      <c r="B1496" s="12" t="s">
        <v>1527</v>
      </c>
      <c r="C1496" s="12" t="s">
        <v>1568</v>
      </c>
      <c r="D1496" s="12" t="s">
        <v>1568</v>
      </c>
      <c r="E1496" s="12" t="s">
        <v>68</v>
      </c>
      <c r="F1496" s="13" t="s">
        <v>50</v>
      </c>
      <c r="G1496" s="13" t="s">
        <v>51</v>
      </c>
      <c r="H1496" s="13" t="s">
        <v>481</v>
      </c>
      <c r="I1496" s="13" t="s">
        <v>53</v>
      </c>
      <c r="J1496" s="14">
        <v>24</v>
      </c>
      <c r="K1496" s="14"/>
      <c r="L1496" s="14"/>
      <c r="M1496" s="14" t="s">
        <v>1354</v>
      </c>
      <c r="N1496" s="53" t="s">
        <v>98</v>
      </c>
      <c r="O1496" s="17" t="s">
        <v>86</v>
      </c>
      <c r="P1496" s="14"/>
      <c r="Q1496" s="14"/>
      <c r="R1496" s="14"/>
      <c r="S1496" s="14">
        <v>201.36</v>
      </c>
      <c r="T1496" s="14">
        <v>867.36</v>
      </c>
      <c r="U1496" s="19">
        <f t="shared" si="100"/>
        <v>4.3075089392133492</v>
      </c>
      <c r="V1496" s="41">
        <f t="shared" si="103"/>
        <v>330.75089392133492</v>
      </c>
      <c r="W1496" s="14"/>
      <c r="X1496" s="14" t="s">
        <v>56</v>
      </c>
      <c r="Z1496" s="14" t="s">
        <v>56</v>
      </c>
      <c r="AA1496" s="17"/>
      <c r="AB1496" s="14" t="s">
        <v>57</v>
      </c>
      <c r="AC1496" s="14">
        <v>2009</v>
      </c>
      <c r="AD1496" s="14">
        <v>1</v>
      </c>
      <c r="AE1496" s="14"/>
      <c r="AF1496" s="14"/>
      <c r="AG1496" s="14">
        <v>2004</v>
      </c>
      <c r="AH1496" s="14">
        <f t="shared" si="101"/>
        <v>5</v>
      </c>
      <c r="AI1496" s="17">
        <f t="shared" si="102"/>
        <v>6</v>
      </c>
      <c r="AJ1496" s="14"/>
      <c r="AK1496" s="14" t="s">
        <v>58</v>
      </c>
      <c r="AL1496" s="13" t="s">
        <v>1570</v>
      </c>
      <c r="AM1496" s="14">
        <v>2013</v>
      </c>
      <c r="AN1496" s="12" t="s">
        <v>232</v>
      </c>
      <c r="AO1496" s="12" t="s">
        <v>56</v>
      </c>
      <c r="AP1496" s="12"/>
      <c r="AQ1496" s="12" t="s">
        <v>56</v>
      </c>
      <c r="AR1496" s="12" t="s">
        <v>58</v>
      </c>
      <c r="AS1496" s="12" t="s">
        <v>62</v>
      </c>
      <c r="AT1496" s="12"/>
      <c r="AU1496" s="45" t="s">
        <v>1571</v>
      </c>
      <c r="AV1496" s="15"/>
      <c r="AW1496" s="12" t="str">
        <f>B1496&amp;C1496&amp;L1496&amp;M1496&amp;O1496&amp;U1496&amp;AL1496&amp;AM1496</f>
        <v>ItalyPlemmirio Marine Protected Arealarge fishdensity4.30750893921335Pierpaolo2013</v>
      </c>
    </row>
    <row r="1497" spans="1:49" ht="14.5" x14ac:dyDescent="0.35">
      <c r="A1497" s="12">
        <v>1496</v>
      </c>
      <c r="B1497" s="12" t="s">
        <v>713</v>
      </c>
      <c r="C1497" s="12" t="s">
        <v>714</v>
      </c>
      <c r="D1497" s="12" t="s">
        <v>715</v>
      </c>
      <c r="E1497" s="12" t="s">
        <v>49</v>
      </c>
      <c r="F1497" s="13" t="s">
        <v>274</v>
      </c>
      <c r="G1497" s="13" t="s">
        <v>428</v>
      </c>
      <c r="H1497" s="13" t="s">
        <v>78</v>
      </c>
      <c r="I1497" s="13" t="s">
        <v>53</v>
      </c>
      <c r="J1497" s="14">
        <v>2.1</v>
      </c>
      <c r="K1497" s="14"/>
      <c r="L1497" s="14"/>
      <c r="M1497" s="14" t="s">
        <v>2796</v>
      </c>
      <c r="N1497" s="53" t="s">
        <v>98</v>
      </c>
      <c r="O1497" s="17" t="s">
        <v>55</v>
      </c>
      <c r="P1497" s="14"/>
      <c r="Q1497" s="14"/>
      <c r="R1497" s="14"/>
      <c r="S1497" s="14">
        <v>44</v>
      </c>
      <c r="T1497" s="14">
        <v>34</v>
      </c>
      <c r="U1497" s="19">
        <f t="shared" si="100"/>
        <v>0.77272727272727271</v>
      </c>
      <c r="V1497" s="41">
        <f t="shared" si="103"/>
        <v>-22.72727272727273</v>
      </c>
      <c r="W1497" s="14"/>
      <c r="X1497" s="14" t="s">
        <v>56</v>
      </c>
      <c r="Z1497" s="14" t="s">
        <v>56</v>
      </c>
      <c r="AA1497" s="17"/>
      <c r="AB1497" s="14" t="s">
        <v>57</v>
      </c>
      <c r="AC1497" s="14">
        <v>2015</v>
      </c>
      <c r="AD1497" s="14">
        <v>0</v>
      </c>
      <c r="AE1497" s="14"/>
      <c r="AF1497" s="14"/>
      <c r="AG1497" s="14">
        <v>2005</v>
      </c>
      <c r="AH1497" s="14">
        <f t="shared" si="101"/>
        <v>10</v>
      </c>
      <c r="AI1497" s="17">
        <f t="shared" si="102"/>
        <v>10</v>
      </c>
      <c r="AJ1497" s="14"/>
      <c r="AK1497" s="14" t="s">
        <v>56</v>
      </c>
      <c r="AL1497" s="13" t="s">
        <v>716</v>
      </c>
      <c r="AM1497" s="14">
        <v>2017</v>
      </c>
      <c r="AN1497" s="12" t="s">
        <v>459</v>
      </c>
      <c r="AO1497" s="12" t="s">
        <v>56</v>
      </c>
      <c r="AP1497" s="12"/>
      <c r="AQ1497" s="12" t="s">
        <v>56</v>
      </c>
      <c r="AR1497" s="12" t="s">
        <v>58</v>
      </c>
      <c r="AS1497" s="12" t="s">
        <v>62</v>
      </c>
      <c r="AT1497" s="12"/>
      <c r="AU1497" s="45"/>
      <c r="AV1497" s="15"/>
      <c r="AW1497" s="12" t="str">
        <f>B1497&amp;C1497&amp;L1497&amp;M1497&amp;O1497&amp;U1497&amp;AL1497&amp;AM1497</f>
        <v>CanadaEastport MPAbenthic macrofaunarichness0.772727272727273Novaczek2017</v>
      </c>
    </row>
    <row r="1498" spans="1:49" ht="14.5" x14ac:dyDescent="0.35">
      <c r="A1498" s="12">
        <v>1497</v>
      </c>
      <c r="B1498" s="12" t="s">
        <v>1527</v>
      </c>
      <c r="C1498" s="12" t="s">
        <v>2761</v>
      </c>
      <c r="D1498" s="12" t="s">
        <v>2761</v>
      </c>
      <c r="E1498" s="12" t="s">
        <v>68</v>
      </c>
      <c r="F1498" s="13" t="s">
        <v>50</v>
      </c>
      <c r="G1498" s="13" t="s">
        <v>51</v>
      </c>
      <c r="H1498" s="13" t="s">
        <v>481</v>
      </c>
      <c r="I1498" s="13" t="s">
        <v>53</v>
      </c>
      <c r="K1498" s="14">
        <v>180</v>
      </c>
      <c r="L1498" s="14"/>
      <c r="M1498" s="14" t="s">
        <v>2010</v>
      </c>
      <c r="N1498" s="53" t="s">
        <v>98</v>
      </c>
      <c r="O1498" s="14" t="s">
        <v>86</v>
      </c>
      <c r="P1498" s="14"/>
      <c r="Q1498" s="14"/>
      <c r="R1498" s="14"/>
      <c r="S1498" s="14">
        <v>75.324680000000001</v>
      </c>
      <c r="T1498" s="14">
        <v>405.19479999999999</v>
      </c>
      <c r="U1498" s="19">
        <f t="shared" si="100"/>
        <v>5.3793099419738653</v>
      </c>
      <c r="V1498" s="41">
        <f t="shared" si="103"/>
        <v>437.93099419738655</v>
      </c>
      <c r="W1498" s="14"/>
      <c r="X1498" s="14" t="s">
        <v>58</v>
      </c>
      <c r="Y1498" s="14">
        <v>75</v>
      </c>
      <c r="Z1498" s="14" t="s">
        <v>56</v>
      </c>
      <c r="AA1498" s="17"/>
      <c r="AB1498" s="14" t="s">
        <v>57</v>
      </c>
      <c r="AC1498" s="14">
        <v>2016</v>
      </c>
      <c r="AD1498" s="14">
        <v>0</v>
      </c>
      <c r="AE1498" s="14"/>
      <c r="AF1498" s="14"/>
      <c r="AG1498" s="14" t="s">
        <v>509</v>
      </c>
      <c r="AH1498" s="14" t="str">
        <f t="shared" si="101"/>
        <v>NA</v>
      </c>
      <c r="AI1498" s="17" t="str">
        <f t="shared" si="102"/>
        <v>NA</v>
      </c>
      <c r="AJ1498" s="14"/>
      <c r="AK1498" s="14" t="s">
        <v>56</v>
      </c>
      <c r="AL1498" s="13" t="s">
        <v>2011</v>
      </c>
      <c r="AM1498" s="14">
        <v>2018</v>
      </c>
      <c r="AN1498" s="12" t="s">
        <v>685</v>
      </c>
      <c r="AO1498" s="12" t="s">
        <v>56</v>
      </c>
      <c r="AP1498" s="12"/>
      <c r="AQ1498" s="12" t="s">
        <v>56</v>
      </c>
      <c r="AR1498" s="12" t="s">
        <v>58</v>
      </c>
      <c r="AS1498" s="12" t="s">
        <v>62</v>
      </c>
      <c r="AT1498" s="12"/>
      <c r="AU1498" s="45" t="s">
        <v>2762</v>
      </c>
      <c r="AV1498" s="15"/>
      <c r="AW1498" s="12" t="str">
        <f>B1498&amp;C1498&amp;L1498&amp;M1498&amp;O1498&amp;U1498&amp;AL1498&amp;AM1498</f>
        <v>ItalyUstica Island MPA and Capo Gallo-Isola delle Femmine MPAPercnon gibbesi predatorsdensity5.37930994197387Noe2018</v>
      </c>
    </row>
    <row r="1499" spans="1:49" ht="14.5" x14ac:dyDescent="0.35">
      <c r="A1499" s="12">
        <v>1498</v>
      </c>
      <c r="B1499" s="12" t="s">
        <v>1527</v>
      </c>
      <c r="C1499" s="12" t="s">
        <v>2761</v>
      </c>
      <c r="D1499" s="12" t="s">
        <v>2761</v>
      </c>
      <c r="E1499" s="12" t="s">
        <v>68</v>
      </c>
      <c r="F1499" s="13" t="s">
        <v>50</v>
      </c>
      <c r="G1499" s="13" t="s">
        <v>51</v>
      </c>
      <c r="H1499" s="13" t="s">
        <v>481</v>
      </c>
      <c r="I1499" s="13" t="s">
        <v>53</v>
      </c>
      <c r="K1499" s="17">
        <v>180</v>
      </c>
      <c r="L1499" s="14"/>
      <c r="M1499" s="14" t="s">
        <v>2010</v>
      </c>
      <c r="N1499" s="53" t="s">
        <v>98</v>
      </c>
      <c r="O1499" s="14" t="s">
        <v>55</v>
      </c>
      <c r="P1499" s="14"/>
      <c r="Q1499" s="14"/>
      <c r="R1499" s="14"/>
      <c r="S1499" s="14">
        <v>2.883721</v>
      </c>
      <c r="T1499" s="14">
        <v>8.2790700000000008</v>
      </c>
      <c r="U1499" s="19">
        <f t="shared" si="100"/>
        <v>2.8709677531217483</v>
      </c>
      <c r="V1499" s="41">
        <f t="shared" si="103"/>
        <v>187.09677531217483</v>
      </c>
      <c r="W1499" s="14"/>
      <c r="X1499" s="14" t="s">
        <v>58</v>
      </c>
      <c r="Y1499" s="14">
        <v>75</v>
      </c>
      <c r="Z1499" s="14" t="s">
        <v>56</v>
      </c>
      <c r="AA1499" s="17"/>
      <c r="AB1499" s="14" t="s">
        <v>57</v>
      </c>
      <c r="AC1499" s="14">
        <v>2016</v>
      </c>
      <c r="AD1499" s="14">
        <v>0</v>
      </c>
      <c r="AE1499" s="14"/>
      <c r="AF1499" s="14"/>
      <c r="AG1499" s="14" t="s">
        <v>509</v>
      </c>
      <c r="AH1499" s="14" t="str">
        <f t="shared" si="101"/>
        <v>NA</v>
      </c>
      <c r="AI1499" s="17" t="str">
        <f t="shared" si="102"/>
        <v>NA</v>
      </c>
      <c r="AJ1499" s="14"/>
      <c r="AK1499" s="14" t="s">
        <v>56</v>
      </c>
      <c r="AL1499" s="13" t="s">
        <v>2011</v>
      </c>
      <c r="AM1499" s="14">
        <v>2018</v>
      </c>
      <c r="AN1499" s="12" t="s">
        <v>685</v>
      </c>
      <c r="AO1499" s="12" t="s">
        <v>56</v>
      </c>
      <c r="AP1499" s="12"/>
      <c r="AQ1499" s="12" t="s">
        <v>56</v>
      </c>
      <c r="AR1499" s="12" t="s">
        <v>58</v>
      </c>
      <c r="AS1499" s="12" t="s">
        <v>62</v>
      </c>
      <c r="AT1499" s="12"/>
      <c r="AU1499" s="45" t="s">
        <v>2762</v>
      </c>
      <c r="AV1499" s="15"/>
      <c r="AW1499" s="12" t="str">
        <f>B1499&amp;C1499&amp;L1499&amp;M1499&amp;O1499&amp;U1499&amp;AL1499&amp;AM1499</f>
        <v>ItalyUstica Island MPA and Capo Gallo-Isola delle Femmine MPAPercnon gibbesi predatorsrichness2.87096775312175Noe2018</v>
      </c>
    </row>
    <row r="1500" spans="1:49" ht="14.5" x14ac:dyDescent="0.35">
      <c r="A1500" s="12">
        <v>1499</v>
      </c>
      <c r="B1500" s="12" t="s">
        <v>75</v>
      </c>
      <c r="C1500" s="12" t="s">
        <v>1118</v>
      </c>
      <c r="D1500" s="12" t="s">
        <v>1118</v>
      </c>
      <c r="E1500" s="12" t="s">
        <v>68</v>
      </c>
      <c r="F1500" s="13" t="s">
        <v>50</v>
      </c>
      <c r="G1500" s="13" t="s">
        <v>51</v>
      </c>
      <c r="H1500" s="13" t="s">
        <v>78</v>
      </c>
      <c r="I1500" s="13" t="s">
        <v>53</v>
      </c>
      <c r="J1500" s="14">
        <v>2.16</v>
      </c>
      <c r="K1500" s="14"/>
      <c r="L1500" s="14" t="s">
        <v>1119</v>
      </c>
      <c r="M1500" s="14" t="s">
        <v>1120</v>
      </c>
      <c r="N1500" s="14" t="s">
        <v>85</v>
      </c>
      <c r="O1500" s="14" t="s">
        <v>86</v>
      </c>
      <c r="P1500" s="14"/>
      <c r="Q1500" s="14"/>
      <c r="R1500" s="14"/>
      <c r="S1500" s="14">
        <v>27.298850000000002</v>
      </c>
      <c r="T1500" s="14">
        <v>30.172409999999999</v>
      </c>
      <c r="U1500" s="19">
        <f t="shared" si="100"/>
        <v>1.1052630422160639</v>
      </c>
      <c r="V1500" s="41">
        <f t="shared" si="103"/>
        <v>10.526304221606386</v>
      </c>
      <c r="W1500" s="14"/>
      <c r="X1500" s="14" t="s">
        <v>56</v>
      </c>
      <c r="Z1500" s="14" t="s">
        <v>56</v>
      </c>
      <c r="AA1500" s="17"/>
      <c r="AB1500" s="14" t="s">
        <v>57</v>
      </c>
      <c r="AC1500" s="14">
        <v>2008</v>
      </c>
      <c r="AD1500" s="14">
        <v>1</v>
      </c>
      <c r="AE1500" s="14"/>
      <c r="AF1500" s="14"/>
      <c r="AG1500" s="14">
        <v>1971</v>
      </c>
      <c r="AH1500" s="14">
        <f t="shared" si="101"/>
        <v>37</v>
      </c>
      <c r="AI1500" s="17">
        <f t="shared" si="102"/>
        <v>38</v>
      </c>
      <c r="AJ1500" s="14"/>
      <c r="AK1500" s="14" t="s">
        <v>56</v>
      </c>
      <c r="AL1500" s="13" t="s">
        <v>1121</v>
      </c>
      <c r="AM1500" s="14">
        <v>2015</v>
      </c>
      <c r="AN1500" s="12" t="s">
        <v>190</v>
      </c>
      <c r="AO1500" s="12" t="s">
        <v>56</v>
      </c>
      <c r="AP1500" s="12"/>
      <c r="AQ1500" s="12" t="s">
        <v>56</v>
      </c>
      <c r="AR1500" s="12" t="s">
        <v>58</v>
      </c>
      <c r="AS1500" s="12" t="s">
        <v>62</v>
      </c>
      <c r="AT1500" s="12"/>
      <c r="AU1500" s="45"/>
      <c r="AV1500" s="15"/>
      <c r="AW1500" s="12" t="str">
        <f>B1500&amp;C1500&amp;L1500&amp;M1500&amp;O1500&amp;U1500&amp;AL1500&amp;AM1500</f>
        <v>United StatesLa Jolla Ecological ReserveStrongylocentrotus franciscanusred urchinsdensity1.10526304221606Nichols2015</v>
      </c>
    </row>
    <row r="1501" spans="1:49" ht="14.5" x14ac:dyDescent="0.35">
      <c r="A1501" s="12">
        <v>1500</v>
      </c>
      <c r="B1501" s="12" t="s">
        <v>75</v>
      </c>
      <c r="C1501" s="12" t="s">
        <v>1118</v>
      </c>
      <c r="D1501" s="15" t="s">
        <v>1118</v>
      </c>
      <c r="E1501" s="12" t="s">
        <v>68</v>
      </c>
      <c r="F1501" s="13" t="s">
        <v>50</v>
      </c>
      <c r="G1501" s="13" t="s">
        <v>51</v>
      </c>
      <c r="H1501" s="16" t="s">
        <v>78</v>
      </c>
      <c r="I1501" s="16" t="s">
        <v>53</v>
      </c>
      <c r="J1501" s="14">
        <v>2.16</v>
      </c>
      <c r="K1501" s="17"/>
      <c r="L1501" s="17" t="s">
        <v>137</v>
      </c>
      <c r="M1501" s="17" t="s">
        <v>1122</v>
      </c>
      <c r="N1501" s="14" t="s">
        <v>85</v>
      </c>
      <c r="O1501" s="17" t="s">
        <v>86</v>
      </c>
      <c r="P1501" s="17"/>
      <c r="Q1501" s="17"/>
      <c r="R1501" s="17"/>
      <c r="S1501" s="17">
        <v>181.03450000000001</v>
      </c>
      <c r="T1501" s="17">
        <v>50.28736</v>
      </c>
      <c r="U1501" s="19">
        <f t="shared" si="100"/>
        <v>0.27777777164021222</v>
      </c>
      <c r="V1501" s="41">
        <f t="shared" si="103"/>
        <v>-72.222222835978783</v>
      </c>
      <c r="W1501" s="14"/>
      <c r="X1501" s="17" t="s">
        <v>56</v>
      </c>
      <c r="Z1501" s="17" t="s">
        <v>56</v>
      </c>
      <c r="AA1501" s="17"/>
      <c r="AB1501" s="17" t="s">
        <v>57</v>
      </c>
      <c r="AC1501" s="17">
        <v>2008</v>
      </c>
      <c r="AD1501" s="17">
        <v>1</v>
      </c>
      <c r="AE1501" s="17"/>
      <c r="AF1501" s="17"/>
      <c r="AG1501" s="17">
        <v>1971</v>
      </c>
      <c r="AH1501" s="14">
        <f t="shared" si="101"/>
        <v>37</v>
      </c>
      <c r="AI1501" s="17">
        <f t="shared" si="102"/>
        <v>38</v>
      </c>
      <c r="AJ1501" s="17"/>
      <c r="AK1501" s="17" t="s">
        <v>56</v>
      </c>
      <c r="AL1501" s="16" t="s">
        <v>1121</v>
      </c>
      <c r="AM1501" s="17">
        <v>2015</v>
      </c>
      <c r="AN1501" s="12" t="s">
        <v>190</v>
      </c>
      <c r="AO1501" s="15" t="s">
        <v>56</v>
      </c>
      <c r="AP1501" s="15"/>
      <c r="AQ1501" s="15" t="s">
        <v>56</v>
      </c>
      <c r="AR1501" s="15" t="s">
        <v>58</v>
      </c>
      <c r="AS1501" s="15" t="s">
        <v>62</v>
      </c>
      <c r="AT1501" s="12"/>
      <c r="AU1501" s="45"/>
      <c r="AV1501" s="15"/>
      <c r="AW1501" s="12" t="str">
        <f>B1501&amp;C1501&amp;L1501&amp;M1501&amp;O1501&amp;U1501&amp;AL1501&amp;AM1501</f>
        <v>United StatesLa Jolla Ecological ReserveStrongylocentrotus purpuratuspurple urchinsdensity0.277777771640212Nichols2015</v>
      </c>
    </row>
    <row r="1502" spans="1:49" ht="14.5" x14ac:dyDescent="0.35">
      <c r="A1502" s="12">
        <v>1501</v>
      </c>
      <c r="B1502" s="12" t="s">
        <v>75</v>
      </c>
      <c r="C1502" s="15" t="s">
        <v>1118</v>
      </c>
      <c r="D1502" s="15" t="s">
        <v>1118</v>
      </c>
      <c r="E1502" s="15" t="s">
        <v>68</v>
      </c>
      <c r="F1502" s="13" t="s">
        <v>50</v>
      </c>
      <c r="G1502" s="13" t="s">
        <v>51</v>
      </c>
      <c r="H1502" s="16" t="s">
        <v>78</v>
      </c>
      <c r="I1502" s="16" t="s">
        <v>53</v>
      </c>
      <c r="J1502" s="17">
        <v>2.16</v>
      </c>
      <c r="K1502" s="17"/>
      <c r="L1502" s="17" t="s">
        <v>109</v>
      </c>
      <c r="M1502" s="17" t="s">
        <v>1123</v>
      </c>
      <c r="N1502" s="14" t="s">
        <v>85</v>
      </c>
      <c r="O1502" s="17" t="s">
        <v>86</v>
      </c>
      <c r="P1502" s="17"/>
      <c r="Q1502" s="17"/>
      <c r="R1502" s="17"/>
      <c r="S1502" s="17">
        <v>37.15278</v>
      </c>
      <c r="T1502" s="17">
        <v>54.861109999999996</v>
      </c>
      <c r="U1502" s="20">
        <f t="shared" si="100"/>
        <v>1.4766353957900322</v>
      </c>
      <c r="V1502" s="41">
        <f t="shared" si="103"/>
        <v>47.663539579003221</v>
      </c>
      <c r="W1502" s="17"/>
      <c r="X1502" s="17" t="s">
        <v>56</v>
      </c>
      <c r="Z1502" s="17" t="s">
        <v>56</v>
      </c>
      <c r="AA1502" s="17"/>
      <c r="AB1502" s="17" t="s">
        <v>57</v>
      </c>
      <c r="AC1502" s="17">
        <v>2008</v>
      </c>
      <c r="AD1502" s="17">
        <v>1</v>
      </c>
      <c r="AE1502" s="17"/>
      <c r="AF1502" s="17"/>
      <c r="AG1502" s="17">
        <v>1971</v>
      </c>
      <c r="AH1502" s="14">
        <f t="shared" si="101"/>
        <v>37</v>
      </c>
      <c r="AI1502" s="17">
        <f t="shared" si="102"/>
        <v>38</v>
      </c>
      <c r="AJ1502" s="17"/>
      <c r="AK1502" s="17" t="s">
        <v>56</v>
      </c>
      <c r="AL1502" s="16" t="s">
        <v>1121</v>
      </c>
      <c r="AM1502" s="17">
        <v>2015</v>
      </c>
      <c r="AN1502" s="12" t="s">
        <v>190</v>
      </c>
      <c r="AO1502" s="15" t="s">
        <v>56</v>
      </c>
      <c r="AP1502" s="15"/>
      <c r="AQ1502" s="15" t="s">
        <v>56</v>
      </c>
      <c r="AR1502" s="15" t="s">
        <v>58</v>
      </c>
      <c r="AS1502" s="15" t="s">
        <v>62</v>
      </c>
      <c r="AT1502" s="15"/>
      <c r="AU1502" s="45"/>
      <c r="AV1502" s="15"/>
      <c r="AW1502" s="12" t="str">
        <f>B1502&amp;C1502&amp;L1502&amp;M1502&amp;O1502&amp;U1502&amp;AL1502&amp;AM1502</f>
        <v>United StatesLa Jolla Ecological ReservePanulirus interruptuscalifornia spiny lobstersdensity1.47663539579003Nichols2015</v>
      </c>
    </row>
    <row r="1503" spans="1:49" ht="14.5" x14ac:dyDescent="0.35">
      <c r="A1503" s="12">
        <v>1502</v>
      </c>
      <c r="B1503" s="12" t="s">
        <v>75</v>
      </c>
      <c r="C1503" s="15" t="s">
        <v>1118</v>
      </c>
      <c r="D1503" s="15" t="s">
        <v>1118</v>
      </c>
      <c r="E1503" s="15" t="s">
        <v>68</v>
      </c>
      <c r="F1503" s="13" t="s">
        <v>50</v>
      </c>
      <c r="G1503" s="13" t="s">
        <v>51</v>
      </c>
      <c r="H1503" s="16" t="s">
        <v>78</v>
      </c>
      <c r="I1503" s="16" t="s">
        <v>53</v>
      </c>
      <c r="J1503" s="17">
        <v>2.16</v>
      </c>
      <c r="K1503" s="17"/>
      <c r="L1503" s="17"/>
      <c r="M1503" s="17" t="s">
        <v>1124</v>
      </c>
      <c r="N1503" s="53" t="s">
        <v>98</v>
      </c>
      <c r="O1503" s="17" t="s">
        <v>86</v>
      </c>
      <c r="P1503" s="17"/>
      <c r="Q1503" s="17"/>
      <c r="R1503" s="17"/>
      <c r="S1503" s="17">
        <v>61.458329999999997</v>
      </c>
      <c r="T1503" s="17">
        <v>48.263890000000004</v>
      </c>
      <c r="U1503" s="20">
        <f t="shared" si="100"/>
        <v>0.78531079513550084</v>
      </c>
      <c r="V1503" s="41">
        <f t="shared" si="103"/>
        <v>-21.468920486449917</v>
      </c>
      <c r="W1503" s="17"/>
      <c r="X1503" s="17" t="s">
        <v>56</v>
      </c>
      <c r="Z1503" s="17" t="s">
        <v>56</v>
      </c>
      <c r="AA1503" s="17"/>
      <c r="AB1503" s="17" t="s">
        <v>57</v>
      </c>
      <c r="AC1503" s="17">
        <v>2008</v>
      </c>
      <c r="AD1503" s="17">
        <v>1</v>
      </c>
      <c r="AE1503" s="17"/>
      <c r="AF1503" s="17"/>
      <c r="AG1503" s="17">
        <v>1971</v>
      </c>
      <c r="AH1503" s="14">
        <f t="shared" si="101"/>
        <v>37</v>
      </c>
      <c r="AI1503" s="17">
        <f t="shared" si="102"/>
        <v>38</v>
      </c>
      <c r="AJ1503" s="17"/>
      <c r="AK1503" s="17" t="s">
        <v>56</v>
      </c>
      <c r="AL1503" s="16" t="s">
        <v>1121</v>
      </c>
      <c r="AM1503" s="17">
        <v>2015</v>
      </c>
      <c r="AN1503" s="12" t="s">
        <v>190</v>
      </c>
      <c r="AO1503" s="15" t="s">
        <v>56</v>
      </c>
      <c r="AP1503" s="15"/>
      <c r="AQ1503" s="15" t="s">
        <v>56</v>
      </c>
      <c r="AR1503" s="15" t="s">
        <v>58</v>
      </c>
      <c r="AS1503" s="15" t="s">
        <v>62</v>
      </c>
      <c r="AT1503" s="15"/>
      <c r="AU1503" s="45"/>
      <c r="AV1503" s="15"/>
      <c r="AW1503" s="12" t="str">
        <f>B1503&amp;C1503&amp;L1503&amp;M1503&amp;O1503&amp;U1503&amp;AL1503&amp;AM1503</f>
        <v>United StatesLa Jolla Ecological Reservepredatory fishesdensity0.785310795135501Nichols2015</v>
      </c>
    </row>
    <row r="1504" spans="1:49" ht="14.5" x14ac:dyDescent="0.35">
      <c r="A1504" s="12">
        <v>1503</v>
      </c>
      <c r="B1504" s="12" t="s">
        <v>75</v>
      </c>
      <c r="C1504" s="15" t="s">
        <v>1118</v>
      </c>
      <c r="D1504" s="15" t="s">
        <v>1118</v>
      </c>
      <c r="E1504" s="12" t="s">
        <v>68</v>
      </c>
      <c r="F1504" s="13" t="s">
        <v>50</v>
      </c>
      <c r="G1504" s="13" t="s">
        <v>51</v>
      </c>
      <c r="H1504" s="16" t="s">
        <v>78</v>
      </c>
      <c r="I1504" s="16" t="s">
        <v>53</v>
      </c>
      <c r="J1504" s="17">
        <v>2.16</v>
      </c>
      <c r="K1504" s="17"/>
      <c r="L1504" s="17" t="s">
        <v>115</v>
      </c>
      <c r="M1504" s="17" t="s">
        <v>91</v>
      </c>
      <c r="N1504" s="14" t="s">
        <v>85</v>
      </c>
      <c r="O1504" s="17" t="s">
        <v>86</v>
      </c>
      <c r="P1504" s="17"/>
      <c r="Q1504" s="17"/>
      <c r="R1504" s="17"/>
      <c r="S1504" s="17">
        <v>263</v>
      </c>
      <c r="T1504" s="17">
        <v>63</v>
      </c>
      <c r="U1504" s="19">
        <f t="shared" si="100"/>
        <v>0.23954372623574144</v>
      </c>
      <c r="V1504" s="41">
        <f t="shared" si="103"/>
        <v>-76.045627376425855</v>
      </c>
      <c r="W1504" s="14"/>
      <c r="X1504" s="17" t="s">
        <v>56</v>
      </c>
      <c r="Z1504" s="17" t="s">
        <v>56</v>
      </c>
      <c r="AA1504" s="17"/>
      <c r="AB1504" s="17" t="s">
        <v>57</v>
      </c>
      <c r="AC1504" s="17">
        <v>2008</v>
      </c>
      <c r="AD1504" s="17">
        <v>1</v>
      </c>
      <c r="AE1504" s="17"/>
      <c r="AF1504" s="17"/>
      <c r="AG1504" s="17">
        <v>1971</v>
      </c>
      <c r="AH1504" s="14">
        <f t="shared" si="101"/>
        <v>37</v>
      </c>
      <c r="AI1504" s="17">
        <f t="shared" si="102"/>
        <v>38</v>
      </c>
      <c r="AJ1504" s="17"/>
      <c r="AK1504" s="17" t="s">
        <v>56</v>
      </c>
      <c r="AL1504" s="16" t="s">
        <v>1121</v>
      </c>
      <c r="AM1504" s="17">
        <v>2015</v>
      </c>
      <c r="AN1504" s="12" t="s">
        <v>190</v>
      </c>
      <c r="AO1504" s="15" t="s">
        <v>56</v>
      </c>
      <c r="AP1504" s="15"/>
      <c r="AQ1504" s="15" t="s">
        <v>56</v>
      </c>
      <c r="AR1504" s="15" t="s">
        <v>58</v>
      </c>
      <c r="AS1504" s="15" t="s">
        <v>62</v>
      </c>
      <c r="AT1504" s="12"/>
      <c r="AU1504" s="45"/>
      <c r="AV1504" s="15"/>
      <c r="AW1504" s="12" t="str">
        <f>B1504&amp;C1504&amp;L1504&amp;M1504&amp;O1504&amp;U1504&amp;AL1504&amp;AM1504</f>
        <v>United StatesLa Jolla Ecological ReserveSemicossyphus pulcherCalifornia sheepheaddensity0.239543726235741Nichols2015</v>
      </c>
    </row>
    <row r="1505" spans="1:49" ht="14.5" x14ac:dyDescent="0.35">
      <c r="A1505" s="12">
        <v>1504</v>
      </c>
      <c r="B1505" s="12" t="s">
        <v>75</v>
      </c>
      <c r="C1505" s="15" t="s">
        <v>1118</v>
      </c>
      <c r="D1505" s="15" t="s">
        <v>1118</v>
      </c>
      <c r="E1505" s="15" t="s">
        <v>68</v>
      </c>
      <c r="F1505" s="13" t="s">
        <v>50</v>
      </c>
      <c r="G1505" s="13" t="s">
        <v>51</v>
      </c>
      <c r="H1505" s="16" t="s">
        <v>78</v>
      </c>
      <c r="I1505" s="16" t="s">
        <v>53</v>
      </c>
      <c r="J1505" s="17">
        <v>2.16</v>
      </c>
      <c r="K1505" s="17"/>
      <c r="L1505" s="17" t="s">
        <v>84</v>
      </c>
      <c r="M1505" s="17" t="s">
        <v>1125</v>
      </c>
      <c r="N1505" s="14" t="s">
        <v>85</v>
      </c>
      <c r="O1505" s="17" t="s">
        <v>86</v>
      </c>
      <c r="P1505" s="17"/>
      <c r="Q1505" s="17"/>
      <c r="R1505" s="17"/>
      <c r="S1505" s="17">
        <v>450</v>
      </c>
      <c r="T1505" s="17">
        <v>525</v>
      </c>
      <c r="U1505" s="20">
        <f t="shared" si="100"/>
        <v>1.1666666666666667</v>
      </c>
      <c r="V1505" s="41">
        <f t="shared" si="103"/>
        <v>16.666666666666675</v>
      </c>
      <c r="W1505" s="17"/>
      <c r="X1505" s="17" t="s">
        <v>56</v>
      </c>
      <c r="Y1505" s="17"/>
      <c r="Z1505" s="17" t="s">
        <v>56</v>
      </c>
      <c r="AA1505" s="17"/>
      <c r="AB1505" s="17" t="s">
        <v>57</v>
      </c>
      <c r="AC1505" s="17">
        <v>2008</v>
      </c>
      <c r="AD1505" s="17">
        <v>1</v>
      </c>
      <c r="AE1505" s="17"/>
      <c r="AF1505" s="17"/>
      <c r="AG1505" s="17">
        <v>1971</v>
      </c>
      <c r="AH1505" s="14">
        <f t="shared" si="101"/>
        <v>37</v>
      </c>
      <c r="AI1505" s="17">
        <f t="shared" si="102"/>
        <v>38</v>
      </c>
      <c r="AJ1505" s="17"/>
      <c r="AK1505" s="17" t="s">
        <v>56</v>
      </c>
      <c r="AL1505" s="16" t="s">
        <v>1121</v>
      </c>
      <c r="AM1505" s="17">
        <v>2015</v>
      </c>
      <c r="AN1505" s="15" t="s">
        <v>190</v>
      </c>
      <c r="AO1505" s="15" t="s">
        <v>56</v>
      </c>
      <c r="AP1505" s="15"/>
      <c r="AQ1505" s="15" t="s">
        <v>56</v>
      </c>
      <c r="AR1505" s="15" t="s">
        <v>58</v>
      </c>
      <c r="AS1505" s="15" t="s">
        <v>62</v>
      </c>
      <c r="AT1505" s="15"/>
      <c r="AU1505" s="45"/>
      <c r="AV1505" s="15"/>
      <c r="AW1505" s="12" t="str">
        <f>B1505&amp;C1505&amp;L1505&amp;M1505&amp;O1505&amp;U1505&amp;AL1505&amp;AM1505</f>
        <v>United StatesLa Jolla Ecological ReserveParalabrax clathratusKelp bassdensity1.16666666666667Nichols2015</v>
      </c>
    </row>
    <row r="1506" spans="1:49" ht="14.5" x14ac:dyDescent="0.35">
      <c r="A1506" s="12">
        <v>1505</v>
      </c>
      <c r="B1506" s="12" t="s">
        <v>75</v>
      </c>
      <c r="C1506" s="15" t="s">
        <v>1118</v>
      </c>
      <c r="D1506" s="15" t="s">
        <v>1118</v>
      </c>
      <c r="E1506" s="15" t="s">
        <v>68</v>
      </c>
      <c r="F1506" s="13" t="s">
        <v>50</v>
      </c>
      <c r="G1506" s="13" t="s">
        <v>51</v>
      </c>
      <c r="H1506" s="16" t="s">
        <v>78</v>
      </c>
      <c r="I1506" s="16" t="s">
        <v>53</v>
      </c>
      <c r="J1506" s="17">
        <v>2.16</v>
      </c>
      <c r="K1506" s="17"/>
      <c r="L1506" s="17" t="s">
        <v>1126</v>
      </c>
      <c r="M1506" s="17" t="s">
        <v>133</v>
      </c>
      <c r="N1506" s="14" t="s">
        <v>85</v>
      </c>
      <c r="O1506" s="17" t="s">
        <v>86</v>
      </c>
      <c r="P1506" s="17"/>
      <c r="Q1506" s="17"/>
      <c r="R1506" s="17"/>
      <c r="S1506" s="17">
        <v>113</v>
      </c>
      <c r="T1506" s="17">
        <v>188</v>
      </c>
      <c r="U1506" s="20">
        <f t="shared" si="100"/>
        <v>1.663716814159292</v>
      </c>
      <c r="V1506" s="41">
        <f t="shared" si="103"/>
        <v>66.371681415929203</v>
      </c>
      <c r="W1506" s="17"/>
      <c r="X1506" s="17" t="s">
        <v>56</v>
      </c>
      <c r="Z1506" s="17" t="s">
        <v>56</v>
      </c>
      <c r="AA1506" s="17"/>
      <c r="AB1506" s="17" t="s">
        <v>57</v>
      </c>
      <c r="AC1506" s="17">
        <v>2008</v>
      </c>
      <c r="AD1506" s="17">
        <v>1</v>
      </c>
      <c r="AE1506" s="17"/>
      <c r="AF1506" s="17"/>
      <c r="AG1506" s="17">
        <v>1971</v>
      </c>
      <c r="AH1506" s="14">
        <f t="shared" si="101"/>
        <v>37</v>
      </c>
      <c r="AI1506" s="17">
        <f t="shared" si="102"/>
        <v>38</v>
      </c>
      <c r="AJ1506" s="17"/>
      <c r="AK1506" s="17" t="s">
        <v>56</v>
      </c>
      <c r="AL1506" s="16" t="s">
        <v>1121</v>
      </c>
      <c r="AM1506" s="17">
        <v>2015</v>
      </c>
      <c r="AN1506" s="12" t="s">
        <v>190</v>
      </c>
      <c r="AO1506" s="15" t="s">
        <v>56</v>
      </c>
      <c r="AP1506" s="15"/>
      <c r="AQ1506" s="15" t="s">
        <v>56</v>
      </c>
      <c r="AR1506" s="15" t="s">
        <v>58</v>
      </c>
      <c r="AS1506" s="15" t="s">
        <v>62</v>
      </c>
      <c r="AT1506" s="15"/>
      <c r="AU1506" s="45"/>
      <c r="AV1506" s="15"/>
      <c r="AW1506" s="12" t="str">
        <f>B1506&amp;C1506&amp;L1506&amp;M1506&amp;O1506&amp;U1506&amp;AL1506&amp;AM1506</f>
        <v>United StatesLa Jolla Ecological ReserveHalichoeres semicinctusRock wrassedensity1.66371681415929Nichols2015</v>
      </c>
    </row>
    <row r="1507" spans="1:49" ht="14.5" x14ac:dyDescent="0.35">
      <c r="A1507" s="12">
        <v>1506</v>
      </c>
      <c r="B1507" s="12" t="s">
        <v>75</v>
      </c>
      <c r="C1507" s="15" t="s">
        <v>1118</v>
      </c>
      <c r="D1507" s="15" t="s">
        <v>1118</v>
      </c>
      <c r="E1507" s="12" t="s">
        <v>68</v>
      </c>
      <c r="F1507" s="13" t="s">
        <v>50</v>
      </c>
      <c r="G1507" s="13" t="s">
        <v>51</v>
      </c>
      <c r="H1507" s="16" t="s">
        <v>78</v>
      </c>
      <c r="I1507" s="16" t="s">
        <v>53</v>
      </c>
      <c r="J1507" s="17">
        <v>2.16</v>
      </c>
      <c r="K1507" s="17"/>
      <c r="L1507" s="17" t="s">
        <v>1127</v>
      </c>
      <c r="M1507" s="17" t="s">
        <v>1128</v>
      </c>
      <c r="N1507" s="14" t="s">
        <v>85</v>
      </c>
      <c r="O1507" s="17" t="s">
        <v>86</v>
      </c>
      <c r="P1507" s="17"/>
      <c r="Q1507" s="17"/>
      <c r="R1507" s="17"/>
      <c r="S1507" s="17">
        <v>100</v>
      </c>
      <c r="T1507" s="17">
        <v>175</v>
      </c>
      <c r="U1507" s="19">
        <f t="shared" si="100"/>
        <v>1.75</v>
      </c>
      <c r="V1507" s="41">
        <f t="shared" si="103"/>
        <v>75</v>
      </c>
      <c r="W1507" s="14"/>
      <c r="X1507" s="17" t="s">
        <v>56</v>
      </c>
      <c r="Z1507" s="17" t="s">
        <v>56</v>
      </c>
      <c r="AA1507" s="17"/>
      <c r="AB1507" s="17" t="s">
        <v>57</v>
      </c>
      <c r="AC1507" s="17">
        <v>2008</v>
      </c>
      <c r="AD1507" s="17">
        <v>1</v>
      </c>
      <c r="AE1507" s="17"/>
      <c r="AF1507" s="17"/>
      <c r="AG1507" s="17">
        <v>1971</v>
      </c>
      <c r="AH1507" s="14">
        <f t="shared" si="101"/>
        <v>37</v>
      </c>
      <c r="AI1507" s="17">
        <f t="shared" si="102"/>
        <v>38</v>
      </c>
      <c r="AJ1507" s="17"/>
      <c r="AK1507" s="17" t="s">
        <v>56</v>
      </c>
      <c r="AL1507" s="16" t="s">
        <v>1121</v>
      </c>
      <c r="AM1507" s="17">
        <v>2015</v>
      </c>
      <c r="AN1507" s="12" t="s">
        <v>190</v>
      </c>
      <c r="AO1507" s="15" t="s">
        <v>56</v>
      </c>
      <c r="AP1507" s="15"/>
      <c r="AQ1507" s="15" t="s">
        <v>56</v>
      </c>
      <c r="AR1507" s="15" t="s">
        <v>58</v>
      </c>
      <c r="AS1507" s="15" t="s">
        <v>62</v>
      </c>
      <c r="AT1507" s="12"/>
      <c r="AU1507" s="45"/>
      <c r="AV1507" s="15"/>
      <c r="AW1507" s="12" t="str">
        <f>B1507&amp;C1507&amp;L1507&amp;M1507&amp;O1507&amp;U1507&amp;AL1507&amp;AM1507</f>
        <v>United StatesLa Jolla Ecological ReserveOxyjulis californicaSeñoritadensity1.75Nichols2015</v>
      </c>
    </row>
    <row r="1508" spans="1:49" ht="14.5" x14ac:dyDescent="0.35">
      <c r="A1508" s="12">
        <v>1507</v>
      </c>
      <c r="B1508" s="12" t="s">
        <v>75</v>
      </c>
      <c r="C1508" s="15" t="s">
        <v>1118</v>
      </c>
      <c r="D1508" s="15" t="s">
        <v>1118</v>
      </c>
      <c r="E1508" s="12" t="s">
        <v>68</v>
      </c>
      <c r="F1508" s="13" t="s">
        <v>50</v>
      </c>
      <c r="G1508" s="13" t="s">
        <v>51</v>
      </c>
      <c r="H1508" s="16" t="s">
        <v>78</v>
      </c>
      <c r="I1508" s="16" t="s">
        <v>53</v>
      </c>
      <c r="J1508" s="17">
        <v>2.16</v>
      </c>
      <c r="K1508" s="17"/>
      <c r="L1508" s="17" t="s">
        <v>1129</v>
      </c>
      <c r="M1508" s="17" t="s">
        <v>130</v>
      </c>
      <c r="N1508" s="14" t="s">
        <v>85</v>
      </c>
      <c r="O1508" s="17" t="s">
        <v>86</v>
      </c>
      <c r="P1508" s="17"/>
      <c r="Q1508" s="17"/>
      <c r="R1508" s="17"/>
      <c r="S1508" s="17">
        <v>200</v>
      </c>
      <c r="T1508" s="17">
        <v>88</v>
      </c>
      <c r="U1508" s="19">
        <f t="shared" si="100"/>
        <v>0.44</v>
      </c>
      <c r="V1508" s="41">
        <f t="shared" si="103"/>
        <v>-56.000000000000007</v>
      </c>
      <c r="W1508" s="14"/>
      <c r="X1508" s="17" t="s">
        <v>56</v>
      </c>
      <c r="Z1508" s="17" t="s">
        <v>56</v>
      </c>
      <c r="AA1508" s="17"/>
      <c r="AB1508" s="17" t="s">
        <v>57</v>
      </c>
      <c r="AC1508" s="17">
        <v>2008</v>
      </c>
      <c r="AD1508" s="17">
        <v>1</v>
      </c>
      <c r="AE1508" s="17"/>
      <c r="AF1508" s="17"/>
      <c r="AG1508" s="17">
        <v>1971</v>
      </c>
      <c r="AH1508" s="14">
        <f t="shared" si="101"/>
        <v>37</v>
      </c>
      <c r="AI1508" s="17">
        <f t="shared" si="102"/>
        <v>38</v>
      </c>
      <c r="AJ1508" s="17"/>
      <c r="AK1508" s="17" t="s">
        <v>56</v>
      </c>
      <c r="AL1508" s="16" t="s">
        <v>1121</v>
      </c>
      <c r="AM1508" s="17">
        <v>2015</v>
      </c>
      <c r="AN1508" s="12" t="s">
        <v>190</v>
      </c>
      <c r="AO1508" s="15" t="s">
        <v>56</v>
      </c>
      <c r="AP1508" s="15"/>
      <c r="AQ1508" s="15" t="s">
        <v>56</v>
      </c>
      <c r="AR1508" s="15" t="s">
        <v>58</v>
      </c>
      <c r="AS1508" s="15" t="s">
        <v>62</v>
      </c>
      <c r="AT1508" s="12"/>
      <c r="AU1508" s="45"/>
      <c r="AV1508" s="15"/>
      <c r="AW1508" s="12" t="str">
        <f>B1508&amp;C1508&amp;L1508&amp;M1508&amp;O1508&amp;U1508&amp;AL1508&amp;AM1508</f>
        <v>United StatesLa Jolla Ecological ReserveEmbiotoca jacksoniBlack surfperchdensity0.44Nichols2015</v>
      </c>
    </row>
    <row r="1509" spans="1:49" ht="14.5" x14ac:dyDescent="0.35">
      <c r="A1509" s="12">
        <v>1508</v>
      </c>
      <c r="B1509" s="12" t="s">
        <v>75</v>
      </c>
      <c r="C1509" s="15" t="s">
        <v>1118</v>
      </c>
      <c r="D1509" s="15" t="s">
        <v>1118</v>
      </c>
      <c r="E1509" s="12" t="s">
        <v>68</v>
      </c>
      <c r="F1509" s="13" t="s">
        <v>50</v>
      </c>
      <c r="G1509" s="13" t="s">
        <v>51</v>
      </c>
      <c r="H1509" s="13" t="s">
        <v>78</v>
      </c>
      <c r="I1509" s="13" t="s">
        <v>53</v>
      </c>
      <c r="J1509" s="14">
        <v>2.16</v>
      </c>
      <c r="K1509" s="17"/>
      <c r="L1509" s="14" t="s">
        <v>1130</v>
      </c>
      <c r="M1509" s="14" t="s">
        <v>1131</v>
      </c>
      <c r="N1509" s="14" t="s">
        <v>85</v>
      </c>
      <c r="O1509" s="17" t="s">
        <v>86</v>
      </c>
      <c r="P1509" s="14"/>
      <c r="Q1509" s="14"/>
      <c r="R1509" s="14"/>
      <c r="S1509" s="14">
        <v>50</v>
      </c>
      <c r="T1509" s="14">
        <v>13</v>
      </c>
      <c r="U1509" s="19">
        <f t="shared" si="100"/>
        <v>0.26</v>
      </c>
      <c r="V1509" s="41">
        <f t="shared" si="103"/>
        <v>-74</v>
      </c>
      <c r="W1509" s="14"/>
      <c r="X1509" s="14" t="s">
        <v>56</v>
      </c>
      <c r="Z1509" s="14" t="s">
        <v>56</v>
      </c>
      <c r="AA1509" s="17"/>
      <c r="AB1509" s="14" t="s">
        <v>57</v>
      </c>
      <c r="AC1509" s="14">
        <v>2008</v>
      </c>
      <c r="AD1509" s="14">
        <v>1</v>
      </c>
      <c r="AE1509" s="14"/>
      <c r="AF1509" s="14"/>
      <c r="AG1509" s="17">
        <v>1971</v>
      </c>
      <c r="AH1509" s="14">
        <f t="shared" si="101"/>
        <v>37</v>
      </c>
      <c r="AI1509" s="17">
        <f t="shared" si="102"/>
        <v>38</v>
      </c>
      <c r="AJ1509" s="14"/>
      <c r="AK1509" s="14" t="s">
        <v>56</v>
      </c>
      <c r="AL1509" s="13" t="s">
        <v>1121</v>
      </c>
      <c r="AM1509" s="14">
        <v>2015</v>
      </c>
      <c r="AN1509" s="12" t="s">
        <v>190</v>
      </c>
      <c r="AO1509" s="12" t="s">
        <v>56</v>
      </c>
      <c r="AP1509" s="12"/>
      <c r="AQ1509" s="12" t="s">
        <v>56</v>
      </c>
      <c r="AR1509" s="12" t="s">
        <v>58</v>
      </c>
      <c r="AS1509" s="12" t="s">
        <v>62</v>
      </c>
      <c r="AT1509" s="12"/>
      <c r="AU1509" s="45"/>
      <c r="AV1509" s="15"/>
      <c r="AW1509" s="12" t="str">
        <f>B1509&amp;C1509&amp;L1509&amp;M1509&amp;O1509&amp;U1509&amp;AL1509&amp;AM1509</f>
        <v>United StatesLa Jolla Ecological ReserveRhacochilus toxotesRubberlip surfperchdensity0.26Nichols2015</v>
      </c>
    </row>
    <row r="1510" spans="1:49" ht="14.5" x14ac:dyDescent="0.35">
      <c r="A1510" s="12">
        <v>1509</v>
      </c>
      <c r="B1510" s="12" t="s">
        <v>75</v>
      </c>
      <c r="C1510" s="15" t="s">
        <v>1118</v>
      </c>
      <c r="D1510" s="15" t="s">
        <v>1118</v>
      </c>
      <c r="E1510" s="12" t="s">
        <v>68</v>
      </c>
      <c r="F1510" s="13" t="s">
        <v>50</v>
      </c>
      <c r="G1510" s="13" t="s">
        <v>51</v>
      </c>
      <c r="H1510" s="16" t="s">
        <v>78</v>
      </c>
      <c r="I1510" s="16" t="s">
        <v>53</v>
      </c>
      <c r="J1510" s="17">
        <v>2.16</v>
      </c>
      <c r="K1510" s="17"/>
      <c r="L1510" s="17" t="s">
        <v>1132</v>
      </c>
      <c r="M1510" s="17" t="s">
        <v>1133</v>
      </c>
      <c r="N1510" s="14" t="s">
        <v>85</v>
      </c>
      <c r="O1510" s="17" t="s">
        <v>86</v>
      </c>
      <c r="P1510" s="17"/>
      <c r="Q1510" s="17"/>
      <c r="R1510" s="17"/>
      <c r="S1510" s="17">
        <v>13</v>
      </c>
      <c r="T1510" s="17">
        <v>200</v>
      </c>
      <c r="U1510" s="19">
        <f t="shared" si="100"/>
        <v>15.384615384615385</v>
      </c>
      <c r="V1510" s="41">
        <f t="shared" si="103"/>
        <v>1438.4615384615386</v>
      </c>
      <c r="W1510" s="14"/>
      <c r="X1510" s="17" t="s">
        <v>56</v>
      </c>
      <c r="Z1510" s="17" t="s">
        <v>56</v>
      </c>
      <c r="AA1510" s="17"/>
      <c r="AB1510" s="17" t="s">
        <v>57</v>
      </c>
      <c r="AC1510" s="17">
        <v>2008</v>
      </c>
      <c r="AD1510" s="17">
        <v>1</v>
      </c>
      <c r="AE1510" s="17"/>
      <c r="AF1510" s="17"/>
      <c r="AG1510" s="17">
        <v>1971</v>
      </c>
      <c r="AH1510" s="14">
        <f t="shared" si="101"/>
        <v>37</v>
      </c>
      <c r="AI1510" s="17">
        <f t="shared" si="102"/>
        <v>38</v>
      </c>
      <c r="AJ1510" s="17"/>
      <c r="AK1510" s="17" t="s">
        <v>56</v>
      </c>
      <c r="AL1510" s="16" t="s">
        <v>1121</v>
      </c>
      <c r="AM1510" s="17">
        <v>2015</v>
      </c>
      <c r="AN1510" s="12" t="s">
        <v>190</v>
      </c>
      <c r="AO1510" s="15" t="s">
        <v>56</v>
      </c>
      <c r="AP1510" s="15"/>
      <c r="AQ1510" s="15" t="s">
        <v>56</v>
      </c>
      <c r="AR1510" s="15" t="s">
        <v>58</v>
      </c>
      <c r="AS1510" s="15" t="s">
        <v>62</v>
      </c>
      <c r="AT1510" s="12"/>
      <c r="AU1510" s="45"/>
      <c r="AV1510" s="15"/>
      <c r="AW1510" s="12" t="str">
        <f>B1510&amp;C1510&amp;L1510&amp;M1510&amp;O1510&amp;U1510&amp;AL1510&amp;AM1510</f>
        <v>United StatesLa Jolla Ecological ReserveBrachyistius frenatusKelp surfperchdensity15.3846153846154Nichols2015</v>
      </c>
    </row>
    <row r="1511" spans="1:49" ht="14.5" x14ac:dyDescent="0.35">
      <c r="A1511" s="12">
        <v>1510</v>
      </c>
      <c r="B1511" s="12" t="s">
        <v>75</v>
      </c>
      <c r="C1511" s="15" t="s">
        <v>1118</v>
      </c>
      <c r="D1511" s="15" t="s">
        <v>1118</v>
      </c>
      <c r="E1511" s="15" t="s">
        <v>68</v>
      </c>
      <c r="F1511" s="13" t="s">
        <v>50</v>
      </c>
      <c r="G1511" s="13" t="s">
        <v>51</v>
      </c>
      <c r="H1511" s="16" t="s">
        <v>78</v>
      </c>
      <c r="I1511" s="16" t="s">
        <v>53</v>
      </c>
      <c r="J1511" s="17">
        <v>2.16</v>
      </c>
      <c r="K1511" s="17"/>
      <c r="L1511" s="17" t="s">
        <v>1134</v>
      </c>
      <c r="M1511" s="17" t="s">
        <v>1135</v>
      </c>
      <c r="N1511" s="14" t="s">
        <v>85</v>
      </c>
      <c r="O1511" s="17" t="s">
        <v>86</v>
      </c>
      <c r="P1511" s="17"/>
      <c r="Q1511" s="17"/>
      <c r="R1511" s="17"/>
      <c r="S1511" s="17">
        <v>38</v>
      </c>
      <c r="T1511" s="17">
        <v>75</v>
      </c>
      <c r="U1511" s="20">
        <f t="shared" si="100"/>
        <v>1.9736842105263157</v>
      </c>
      <c r="V1511" s="41">
        <f t="shared" si="103"/>
        <v>97.368421052631575</v>
      </c>
      <c r="W1511" s="17"/>
      <c r="X1511" s="17" t="s">
        <v>56</v>
      </c>
      <c r="Z1511" s="17" t="s">
        <v>56</v>
      </c>
      <c r="AA1511" s="17"/>
      <c r="AB1511" s="17" t="s">
        <v>57</v>
      </c>
      <c r="AC1511" s="17">
        <v>2008</v>
      </c>
      <c r="AD1511" s="17">
        <v>1</v>
      </c>
      <c r="AE1511" s="17"/>
      <c r="AF1511" s="17"/>
      <c r="AG1511" s="17">
        <v>1971</v>
      </c>
      <c r="AH1511" s="14">
        <f t="shared" si="101"/>
        <v>37</v>
      </c>
      <c r="AI1511" s="17">
        <f t="shared" si="102"/>
        <v>38</v>
      </c>
      <c r="AJ1511" s="17"/>
      <c r="AK1511" s="17" t="s">
        <v>56</v>
      </c>
      <c r="AL1511" s="16" t="s">
        <v>1121</v>
      </c>
      <c r="AM1511" s="17">
        <v>2015</v>
      </c>
      <c r="AN1511" s="12" t="s">
        <v>190</v>
      </c>
      <c r="AO1511" s="15" t="s">
        <v>56</v>
      </c>
      <c r="AP1511" s="15"/>
      <c r="AQ1511" s="15" t="s">
        <v>56</v>
      </c>
      <c r="AR1511" s="15" t="s">
        <v>58</v>
      </c>
      <c r="AS1511" s="15" t="s">
        <v>62</v>
      </c>
      <c r="AT1511" s="15"/>
      <c r="AU1511" s="45"/>
      <c r="AV1511" s="15"/>
      <c r="AW1511" s="12" t="str">
        <f>B1511&amp;C1511&amp;L1511&amp;M1511&amp;O1511&amp;U1511&amp;AL1511&amp;AM1511</f>
        <v>United StatesLa Jolla Ecological ReserveGirella nigricansOpal eyedensity1.97368421052632Nichols2015</v>
      </c>
    </row>
    <row r="1512" spans="1:49" ht="14.5" x14ac:dyDescent="0.35">
      <c r="A1512" s="12">
        <v>1511</v>
      </c>
      <c r="B1512" s="12" t="s">
        <v>75</v>
      </c>
      <c r="C1512" s="15" t="s">
        <v>1118</v>
      </c>
      <c r="D1512" s="15" t="s">
        <v>1118</v>
      </c>
      <c r="E1512" s="12" t="s">
        <v>68</v>
      </c>
      <c r="F1512" s="13" t="s">
        <v>50</v>
      </c>
      <c r="G1512" s="13" t="s">
        <v>51</v>
      </c>
      <c r="H1512" s="16" t="s">
        <v>78</v>
      </c>
      <c r="I1512" s="16" t="s">
        <v>53</v>
      </c>
      <c r="J1512" s="17">
        <v>2.16</v>
      </c>
      <c r="K1512" s="17"/>
      <c r="L1512" s="17" t="s">
        <v>1136</v>
      </c>
      <c r="M1512" s="17" t="s">
        <v>134</v>
      </c>
      <c r="N1512" s="14" t="s">
        <v>85</v>
      </c>
      <c r="O1512" s="17" t="s">
        <v>86</v>
      </c>
      <c r="P1512" s="17"/>
      <c r="Q1512" s="17"/>
      <c r="R1512" s="17"/>
      <c r="S1512" s="17">
        <v>50</v>
      </c>
      <c r="T1512" s="17">
        <v>63</v>
      </c>
      <c r="U1512" s="19">
        <f t="shared" si="100"/>
        <v>1.26</v>
      </c>
      <c r="V1512" s="41">
        <f t="shared" si="103"/>
        <v>26</v>
      </c>
      <c r="W1512" s="14"/>
      <c r="X1512" s="17" t="s">
        <v>56</v>
      </c>
      <c r="Z1512" s="17" t="s">
        <v>56</v>
      </c>
      <c r="AA1512" s="17"/>
      <c r="AB1512" s="17" t="s">
        <v>57</v>
      </c>
      <c r="AC1512" s="17">
        <v>2008</v>
      </c>
      <c r="AD1512" s="17">
        <v>1</v>
      </c>
      <c r="AE1512" s="17"/>
      <c r="AF1512" s="17"/>
      <c r="AG1512" s="17">
        <v>1971</v>
      </c>
      <c r="AH1512" s="14">
        <f t="shared" si="101"/>
        <v>37</v>
      </c>
      <c r="AI1512" s="17">
        <f t="shared" si="102"/>
        <v>38</v>
      </c>
      <c r="AJ1512" s="17"/>
      <c r="AK1512" s="17" t="s">
        <v>56</v>
      </c>
      <c r="AL1512" s="16" t="s">
        <v>1121</v>
      </c>
      <c r="AM1512" s="17">
        <v>2015</v>
      </c>
      <c r="AN1512" s="12" t="s">
        <v>190</v>
      </c>
      <c r="AO1512" s="15" t="s">
        <v>56</v>
      </c>
      <c r="AP1512" s="15"/>
      <c r="AQ1512" s="15" t="s">
        <v>56</v>
      </c>
      <c r="AR1512" s="15" t="s">
        <v>58</v>
      </c>
      <c r="AS1512" s="15" t="s">
        <v>62</v>
      </c>
      <c r="AT1512" s="12"/>
      <c r="AU1512" s="45"/>
      <c r="AV1512" s="15"/>
      <c r="AW1512" s="12" t="str">
        <f>B1512&amp;C1512&amp;L1512&amp;M1512&amp;O1512&amp;U1512&amp;AL1512&amp;AM1512</f>
        <v>United StatesLa Jolla Ecological ReserveHypsypops rubicundusGaribaldidensity1.26Nichols2015</v>
      </c>
    </row>
    <row r="1513" spans="1:49" ht="14.5" x14ac:dyDescent="0.35">
      <c r="A1513" s="12">
        <v>1512</v>
      </c>
      <c r="B1513" s="12" t="s">
        <v>75</v>
      </c>
      <c r="C1513" s="15" t="s">
        <v>1118</v>
      </c>
      <c r="D1513" s="15" t="s">
        <v>1118</v>
      </c>
      <c r="E1513" s="12" t="s">
        <v>68</v>
      </c>
      <c r="F1513" s="13" t="s">
        <v>50</v>
      </c>
      <c r="G1513" s="13" t="s">
        <v>51</v>
      </c>
      <c r="H1513" s="16" t="s">
        <v>78</v>
      </c>
      <c r="I1513" s="16" t="s">
        <v>53</v>
      </c>
      <c r="J1513" s="17">
        <v>2.16</v>
      </c>
      <c r="K1513" s="17"/>
      <c r="L1513" s="17" t="s">
        <v>1137</v>
      </c>
      <c r="M1513" s="17" t="s">
        <v>129</v>
      </c>
      <c r="N1513" s="14" t="s">
        <v>85</v>
      </c>
      <c r="O1513" s="17" t="s">
        <v>86</v>
      </c>
      <c r="P1513" s="17"/>
      <c r="Q1513" s="17"/>
      <c r="R1513" s="17"/>
      <c r="S1513" s="17">
        <v>88</v>
      </c>
      <c r="T1513" s="17">
        <v>88</v>
      </c>
      <c r="U1513" s="19">
        <f t="shared" si="100"/>
        <v>1</v>
      </c>
      <c r="V1513" s="41">
        <f t="shared" si="103"/>
        <v>0</v>
      </c>
      <c r="W1513" s="14"/>
      <c r="X1513" s="17" t="s">
        <v>56</v>
      </c>
      <c r="Z1513" s="17" t="s">
        <v>56</v>
      </c>
      <c r="AA1513" s="17"/>
      <c r="AB1513" s="17" t="s">
        <v>57</v>
      </c>
      <c r="AC1513" s="17">
        <v>2008</v>
      </c>
      <c r="AD1513" s="17">
        <v>1</v>
      </c>
      <c r="AE1513" s="17"/>
      <c r="AF1513" s="17"/>
      <c r="AG1513" s="17">
        <v>1971</v>
      </c>
      <c r="AH1513" s="14">
        <f t="shared" si="101"/>
        <v>37</v>
      </c>
      <c r="AI1513" s="17">
        <f t="shared" si="102"/>
        <v>38</v>
      </c>
      <c r="AJ1513" s="17"/>
      <c r="AK1513" s="17" t="s">
        <v>56</v>
      </c>
      <c r="AL1513" s="16" t="s">
        <v>1121</v>
      </c>
      <c r="AM1513" s="17">
        <v>2015</v>
      </c>
      <c r="AN1513" s="15" t="s">
        <v>190</v>
      </c>
      <c r="AO1513" s="15" t="s">
        <v>56</v>
      </c>
      <c r="AP1513" s="15"/>
      <c r="AQ1513" s="15" t="s">
        <v>56</v>
      </c>
      <c r="AR1513" s="15" t="s">
        <v>58</v>
      </c>
      <c r="AS1513" s="15" t="s">
        <v>62</v>
      </c>
      <c r="AT1513" s="12"/>
      <c r="AU1513" s="45"/>
      <c r="AV1513" s="15"/>
      <c r="AW1513" s="12" t="str">
        <f>B1513&amp;C1513&amp;L1513&amp;M1513&amp;O1513&amp;U1513&amp;AL1513&amp;AM1513</f>
        <v>United StatesLa Jolla Ecological ReserveChromis punctipinnisBlacksmithdensity1Nichols2015</v>
      </c>
    </row>
    <row r="1514" spans="1:49" ht="14.5" x14ac:dyDescent="0.35">
      <c r="A1514" s="12">
        <v>1513</v>
      </c>
      <c r="B1514" s="12" t="s">
        <v>75</v>
      </c>
      <c r="C1514" s="15" t="s">
        <v>1118</v>
      </c>
      <c r="D1514" s="15" t="s">
        <v>1118</v>
      </c>
      <c r="E1514" s="12" t="s">
        <v>68</v>
      </c>
      <c r="F1514" s="13" t="s">
        <v>50</v>
      </c>
      <c r="G1514" s="13" t="s">
        <v>51</v>
      </c>
      <c r="H1514" s="16" t="s">
        <v>78</v>
      </c>
      <c r="I1514" s="16" t="s">
        <v>53</v>
      </c>
      <c r="J1514" s="17">
        <v>2.16</v>
      </c>
      <c r="K1514" s="17"/>
      <c r="L1514" s="17" t="s">
        <v>1138</v>
      </c>
      <c r="M1514" s="17" t="s">
        <v>1139</v>
      </c>
      <c r="N1514" s="14" t="s">
        <v>85</v>
      </c>
      <c r="O1514" s="17" t="s">
        <v>86</v>
      </c>
      <c r="P1514" s="17"/>
      <c r="Q1514" s="17"/>
      <c r="R1514" s="17"/>
      <c r="S1514" s="17">
        <v>0</v>
      </c>
      <c r="T1514" s="17">
        <v>25</v>
      </c>
      <c r="U1514" s="19" t="str">
        <f t="shared" si="100"/>
        <v>N/A</v>
      </c>
      <c r="V1514" s="41" t="str">
        <f t="shared" si="103"/>
        <v>N/A</v>
      </c>
      <c r="W1514" s="14"/>
      <c r="X1514" s="17" t="s">
        <v>56</v>
      </c>
      <c r="Z1514" s="17" t="s">
        <v>56</v>
      </c>
      <c r="AA1514" s="17"/>
      <c r="AB1514" s="17" t="s">
        <v>57</v>
      </c>
      <c r="AC1514" s="17">
        <v>2008</v>
      </c>
      <c r="AD1514" s="17">
        <v>1</v>
      </c>
      <c r="AE1514" s="17"/>
      <c r="AF1514" s="17"/>
      <c r="AG1514" s="17">
        <v>1971</v>
      </c>
      <c r="AH1514" s="14">
        <f t="shared" si="101"/>
        <v>37</v>
      </c>
      <c r="AI1514" s="17">
        <f t="shared" si="102"/>
        <v>38</v>
      </c>
      <c r="AJ1514" s="17"/>
      <c r="AK1514" s="17" t="s">
        <v>56</v>
      </c>
      <c r="AL1514" s="16" t="s">
        <v>1121</v>
      </c>
      <c r="AM1514" s="17">
        <v>2015</v>
      </c>
      <c r="AN1514" s="15" t="s">
        <v>190</v>
      </c>
      <c r="AO1514" s="15" t="s">
        <v>56</v>
      </c>
      <c r="AP1514" s="15"/>
      <c r="AQ1514" s="15" t="s">
        <v>56</v>
      </c>
      <c r="AR1514" s="15" t="s">
        <v>58</v>
      </c>
      <c r="AS1514" s="15" t="s">
        <v>62</v>
      </c>
      <c r="AT1514" s="12"/>
      <c r="AU1514" s="45"/>
      <c r="AV1514" s="15"/>
      <c r="AW1514" s="12" t="str">
        <f>B1514&amp;C1514&amp;L1514&amp;M1514&amp;O1514&amp;U1514&amp;AL1514&amp;AM1514</f>
        <v>United StatesLa Jolla Ecological ReserveAnisotremus davidsoniiSargodensityN/ANichols2015</v>
      </c>
    </row>
    <row r="1515" spans="1:49" ht="14.5" x14ac:dyDescent="0.35">
      <c r="A1515" s="12">
        <v>1514</v>
      </c>
      <c r="B1515" s="12" t="s">
        <v>75</v>
      </c>
      <c r="C1515" s="15" t="s">
        <v>1118</v>
      </c>
      <c r="D1515" s="15" t="s">
        <v>1118</v>
      </c>
      <c r="E1515" s="12" t="s">
        <v>68</v>
      </c>
      <c r="F1515" s="13" t="s">
        <v>50</v>
      </c>
      <c r="G1515" s="13" t="s">
        <v>51</v>
      </c>
      <c r="H1515" s="16" t="s">
        <v>78</v>
      </c>
      <c r="I1515" s="16" t="s">
        <v>53</v>
      </c>
      <c r="J1515" s="17">
        <v>2.16</v>
      </c>
      <c r="K1515" s="17"/>
      <c r="L1515" s="17" t="s">
        <v>1140</v>
      </c>
      <c r="M1515" s="17" t="s">
        <v>1141</v>
      </c>
      <c r="N1515" s="14" t="s">
        <v>85</v>
      </c>
      <c r="O1515" s="17" t="s">
        <v>86</v>
      </c>
      <c r="P1515" s="17"/>
      <c r="Q1515" s="17"/>
      <c r="R1515" s="17"/>
      <c r="S1515" s="17">
        <v>50</v>
      </c>
      <c r="T1515" s="17">
        <v>0</v>
      </c>
      <c r="U1515" s="19">
        <f t="shared" si="100"/>
        <v>0</v>
      </c>
      <c r="V1515" s="41">
        <f t="shared" si="103"/>
        <v>-100</v>
      </c>
      <c r="W1515" s="14"/>
      <c r="X1515" s="17" t="s">
        <v>56</v>
      </c>
      <c r="Z1515" s="17" t="s">
        <v>56</v>
      </c>
      <c r="AA1515" s="17"/>
      <c r="AB1515" s="17" t="s">
        <v>57</v>
      </c>
      <c r="AC1515" s="17">
        <v>2008</v>
      </c>
      <c r="AD1515" s="17">
        <v>1</v>
      </c>
      <c r="AE1515" s="17"/>
      <c r="AF1515" s="17"/>
      <c r="AG1515" s="17">
        <v>1971</v>
      </c>
      <c r="AH1515" s="14">
        <f t="shared" si="101"/>
        <v>37</v>
      </c>
      <c r="AI1515" s="17">
        <f t="shared" si="102"/>
        <v>38</v>
      </c>
      <c r="AJ1515" s="17"/>
      <c r="AK1515" s="17" t="s">
        <v>56</v>
      </c>
      <c r="AL1515" s="16" t="s">
        <v>1121</v>
      </c>
      <c r="AM1515" s="17">
        <v>2015</v>
      </c>
      <c r="AN1515" s="15" t="s">
        <v>190</v>
      </c>
      <c r="AO1515" s="15" t="s">
        <v>56</v>
      </c>
      <c r="AP1515" s="15"/>
      <c r="AQ1515" s="15" t="s">
        <v>56</v>
      </c>
      <c r="AR1515" s="15" t="s">
        <v>58</v>
      </c>
      <c r="AS1515" s="15" t="s">
        <v>62</v>
      </c>
      <c r="AT1515" s="12"/>
      <c r="AU1515" s="45"/>
      <c r="AV1515" s="15"/>
      <c r="AW1515" s="12" t="str">
        <f>B1515&amp;C1515&amp;L1515&amp;M1515&amp;O1515&amp;U1515&amp;AL1515&amp;AM1515</f>
        <v>United StatesLa Jolla Ecological ReserveParalabrax nebuliferBarred sand bassdensity0Nichols2015</v>
      </c>
    </row>
    <row r="1516" spans="1:49" ht="14.5" x14ac:dyDescent="0.35">
      <c r="A1516" s="12">
        <v>1515</v>
      </c>
      <c r="B1516" s="12" t="s">
        <v>75</v>
      </c>
      <c r="C1516" s="15" t="s">
        <v>1118</v>
      </c>
      <c r="D1516" s="15" t="s">
        <v>1118</v>
      </c>
      <c r="E1516" s="12" t="s">
        <v>68</v>
      </c>
      <c r="F1516" s="13" t="s">
        <v>50</v>
      </c>
      <c r="G1516" s="13" t="s">
        <v>51</v>
      </c>
      <c r="H1516" s="16" t="s">
        <v>78</v>
      </c>
      <c r="I1516" s="16" t="s">
        <v>53</v>
      </c>
      <c r="J1516" s="17">
        <v>2.16</v>
      </c>
      <c r="K1516" s="17"/>
      <c r="L1516" s="17" t="s">
        <v>1142</v>
      </c>
      <c r="M1516" s="17" t="s">
        <v>1143</v>
      </c>
      <c r="N1516" s="14" t="s">
        <v>85</v>
      </c>
      <c r="O1516" s="17" t="s">
        <v>86</v>
      </c>
      <c r="P1516" s="17"/>
      <c r="Q1516" s="17"/>
      <c r="R1516" s="17"/>
      <c r="S1516" s="17">
        <v>0</v>
      </c>
      <c r="T1516" s="17">
        <v>25</v>
      </c>
      <c r="U1516" s="19" t="str">
        <f t="shared" si="100"/>
        <v>N/A</v>
      </c>
      <c r="V1516" s="41" t="str">
        <f t="shared" si="103"/>
        <v>N/A</v>
      </c>
      <c r="W1516" s="14"/>
      <c r="X1516" s="17" t="s">
        <v>56</v>
      </c>
      <c r="Z1516" s="17" t="s">
        <v>56</v>
      </c>
      <c r="AA1516" s="17"/>
      <c r="AB1516" s="17" t="s">
        <v>57</v>
      </c>
      <c r="AC1516" s="17">
        <v>2008</v>
      </c>
      <c r="AD1516" s="17">
        <v>1</v>
      </c>
      <c r="AE1516" s="17"/>
      <c r="AF1516" s="17"/>
      <c r="AG1516" s="17">
        <v>1971</v>
      </c>
      <c r="AH1516" s="14">
        <f t="shared" si="101"/>
        <v>37</v>
      </c>
      <c r="AI1516" s="17">
        <f t="shared" si="102"/>
        <v>38</v>
      </c>
      <c r="AJ1516" s="17"/>
      <c r="AK1516" s="17" t="s">
        <v>56</v>
      </c>
      <c r="AL1516" s="16" t="s">
        <v>1121</v>
      </c>
      <c r="AM1516" s="17">
        <v>2015</v>
      </c>
      <c r="AN1516" s="15" t="s">
        <v>190</v>
      </c>
      <c r="AO1516" s="15" t="s">
        <v>56</v>
      </c>
      <c r="AP1516" s="15"/>
      <c r="AQ1516" s="15" t="s">
        <v>56</v>
      </c>
      <c r="AR1516" s="15" t="s">
        <v>58</v>
      </c>
      <c r="AS1516" s="15" t="s">
        <v>62</v>
      </c>
      <c r="AT1516" s="12"/>
      <c r="AU1516" s="45"/>
      <c r="AV1516" s="15"/>
      <c r="AW1516" s="12" t="str">
        <f>B1516&amp;C1516&amp;L1516&amp;M1516&amp;O1516&amp;U1516&amp;AL1516&amp;AM1516</f>
        <v>United StatesLa Jolla Ecological ReserveGaleorhinus zyopterusTope sharkdensityN/ANichols2015</v>
      </c>
    </row>
    <row r="1517" spans="1:49" ht="14.5" x14ac:dyDescent="0.35">
      <c r="A1517" s="12">
        <v>1516</v>
      </c>
      <c r="B1517" s="12" t="s">
        <v>75</v>
      </c>
      <c r="C1517" s="15" t="s">
        <v>1118</v>
      </c>
      <c r="D1517" s="15" t="s">
        <v>1118</v>
      </c>
      <c r="E1517" s="12" t="s">
        <v>68</v>
      </c>
      <c r="F1517" s="13" t="s">
        <v>50</v>
      </c>
      <c r="G1517" s="13" t="s">
        <v>51</v>
      </c>
      <c r="H1517" s="16" t="s">
        <v>78</v>
      </c>
      <c r="I1517" s="16" t="s">
        <v>53</v>
      </c>
      <c r="J1517" s="17">
        <v>2.16</v>
      </c>
      <c r="K1517" s="17"/>
      <c r="L1517" s="17" t="s">
        <v>109</v>
      </c>
      <c r="M1517" s="17" t="s">
        <v>1123</v>
      </c>
      <c r="N1517" s="14" t="s">
        <v>85</v>
      </c>
      <c r="O1517" s="17" t="s">
        <v>104</v>
      </c>
      <c r="P1517" s="17" t="s">
        <v>1105</v>
      </c>
      <c r="Q1517" s="17"/>
      <c r="R1517" s="17"/>
      <c r="S1517" s="17">
        <v>6.3469389999999999</v>
      </c>
      <c r="T1517" s="17">
        <v>7.3470589999999998</v>
      </c>
      <c r="U1517" s="19">
        <f t="shared" si="100"/>
        <v>1.1575751712754763</v>
      </c>
      <c r="V1517" s="41">
        <f t="shared" si="103"/>
        <v>15.757517127547626</v>
      </c>
      <c r="W1517" s="14"/>
      <c r="X1517" s="17" t="s">
        <v>56</v>
      </c>
      <c r="Z1517" s="17" t="s">
        <v>56</v>
      </c>
      <c r="AA1517" s="17"/>
      <c r="AB1517" s="17" t="s">
        <v>57</v>
      </c>
      <c r="AC1517" s="17">
        <v>2008</v>
      </c>
      <c r="AD1517" s="17">
        <v>1</v>
      </c>
      <c r="AE1517" s="17"/>
      <c r="AF1517" s="17"/>
      <c r="AG1517" s="17">
        <v>1971</v>
      </c>
      <c r="AH1517" s="14">
        <f t="shared" si="101"/>
        <v>37</v>
      </c>
      <c r="AI1517" s="17">
        <f t="shared" si="102"/>
        <v>38</v>
      </c>
      <c r="AJ1517" s="17"/>
      <c r="AK1517" s="17" t="s">
        <v>56</v>
      </c>
      <c r="AL1517" s="16" t="s">
        <v>1121</v>
      </c>
      <c r="AM1517" s="17">
        <v>2015</v>
      </c>
      <c r="AN1517" s="15" t="s">
        <v>190</v>
      </c>
      <c r="AO1517" s="15" t="s">
        <v>56</v>
      </c>
      <c r="AP1517" s="15"/>
      <c r="AQ1517" s="15" t="s">
        <v>56</v>
      </c>
      <c r="AR1517" s="15" t="s">
        <v>58</v>
      </c>
      <c r="AS1517" s="15" t="s">
        <v>62</v>
      </c>
      <c r="AT1517" s="12"/>
      <c r="AU1517" s="45"/>
      <c r="AV1517" s="15"/>
      <c r="AW1517" s="12" t="str">
        <f>B1517&amp;C1517&amp;L1517&amp;M1517&amp;O1517&amp;U1517&amp;AL1517&amp;AM1517</f>
        <v>United StatesLa Jolla Ecological ReservePanulirus interruptuscalifornia spiny lobsterssize1.15757517127548Nichols2015</v>
      </c>
    </row>
    <row r="1518" spans="1:49" ht="14.5" x14ac:dyDescent="0.35">
      <c r="A1518" s="12">
        <v>1517</v>
      </c>
      <c r="B1518" s="15" t="s">
        <v>728</v>
      </c>
      <c r="C1518" s="15" t="s">
        <v>729</v>
      </c>
      <c r="D1518" s="15" t="s">
        <v>729</v>
      </c>
      <c r="E1518" s="12" t="s">
        <v>730</v>
      </c>
      <c r="F1518" s="13" t="s">
        <v>50</v>
      </c>
      <c r="G1518" s="13" t="s">
        <v>51</v>
      </c>
      <c r="H1518" s="16" t="s">
        <v>52</v>
      </c>
      <c r="I1518" s="16" t="s">
        <v>53</v>
      </c>
      <c r="J1518" s="17">
        <v>0.15</v>
      </c>
      <c r="K1518" s="17"/>
      <c r="L1518" s="17" t="s">
        <v>731</v>
      </c>
      <c r="M1518" s="17"/>
      <c r="N1518" s="14" t="s">
        <v>85</v>
      </c>
      <c r="O1518" s="17" t="s">
        <v>86</v>
      </c>
      <c r="P1518" s="17"/>
      <c r="Q1518" s="17">
        <v>727.27269999999999</v>
      </c>
      <c r="R1518" s="17">
        <v>909.09090000000003</v>
      </c>
      <c r="S1518" s="17">
        <v>3818.1819999999998</v>
      </c>
      <c r="T1518" s="17">
        <v>6727.2730000000001</v>
      </c>
      <c r="U1518" s="19">
        <f t="shared" si="100"/>
        <v>1.4095237607845807</v>
      </c>
      <c r="V1518" s="41">
        <f t="shared" si="103"/>
        <v>40.952376078458073</v>
      </c>
      <c r="W1518" s="14"/>
      <c r="X1518" s="17" t="s">
        <v>56</v>
      </c>
      <c r="Z1518" s="17" t="s">
        <v>56</v>
      </c>
      <c r="AA1518" s="17"/>
      <c r="AB1518" s="17" t="s">
        <v>111</v>
      </c>
      <c r="AC1518" s="17">
        <v>1981</v>
      </c>
      <c r="AD1518" s="17">
        <v>21</v>
      </c>
      <c r="AE1518" s="17"/>
      <c r="AF1518" s="17"/>
      <c r="AG1518" s="17">
        <v>1982</v>
      </c>
      <c r="AH1518" s="14">
        <f t="shared" si="101"/>
        <v>-1</v>
      </c>
      <c r="AI1518" s="17">
        <f t="shared" si="102"/>
        <v>20</v>
      </c>
      <c r="AJ1518" s="17"/>
      <c r="AK1518" s="17" t="s">
        <v>56</v>
      </c>
      <c r="AL1518" s="16" t="s">
        <v>732</v>
      </c>
      <c r="AM1518" s="17">
        <v>2010</v>
      </c>
      <c r="AN1518" s="15" t="s">
        <v>733</v>
      </c>
      <c r="AO1518" s="15" t="s">
        <v>56</v>
      </c>
      <c r="AP1518" s="15"/>
      <c r="AQ1518" s="15" t="s">
        <v>56</v>
      </c>
      <c r="AR1518" s="15" t="s">
        <v>58</v>
      </c>
      <c r="AS1518" s="15" t="s">
        <v>62</v>
      </c>
      <c r="AT1518" s="12"/>
      <c r="AU1518" s="45"/>
      <c r="AV1518" s="15"/>
      <c r="AW1518" s="12" t="str">
        <f>B1518&amp;C1518&amp;L1518&amp;M1518&amp;O1518&amp;U1518&amp;AL1518&amp;AM1518</f>
        <v>ChileEstación Costera de Investigaciones MarinasConcholepas concholepasdensity1.40952376078458Navarrete2010</v>
      </c>
    </row>
    <row r="1519" spans="1:49" ht="14.5" x14ac:dyDescent="0.35">
      <c r="A1519" s="12">
        <v>1518</v>
      </c>
      <c r="B1519" s="15" t="s">
        <v>728</v>
      </c>
      <c r="C1519" s="15" t="s">
        <v>729</v>
      </c>
      <c r="D1519" s="15" t="s">
        <v>729</v>
      </c>
      <c r="E1519" s="12" t="s">
        <v>730</v>
      </c>
      <c r="F1519" s="13" t="s">
        <v>50</v>
      </c>
      <c r="G1519" s="13" t="s">
        <v>51</v>
      </c>
      <c r="H1519" s="16" t="s">
        <v>52</v>
      </c>
      <c r="I1519" s="16" t="s">
        <v>53</v>
      </c>
      <c r="J1519" s="17">
        <v>0.15</v>
      </c>
      <c r="K1519" s="17"/>
      <c r="L1519" s="17" t="s">
        <v>734</v>
      </c>
      <c r="M1519" s="17"/>
      <c r="N1519" s="14" t="s">
        <v>85</v>
      </c>
      <c r="O1519" s="17" t="s">
        <v>101</v>
      </c>
      <c r="P1519" s="17"/>
      <c r="Q1519" s="17">
        <v>99.384619999999998</v>
      </c>
      <c r="R1519" s="17">
        <v>99.384619999999998</v>
      </c>
      <c r="S1519" s="17">
        <v>65.538460000000001</v>
      </c>
      <c r="T1519" s="17">
        <v>2.769231</v>
      </c>
      <c r="U1519" s="19">
        <f t="shared" si="100"/>
        <v>4.2253525639754125E-2</v>
      </c>
      <c r="V1519" s="41">
        <f t="shared" si="103"/>
        <v>-95.77464743602458</v>
      </c>
      <c r="W1519" s="14"/>
      <c r="X1519" s="17" t="s">
        <v>56</v>
      </c>
      <c r="Z1519" s="17" t="s">
        <v>56</v>
      </c>
      <c r="AA1519" s="17"/>
      <c r="AB1519" s="17" t="s">
        <v>111</v>
      </c>
      <c r="AC1519" s="17">
        <v>1981</v>
      </c>
      <c r="AD1519" s="17">
        <v>21</v>
      </c>
      <c r="AE1519" s="17"/>
      <c r="AF1519" s="17"/>
      <c r="AG1519" s="17">
        <v>1982</v>
      </c>
      <c r="AH1519" s="14">
        <f t="shared" si="101"/>
        <v>-1</v>
      </c>
      <c r="AI1519" s="17">
        <f t="shared" si="102"/>
        <v>20</v>
      </c>
      <c r="AJ1519" s="17"/>
      <c r="AK1519" s="17" t="s">
        <v>56</v>
      </c>
      <c r="AL1519" s="16" t="s">
        <v>732</v>
      </c>
      <c r="AM1519" s="17">
        <v>2010</v>
      </c>
      <c r="AN1519" s="12" t="s">
        <v>733</v>
      </c>
      <c r="AO1519" s="15" t="s">
        <v>56</v>
      </c>
      <c r="AP1519" s="15"/>
      <c r="AQ1519" s="15" t="s">
        <v>56</v>
      </c>
      <c r="AR1519" s="15" t="s">
        <v>58</v>
      </c>
      <c r="AS1519" s="15" t="s">
        <v>62</v>
      </c>
      <c r="AT1519" s="12"/>
      <c r="AU1519" s="45"/>
      <c r="AV1519" s="15"/>
      <c r="AW1519" s="12" t="str">
        <f>B1519&amp;C1519&amp;L1519&amp;M1519&amp;O1519&amp;U1519&amp;AL1519&amp;AM1519</f>
        <v>ChileEstación Costera de Investigaciones MarinasPerumytilus pupuratuscover0.0422535256397541Navarrete2010</v>
      </c>
    </row>
    <row r="1520" spans="1:49" ht="14.5" x14ac:dyDescent="0.35">
      <c r="A1520" s="12">
        <v>1519</v>
      </c>
      <c r="B1520" s="15" t="s">
        <v>728</v>
      </c>
      <c r="C1520" s="15" t="s">
        <v>729</v>
      </c>
      <c r="D1520" s="15" t="s">
        <v>729</v>
      </c>
      <c r="E1520" s="15" t="s">
        <v>730</v>
      </c>
      <c r="F1520" s="13" t="s">
        <v>50</v>
      </c>
      <c r="G1520" s="13" t="s">
        <v>51</v>
      </c>
      <c r="H1520" s="16" t="s">
        <v>52</v>
      </c>
      <c r="I1520" s="16" t="s">
        <v>53</v>
      </c>
      <c r="J1520" s="17">
        <v>0.15</v>
      </c>
      <c r="K1520" s="17"/>
      <c r="L1520" s="17"/>
      <c r="M1520" s="17" t="s">
        <v>735</v>
      </c>
      <c r="N1520" s="53" t="s">
        <v>98</v>
      </c>
      <c r="O1520" s="17" t="s">
        <v>101</v>
      </c>
      <c r="P1520" s="17"/>
      <c r="Q1520" s="17">
        <v>0</v>
      </c>
      <c r="R1520" s="17">
        <v>0</v>
      </c>
      <c r="S1520" s="17">
        <v>7.6923079999999997</v>
      </c>
      <c r="T1520" s="17">
        <v>43.692309999999999</v>
      </c>
      <c r="U1520" s="20" t="str">
        <f t="shared" si="100"/>
        <v>N/A</v>
      </c>
      <c r="V1520" s="41" t="str">
        <f t="shared" si="103"/>
        <v>N/A</v>
      </c>
      <c r="W1520" s="17"/>
      <c r="X1520" s="17" t="s">
        <v>56</v>
      </c>
      <c r="Z1520" s="17" t="s">
        <v>56</v>
      </c>
      <c r="AA1520" s="17"/>
      <c r="AB1520" s="17" t="s">
        <v>111</v>
      </c>
      <c r="AC1520" s="17">
        <v>1981</v>
      </c>
      <c r="AD1520" s="17">
        <v>21</v>
      </c>
      <c r="AE1520" s="17"/>
      <c r="AF1520" s="17"/>
      <c r="AG1520" s="17">
        <v>1982</v>
      </c>
      <c r="AH1520" s="14">
        <f t="shared" si="101"/>
        <v>-1</v>
      </c>
      <c r="AI1520" s="17">
        <f t="shared" si="102"/>
        <v>20</v>
      </c>
      <c r="AJ1520" s="17"/>
      <c r="AK1520" s="17" t="s">
        <v>56</v>
      </c>
      <c r="AL1520" s="16" t="s">
        <v>732</v>
      </c>
      <c r="AM1520" s="17">
        <v>2010</v>
      </c>
      <c r="AN1520" s="12" t="s">
        <v>733</v>
      </c>
      <c r="AO1520" s="15" t="s">
        <v>56</v>
      </c>
      <c r="AP1520" s="15"/>
      <c r="AQ1520" s="15" t="s">
        <v>56</v>
      </c>
      <c r="AR1520" s="15" t="s">
        <v>58</v>
      </c>
      <c r="AS1520" s="15" t="s">
        <v>62</v>
      </c>
      <c r="AT1520" s="15"/>
      <c r="AU1520" s="45"/>
      <c r="AV1520" s="15"/>
      <c r="AW1520" s="12" t="str">
        <f>B1520&amp;C1520&amp;L1520&amp;M1520&amp;O1520&amp;U1520&amp;AL1520&amp;AM1520</f>
        <v>ChileEstación Costera de Investigaciones Marinaschthamalid barnaclescoverN/ANavarrete2010</v>
      </c>
    </row>
    <row r="1521" spans="1:49" ht="14.5" x14ac:dyDescent="0.35">
      <c r="A1521" s="12">
        <v>1520</v>
      </c>
      <c r="B1521" s="15" t="s">
        <v>728</v>
      </c>
      <c r="C1521" s="15" t="s">
        <v>729</v>
      </c>
      <c r="D1521" s="15" t="s">
        <v>729</v>
      </c>
      <c r="E1521" s="12" t="s">
        <v>730</v>
      </c>
      <c r="F1521" s="13" t="s">
        <v>50</v>
      </c>
      <c r="G1521" s="13" t="s">
        <v>51</v>
      </c>
      <c r="H1521" s="16" t="s">
        <v>52</v>
      </c>
      <c r="I1521" s="16" t="s">
        <v>53</v>
      </c>
      <c r="J1521" s="17">
        <v>0.15</v>
      </c>
      <c r="K1521" s="17"/>
      <c r="L1521" s="17" t="s">
        <v>736</v>
      </c>
      <c r="M1521" s="17"/>
      <c r="N1521" s="14" t="s">
        <v>85</v>
      </c>
      <c r="O1521" s="17" t="s">
        <v>70</v>
      </c>
      <c r="P1521" s="17"/>
      <c r="Q1521" s="17"/>
      <c r="R1521" s="17"/>
      <c r="S1521" s="17">
        <v>177.30500000000001</v>
      </c>
      <c r="T1521" s="17">
        <v>446.80849999999998</v>
      </c>
      <c r="U1521" s="19">
        <f t="shared" si="100"/>
        <v>2.5199994360001128</v>
      </c>
      <c r="V1521" s="41">
        <f t="shared" si="103"/>
        <v>151.99994360001128</v>
      </c>
      <c r="W1521" s="14"/>
      <c r="X1521" s="17" t="s">
        <v>56</v>
      </c>
      <c r="Z1521" s="17" t="s">
        <v>56</v>
      </c>
      <c r="AA1521" s="17"/>
      <c r="AB1521" s="17" t="s">
        <v>57</v>
      </c>
      <c r="AC1521" s="17">
        <v>1981</v>
      </c>
      <c r="AD1521" s="17">
        <v>21</v>
      </c>
      <c r="AE1521" s="17"/>
      <c r="AF1521" s="17"/>
      <c r="AG1521" s="17">
        <v>1982</v>
      </c>
      <c r="AH1521" s="14">
        <f t="shared" si="101"/>
        <v>-1</v>
      </c>
      <c r="AI1521" s="17">
        <f t="shared" si="102"/>
        <v>20</v>
      </c>
      <c r="AJ1521" s="17"/>
      <c r="AK1521" s="17" t="s">
        <v>56</v>
      </c>
      <c r="AL1521" s="16" t="s">
        <v>732</v>
      </c>
      <c r="AM1521" s="17">
        <v>2010</v>
      </c>
      <c r="AN1521" s="15" t="s">
        <v>733</v>
      </c>
      <c r="AO1521" s="15" t="s">
        <v>56</v>
      </c>
      <c r="AP1521" s="15"/>
      <c r="AQ1521" s="15" t="s">
        <v>56</v>
      </c>
      <c r="AR1521" s="15" t="s">
        <v>58</v>
      </c>
      <c r="AS1521" s="15" t="s">
        <v>62</v>
      </c>
      <c r="AT1521" s="12"/>
      <c r="AU1521" s="45"/>
      <c r="AV1521" s="15"/>
      <c r="AW1521" s="12" t="str">
        <f>B1521&amp;C1521&amp;L1521&amp;M1521&amp;O1521&amp;U1521&amp;AL1521&amp;AM1521</f>
        <v>ChileEstación Costera de Investigaciones MarinasDurvillaea antarcticabiomassden2.51999943600011Navarrete2010</v>
      </c>
    </row>
    <row r="1522" spans="1:49" ht="14.5" x14ac:dyDescent="0.35">
      <c r="A1522" s="12">
        <v>1521</v>
      </c>
      <c r="B1522" s="15" t="s">
        <v>153</v>
      </c>
      <c r="C1522" s="15" t="s">
        <v>2005</v>
      </c>
      <c r="D1522" s="15" t="s">
        <v>2005</v>
      </c>
      <c r="E1522" s="15" t="s">
        <v>49</v>
      </c>
      <c r="F1522" s="13" t="s">
        <v>50</v>
      </c>
      <c r="G1522" s="13" t="s">
        <v>51</v>
      </c>
      <c r="H1522" s="16" t="s">
        <v>78</v>
      </c>
      <c r="I1522" s="16" t="s">
        <v>156</v>
      </c>
      <c r="J1522" s="17">
        <v>332</v>
      </c>
      <c r="K1522" s="17"/>
      <c r="L1522" s="17" t="s">
        <v>625</v>
      </c>
      <c r="M1522" s="17"/>
      <c r="N1522" s="17" t="s">
        <v>170</v>
      </c>
      <c r="O1522" s="17" t="s">
        <v>70</v>
      </c>
      <c r="P1522" s="17"/>
      <c r="Q1522" s="17"/>
      <c r="R1522" s="17"/>
      <c r="S1522" s="17">
        <v>1350</v>
      </c>
      <c r="T1522" s="17">
        <v>26800</v>
      </c>
      <c r="U1522" s="20">
        <f t="shared" si="100"/>
        <v>19.851851851851851</v>
      </c>
      <c r="V1522" s="41">
        <f t="shared" si="103"/>
        <v>1885.1851851851852</v>
      </c>
      <c r="W1522" s="17"/>
      <c r="X1522" s="17" t="s">
        <v>56</v>
      </c>
      <c r="Z1522" s="17" t="s">
        <v>58</v>
      </c>
      <c r="AA1522" s="17"/>
      <c r="AB1522" s="17" t="s">
        <v>57</v>
      </c>
      <c r="AC1522" s="17">
        <v>2006</v>
      </c>
      <c r="AD1522" s="17">
        <v>3</v>
      </c>
      <c r="AE1522" s="17"/>
      <c r="AF1522" s="17"/>
      <c r="AG1522" s="17">
        <v>1988</v>
      </c>
      <c r="AH1522" s="14">
        <f t="shared" si="101"/>
        <v>18</v>
      </c>
      <c r="AI1522" s="17">
        <f t="shared" si="102"/>
        <v>21</v>
      </c>
      <c r="AJ1522" s="17"/>
      <c r="AK1522" s="17" t="s">
        <v>56</v>
      </c>
      <c r="AL1522" s="16" t="s">
        <v>2006</v>
      </c>
      <c r="AM1522" s="17">
        <v>2019</v>
      </c>
      <c r="AN1522" s="15" t="s">
        <v>2007</v>
      </c>
      <c r="AO1522" s="15" t="s">
        <v>56</v>
      </c>
      <c r="AP1522" s="15" t="s">
        <v>2008</v>
      </c>
      <c r="AQ1522" s="15" t="s">
        <v>56</v>
      </c>
      <c r="AR1522" s="15" t="s">
        <v>58</v>
      </c>
      <c r="AS1522" s="15" t="s">
        <v>62</v>
      </c>
      <c r="AT1522" s="15"/>
      <c r="AU1522" s="45" t="s">
        <v>2009</v>
      </c>
      <c r="AV1522" s="15"/>
      <c r="AW1522" s="12" t="str">
        <f>B1522&amp;C1522&amp;L1522&amp;M1522&amp;O1522&amp;U1522&amp;AL1522&amp;AM1522</f>
        <v>PhilippinesTubbataha Reefs National Marine ParkAcanthuridaebiomassden19.8518518518519Muallil2019</v>
      </c>
    </row>
    <row r="1523" spans="1:49" ht="14.5" x14ac:dyDescent="0.35">
      <c r="A1523" s="12">
        <v>1522</v>
      </c>
      <c r="B1523" s="15" t="s">
        <v>153</v>
      </c>
      <c r="C1523" s="15" t="s">
        <v>2005</v>
      </c>
      <c r="D1523" s="15" t="s">
        <v>2005</v>
      </c>
      <c r="E1523" s="15" t="s">
        <v>49</v>
      </c>
      <c r="F1523" s="13" t="s">
        <v>50</v>
      </c>
      <c r="G1523" s="13" t="s">
        <v>51</v>
      </c>
      <c r="H1523" s="16" t="s">
        <v>78</v>
      </c>
      <c r="I1523" s="16" t="s">
        <v>156</v>
      </c>
      <c r="J1523" s="17">
        <v>332</v>
      </c>
      <c r="K1523" s="17"/>
      <c r="L1523" s="17" t="s">
        <v>695</v>
      </c>
      <c r="M1523" s="17"/>
      <c r="N1523" s="17" t="s">
        <v>170</v>
      </c>
      <c r="O1523" s="17" t="s">
        <v>70</v>
      </c>
      <c r="P1523" s="17"/>
      <c r="Q1523" s="17"/>
      <c r="R1523" s="17"/>
      <c r="S1523" s="17">
        <v>475</v>
      </c>
      <c r="T1523" s="17">
        <v>2736.36</v>
      </c>
      <c r="U1523" s="20">
        <f t="shared" si="100"/>
        <v>5.7607578947368427</v>
      </c>
      <c r="V1523" s="41">
        <f t="shared" si="103"/>
        <v>476.07578947368427</v>
      </c>
      <c r="W1523" s="17"/>
      <c r="X1523" s="17" t="s">
        <v>56</v>
      </c>
      <c r="Z1523" s="17" t="s">
        <v>58</v>
      </c>
      <c r="AA1523" s="17"/>
      <c r="AB1523" s="17" t="s">
        <v>57</v>
      </c>
      <c r="AC1523" s="17">
        <v>2006</v>
      </c>
      <c r="AD1523" s="17">
        <v>3</v>
      </c>
      <c r="AE1523" s="17"/>
      <c r="AF1523" s="17"/>
      <c r="AG1523" s="17">
        <v>1988</v>
      </c>
      <c r="AH1523" s="14">
        <f t="shared" si="101"/>
        <v>18</v>
      </c>
      <c r="AI1523" s="17">
        <f t="shared" si="102"/>
        <v>21</v>
      </c>
      <c r="AJ1523" s="17"/>
      <c r="AK1523" s="17" t="s">
        <v>56</v>
      </c>
      <c r="AL1523" s="16" t="s">
        <v>2006</v>
      </c>
      <c r="AM1523" s="17">
        <v>2019</v>
      </c>
      <c r="AN1523" s="15" t="s">
        <v>2007</v>
      </c>
      <c r="AO1523" s="15" t="s">
        <v>56</v>
      </c>
      <c r="AP1523" s="15" t="s">
        <v>2008</v>
      </c>
      <c r="AQ1523" s="15" t="s">
        <v>56</v>
      </c>
      <c r="AR1523" s="15" t="s">
        <v>58</v>
      </c>
      <c r="AS1523" s="15" t="s">
        <v>62</v>
      </c>
      <c r="AT1523" s="15"/>
      <c r="AU1523" s="45" t="s">
        <v>2009</v>
      </c>
      <c r="AV1523" s="15"/>
      <c r="AW1523" s="12" t="str">
        <f>B1523&amp;C1523&amp;L1523&amp;M1523&amp;O1523&amp;U1523&amp;AL1523&amp;AM1523</f>
        <v>PhilippinesTubbataha Reefs National Marine ParkHaemulidaebiomassden5.76075789473684Muallil2019</v>
      </c>
    </row>
    <row r="1524" spans="1:49" ht="14.5" x14ac:dyDescent="0.35">
      <c r="A1524" s="12">
        <v>1523</v>
      </c>
      <c r="B1524" s="15" t="s">
        <v>153</v>
      </c>
      <c r="C1524" s="15" t="s">
        <v>2005</v>
      </c>
      <c r="D1524" s="15" t="s">
        <v>2005</v>
      </c>
      <c r="E1524" s="12" t="s">
        <v>49</v>
      </c>
      <c r="F1524" s="13" t="s">
        <v>50</v>
      </c>
      <c r="G1524" s="13" t="s">
        <v>51</v>
      </c>
      <c r="H1524" s="16" t="s">
        <v>78</v>
      </c>
      <c r="I1524" s="16" t="s">
        <v>156</v>
      </c>
      <c r="J1524" s="17">
        <v>332</v>
      </c>
      <c r="K1524" s="17"/>
      <c r="L1524" s="17" t="s">
        <v>697</v>
      </c>
      <c r="M1524" s="17"/>
      <c r="N1524" s="17" t="s">
        <v>170</v>
      </c>
      <c r="O1524" s="17" t="s">
        <v>70</v>
      </c>
      <c r="P1524" s="17"/>
      <c r="Q1524" s="17"/>
      <c r="R1524" s="17"/>
      <c r="S1524" s="17">
        <v>200</v>
      </c>
      <c r="T1524" s="17">
        <v>4160.6059999999998</v>
      </c>
      <c r="U1524" s="19">
        <f t="shared" si="100"/>
        <v>20.80303</v>
      </c>
      <c r="V1524" s="41">
        <f t="shared" si="103"/>
        <v>1980.3029999999999</v>
      </c>
      <c r="W1524" s="14"/>
      <c r="X1524" s="17" t="s">
        <v>56</v>
      </c>
      <c r="Z1524" s="17" t="s">
        <v>58</v>
      </c>
      <c r="AA1524" s="17"/>
      <c r="AB1524" s="17" t="s">
        <v>57</v>
      </c>
      <c r="AC1524" s="17">
        <v>2006</v>
      </c>
      <c r="AD1524" s="17">
        <v>3</v>
      </c>
      <c r="AE1524" s="17"/>
      <c r="AF1524" s="17"/>
      <c r="AG1524" s="17">
        <v>1988</v>
      </c>
      <c r="AH1524" s="14">
        <f t="shared" si="101"/>
        <v>18</v>
      </c>
      <c r="AI1524" s="17">
        <f t="shared" si="102"/>
        <v>21</v>
      </c>
      <c r="AJ1524" s="17"/>
      <c r="AK1524" s="17" t="s">
        <v>56</v>
      </c>
      <c r="AL1524" s="16" t="s">
        <v>2006</v>
      </c>
      <c r="AM1524" s="17">
        <v>2019</v>
      </c>
      <c r="AN1524" s="15" t="s">
        <v>2007</v>
      </c>
      <c r="AO1524" s="15" t="s">
        <v>56</v>
      </c>
      <c r="AP1524" s="15" t="s">
        <v>2008</v>
      </c>
      <c r="AQ1524" s="15" t="s">
        <v>56</v>
      </c>
      <c r="AR1524" s="15" t="s">
        <v>58</v>
      </c>
      <c r="AS1524" s="15" t="s">
        <v>62</v>
      </c>
      <c r="AT1524" s="12"/>
      <c r="AU1524" s="45" t="s">
        <v>2009</v>
      </c>
      <c r="AV1524" s="15"/>
      <c r="AW1524" s="12" t="str">
        <f>B1524&amp;C1524&amp;L1524&amp;M1524&amp;O1524&amp;U1524&amp;AL1524&amp;AM1524</f>
        <v>PhilippinesTubbataha Reefs National Marine ParkLethrinidaebiomassden20.80303Muallil2019</v>
      </c>
    </row>
    <row r="1525" spans="1:49" ht="14.5" x14ac:dyDescent="0.35">
      <c r="A1525" s="12">
        <v>1524</v>
      </c>
      <c r="B1525" s="15" t="s">
        <v>153</v>
      </c>
      <c r="C1525" s="15" t="s">
        <v>2005</v>
      </c>
      <c r="D1525" s="15" t="s">
        <v>2005</v>
      </c>
      <c r="E1525" s="15" t="s">
        <v>49</v>
      </c>
      <c r="F1525" s="13" t="s">
        <v>50</v>
      </c>
      <c r="G1525" s="13" t="s">
        <v>51</v>
      </c>
      <c r="H1525" s="16" t="s">
        <v>78</v>
      </c>
      <c r="I1525" s="16" t="s">
        <v>156</v>
      </c>
      <c r="J1525" s="17">
        <v>332</v>
      </c>
      <c r="K1525" s="17"/>
      <c r="L1525" s="17" t="s">
        <v>627</v>
      </c>
      <c r="M1525" s="17"/>
      <c r="N1525" s="17" t="s">
        <v>170</v>
      </c>
      <c r="O1525" s="17" t="s">
        <v>70</v>
      </c>
      <c r="P1525" s="17"/>
      <c r="Q1525" s="17"/>
      <c r="R1525" s="17"/>
      <c r="S1525" s="17">
        <v>962.5</v>
      </c>
      <c r="T1525" s="17">
        <v>8433.3330000000005</v>
      </c>
      <c r="U1525" s="20">
        <f t="shared" si="100"/>
        <v>8.7619044155844161</v>
      </c>
      <c r="V1525" s="41">
        <f t="shared" si="103"/>
        <v>776.19044155844165</v>
      </c>
      <c r="W1525" s="17"/>
      <c r="X1525" s="17" t="s">
        <v>56</v>
      </c>
      <c r="Z1525" s="17" t="s">
        <v>58</v>
      </c>
      <c r="AA1525" s="17"/>
      <c r="AB1525" s="17" t="s">
        <v>57</v>
      </c>
      <c r="AC1525" s="17">
        <v>2006</v>
      </c>
      <c r="AD1525" s="17">
        <v>3</v>
      </c>
      <c r="AE1525" s="17"/>
      <c r="AF1525" s="17"/>
      <c r="AG1525" s="17">
        <v>1988</v>
      </c>
      <c r="AH1525" s="14">
        <f t="shared" si="101"/>
        <v>18</v>
      </c>
      <c r="AI1525" s="17">
        <f t="shared" si="102"/>
        <v>21</v>
      </c>
      <c r="AJ1525" s="17"/>
      <c r="AK1525" s="17" t="s">
        <v>56</v>
      </c>
      <c r="AL1525" s="16" t="s">
        <v>2006</v>
      </c>
      <c r="AM1525" s="17">
        <v>2019</v>
      </c>
      <c r="AN1525" s="12" t="s">
        <v>2007</v>
      </c>
      <c r="AO1525" s="15" t="s">
        <v>56</v>
      </c>
      <c r="AP1525" s="15" t="s">
        <v>2008</v>
      </c>
      <c r="AQ1525" s="15" t="s">
        <v>56</v>
      </c>
      <c r="AR1525" s="15" t="s">
        <v>58</v>
      </c>
      <c r="AS1525" s="15" t="s">
        <v>62</v>
      </c>
      <c r="AT1525" s="15"/>
      <c r="AU1525" s="45" t="s">
        <v>2009</v>
      </c>
      <c r="AV1525" s="15"/>
      <c r="AW1525" s="12" t="str">
        <f>B1525&amp;C1525&amp;L1525&amp;M1525&amp;O1525&amp;U1525&amp;AL1525&amp;AM1525</f>
        <v>PhilippinesTubbataha Reefs National Marine ParkLutjanidaebiomassden8.76190441558442Muallil2019</v>
      </c>
    </row>
    <row r="1526" spans="1:49" ht="14.5" x14ac:dyDescent="0.35">
      <c r="A1526" s="12">
        <v>1525</v>
      </c>
      <c r="B1526" s="15" t="s">
        <v>153</v>
      </c>
      <c r="C1526" s="15" t="s">
        <v>2005</v>
      </c>
      <c r="D1526" s="15" t="s">
        <v>2005</v>
      </c>
      <c r="E1526" s="12" t="s">
        <v>49</v>
      </c>
      <c r="F1526" s="13" t="s">
        <v>50</v>
      </c>
      <c r="G1526" s="13" t="s">
        <v>51</v>
      </c>
      <c r="H1526" s="16" t="s">
        <v>78</v>
      </c>
      <c r="I1526" s="16" t="s">
        <v>156</v>
      </c>
      <c r="J1526" s="17">
        <v>332</v>
      </c>
      <c r="K1526" s="17"/>
      <c r="L1526" s="17" t="s">
        <v>168</v>
      </c>
      <c r="M1526" s="17"/>
      <c r="N1526" s="17" t="s">
        <v>170</v>
      </c>
      <c r="O1526" s="17" t="s">
        <v>70</v>
      </c>
      <c r="P1526" s="17"/>
      <c r="Q1526" s="17"/>
      <c r="R1526" s="17"/>
      <c r="S1526" s="17">
        <v>612.5</v>
      </c>
      <c r="T1526" s="17">
        <v>760.6</v>
      </c>
      <c r="U1526" s="19">
        <f t="shared" si="100"/>
        <v>1.241795918367347</v>
      </c>
      <c r="V1526" s="41">
        <f t="shared" si="103"/>
        <v>24.179591836734705</v>
      </c>
      <c r="W1526" s="14"/>
      <c r="X1526" s="17" t="s">
        <v>56</v>
      </c>
      <c r="Z1526" s="17" t="s">
        <v>58</v>
      </c>
      <c r="AA1526" s="17"/>
      <c r="AB1526" s="17" t="s">
        <v>57</v>
      </c>
      <c r="AC1526" s="17">
        <v>2006</v>
      </c>
      <c r="AD1526" s="17">
        <v>3</v>
      </c>
      <c r="AE1526" s="17"/>
      <c r="AF1526" s="17"/>
      <c r="AG1526" s="17">
        <v>1988</v>
      </c>
      <c r="AH1526" s="14">
        <f t="shared" si="101"/>
        <v>18</v>
      </c>
      <c r="AI1526" s="17">
        <f t="shared" si="102"/>
        <v>21</v>
      </c>
      <c r="AJ1526" s="17"/>
      <c r="AK1526" s="17" t="s">
        <v>56</v>
      </c>
      <c r="AL1526" s="16" t="s">
        <v>2006</v>
      </c>
      <c r="AM1526" s="17">
        <v>2019</v>
      </c>
      <c r="AN1526" s="12" t="s">
        <v>2007</v>
      </c>
      <c r="AO1526" s="15" t="s">
        <v>56</v>
      </c>
      <c r="AP1526" s="15" t="s">
        <v>2008</v>
      </c>
      <c r="AQ1526" s="15" t="s">
        <v>56</v>
      </c>
      <c r="AR1526" s="15" t="s">
        <v>58</v>
      </c>
      <c r="AS1526" s="15" t="s">
        <v>62</v>
      </c>
      <c r="AT1526" s="12"/>
      <c r="AU1526" s="45" t="s">
        <v>2009</v>
      </c>
      <c r="AV1526" s="15"/>
      <c r="AW1526" s="12" t="str">
        <f>B1526&amp;C1526&amp;L1526&amp;M1526&amp;O1526&amp;U1526&amp;AL1526&amp;AM1526</f>
        <v>PhilippinesTubbataha Reefs National Marine ParkMullidaebiomassden1.24179591836735Muallil2019</v>
      </c>
    </row>
    <row r="1527" spans="1:49" ht="14.5" x14ac:dyDescent="0.35">
      <c r="A1527" s="12">
        <v>1526</v>
      </c>
      <c r="B1527" s="12" t="s">
        <v>153</v>
      </c>
      <c r="C1527" s="15" t="s">
        <v>2005</v>
      </c>
      <c r="D1527" s="15" t="s">
        <v>2005</v>
      </c>
      <c r="E1527" s="12" t="s">
        <v>49</v>
      </c>
      <c r="F1527" s="13" t="s">
        <v>50</v>
      </c>
      <c r="G1527" s="13" t="s">
        <v>51</v>
      </c>
      <c r="H1527" s="16" t="s">
        <v>78</v>
      </c>
      <c r="I1527" s="13" t="s">
        <v>156</v>
      </c>
      <c r="J1527" s="14">
        <v>332</v>
      </c>
      <c r="K1527" s="17"/>
      <c r="L1527" s="14" t="s">
        <v>267</v>
      </c>
      <c r="M1527" s="14"/>
      <c r="N1527" s="14" t="s">
        <v>170</v>
      </c>
      <c r="O1527" s="17" t="s">
        <v>70</v>
      </c>
      <c r="P1527" s="14"/>
      <c r="Q1527" s="14"/>
      <c r="R1527" s="14"/>
      <c r="S1527" s="14">
        <v>1925</v>
      </c>
      <c r="T1527" s="14">
        <v>6409.0910000000003</v>
      </c>
      <c r="U1527" s="19">
        <f t="shared" si="100"/>
        <v>3.3293979220779222</v>
      </c>
      <c r="V1527" s="41">
        <f t="shared" si="103"/>
        <v>232.93979220779221</v>
      </c>
      <c r="W1527" s="14"/>
      <c r="X1527" s="14" t="s">
        <v>56</v>
      </c>
      <c r="Z1527" s="14" t="s">
        <v>58</v>
      </c>
      <c r="AA1527" s="17"/>
      <c r="AB1527" s="14" t="s">
        <v>57</v>
      </c>
      <c r="AC1527" s="14">
        <v>2006</v>
      </c>
      <c r="AD1527" s="14">
        <v>3</v>
      </c>
      <c r="AE1527" s="14"/>
      <c r="AF1527" s="14"/>
      <c r="AG1527" s="14">
        <v>1988</v>
      </c>
      <c r="AH1527" s="14">
        <f t="shared" si="101"/>
        <v>18</v>
      </c>
      <c r="AI1527" s="17">
        <f t="shared" si="102"/>
        <v>21</v>
      </c>
      <c r="AJ1527" s="14"/>
      <c r="AK1527" s="14" t="s">
        <v>56</v>
      </c>
      <c r="AL1527" s="13" t="s">
        <v>2006</v>
      </c>
      <c r="AM1527" s="14">
        <v>2019</v>
      </c>
      <c r="AN1527" s="12" t="s">
        <v>2007</v>
      </c>
      <c r="AO1527" s="12" t="s">
        <v>56</v>
      </c>
      <c r="AP1527" s="12" t="s">
        <v>2008</v>
      </c>
      <c r="AQ1527" s="12" t="s">
        <v>56</v>
      </c>
      <c r="AR1527" s="12" t="s">
        <v>58</v>
      </c>
      <c r="AS1527" s="12" t="s">
        <v>62</v>
      </c>
      <c r="AT1527" s="12"/>
      <c r="AU1527" s="45" t="s">
        <v>2009</v>
      </c>
      <c r="AV1527" s="15"/>
      <c r="AW1527" s="12" t="str">
        <f>B1527&amp;C1527&amp;L1527&amp;M1527&amp;O1527&amp;U1527&amp;AL1527&amp;AM1527</f>
        <v>PhilippinesTubbataha Reefs National Marine ParkScaridaebiomassden3.32939792207792Muallil2019</v>
      </c>
    </row>
    <row r="1528" spans="1:49" ht="14.5" x14ac:dyDescent="0.35">
      <c r="A1528" s="12">
        <v>1527</v>
      </c>
      <c r="B1528" s="12" t="s">
        <v>153</v>
      </c>
      <c r="C1528" s="15" t="s">
        <v>2005</v>
      </c>
      <c r="D1528" s="15" t="s">
        <v>2005</v>
      </c>
      <c r="E1528" s="12" t="s">
        <v>49</v>
      </c>
      <c r="F1528" s="13" t="s">
        <v>50</v>
      </c>
      <c r="G1528" s="13" t="s">
        <v>51</v>
      </c>
      <c r="H1528" s="16" t="s">
        <v>78</v>
      </c>
      <c r="I1528" s="13" t="s">
        <v>156</v>
      </c>
      <c r="J1528" s="14">
        <v>332</v>
      </c>
      <c r="K1528" s="17"/>
      <c r="L1528" s="14" t="s">
        <v>1476</v>
      </c>
      <c r="M1528" s="14" t="s">
        <v>961</v>
      </c>
      <c r="N1528" s="14" t="s">
        <v>170</v>
      </c>
      <c r="O1528" s="17" t="s">
        <v>70</v>
      </c>
      <c r="P1528" s="14"/>
      <c r="Q1528" s="14"/>
      <c r="R1528" s="14"/>
      <c r="S1528" s="14">
        <v>487.5</v>
      </c>
      <c r="T1528" s="14">
        <v>5772.73</v>
      </c>
      <c r="U1528" s="19">
        <f t="shared" si="100"/>
        <v>11.841497435897436</v>
      </c>
      <c r="V1528" s="41">
        <f t="shared" si="103"/>
        <v>1084.1497435897436</v>
      </c>
      <c r="W1528" s="14"/>
      <c r="X1528" s="14" t="s">
        <v>56</v>
      </c>
      <c r="Z1528" s="14" t="s">
        <v>58</v>
      </c>
      <c r="AA1528" s="17"/>
      <c r="AB1528" s="14" t="s">
        <v>57</v>
      </c>
      <c r="AC1528" s="14">
        <v>2006</v>
      </c>
      <c r="AD1528" s="14">
        <v>3</v>
      </c>
      <c r="AE1528" s="14"/>
      <c r="AF1528" s="14"/>
      <c r="AG1528" s="14">
        <v>1988</v>
      </c>
      <c r="AH1528" s="14">
        <f t="shared" si="101"/>
        <v>18</v>
      </c>
      <c r="AI1528" s="17">
        <f t="shared" si="102"/>
        <v>21</v>
      </c>
      <c r="AJ1528" s="14"/>
      <c r="AK1528" s="14" t="s">
        <v>56</v>
      </c>
      <c r="AL1528" s="13" t="s">
        <v>2006</v>
      </c>
      <c r="AM1528" s="14">
        <v>2019</v>
      </c>
      <c r="AN1528" s="12" t="s">
        <v>2007</v>
      </c>
      <c r="AO1528" s="12" t="s">
        <v>56</v>
      </c>
      <c r="AP1528" s="12" t="s">
        <v>2008</v>
      </c>
      <c r="AQ1528" s="12" t="s">
        <v>56</v>
      </c>
      <c r="AR1528" s="12" t="s">
        <v>58</v>
      </c>
      <c r="AS1528" s="12" t="s">
        <v>62</v>
      </c>
      <c r="AT1528" s="12"/>
      <c r="AU1528" s="45" t="s">
        <v>2009</v>
      </c>
      <c r="AV1528" s="15"/>
      <c r="AW1528" s="12" t="str">
        <f>B1528&amp;C1528&amp;L1528&amp;M1528&amp;O1528&amp;U1528&amp;AL1528&amp;AM1528</f>
        <v>PhilippinesTubbataha Reefs National Marine ParkEpinephelidaegroupersbiomassden11.8414974358974Muallil2019</v>
      </c>
    </row>
    <row r="1529" spans="1:49" ht="14.5" x14ac:dyDescent="0.35">
      <c r="A1529" s="12">
        <v>1528</v>
      </c>
      <c r="B1529" s="12" t="s">
        <v>153</v>
      </c>
      <c r="C1529" s="15" t="s">
        <v>2005</v>
      </c>
      <c r="D1529" s="15" t="s">
        <v>2005</v>
      </c>
      <c r="E1529" s="12" t="s">
        <v>49</v>
      </c>
      <c r="F1529" s="13" t="s">
        <v>50</v>
      </c>
      <c r="G1529" s="13" t="s">
        <v>51</v>
      </c>
      <c r="H1529" s="16" t="s">
        <v>78</v>
      </c>
      <c r="I1529" s="13" t="s">
        <v>156</v>
      </c>
      <c r="J1529" s="14">
        <v>332</v>
      </c>
      <c r="K1529" s="17"/>
      <c r="L1529" s="14"/>
      <c r="M1529" s="14" t="s">
        <v>1500</v>
      </c>
      <c r="N1529" s="53" t="s">
        <v>98</v>
      </c>
      <c r="O1529" s="17" t="s">
        <v>70</v>
      </c>
      <c r="P1529" s="14"/>
      <c r="Q1529" s="14"/>
      <c r="R1529" s="14"/>
      <c r="S1529" s="14">
        <v>6012.5</v>
      </c>
      <c r="T1529" s="14">
        <v>55087.88</v>
      </c>
      <c r="U1529" s="19">
        <f t="shared" si="100"/>
        <v>9.1622253638253639</v>
      </c>
      <c r="V1529" s="41">
        <f t="shared" si="103"/>
        <v>816.22253638253642</v>
      </c>
      <c r="W1529" s="14"/>
      <c r="X1529" s="14" t="s">
        <v>56</v>
      </c>
      <c r="Z1529" s="14" t="s">
        <v>58</v>
      </c>
      <c r="AA1529" s="17"/>
      <c r="AB1529" s="14" t="s">
        <v>57</v>
      </c>
      <c r="AC1529" s="14">
        <v>2006</v>
      </c>
      <c r="AD1529" s="14">
        <v>3</v>
      </c>
      <c r="AE1529" s="14"/>
      <c r="AF1529" s="14"/>
      <c r="AG1529" s="14">
        <v>1988</v>
      </c>
      <c r="AH1529" s="14">
        <f t="shared" si="101"/>
        <v>18</v>
      </c>
      <c r="AI1529" s="17">
        <f t="shared" si="102"/>
        <v>21</v>
      </c>
      <c r="AJ1529" s="14"/>
      <c r="AK1529" s="14" t="s">
        <v>56</v>
      </c>
      <c r="AL1529" s="13" t="s">
        <v>2006</v>
      </c>
      <c r="AM1529" s="14">
        <v>2019</v>
      </c>
      <c r="AN1529" s="12" t="s">
        <v>2007</v>
      </c>
      <c r="AO1529" s="12" t="s">
        <v>56</v>
      </c>
      <c r="AP1529" s="12" t="s">
        <v>2008</v>
      </c>
      <c r="AQ1529" s="12" t="s">
        <v>56</v>
      </c>
      <c r="AR1529" s="12" t="s">
        <v>58</v>
      </c>
      <c r="AS1529" s="12" t="s">
        <v>62</v>
      </c>
      <c r="AT1529" s="12"/>
      <c r="AU1529" s="45" t="s">
        <v>2009</v>
      </c>
      <c r="AV1529" s="15"/>
      <c r="AW1529" s="12" t="str">
        <f>B1529&amp;C1529&amp;L1529&amp;M1529&amp;O1529&amp;U1529&amp;AL1529&amp;AM1529</f>
        <v>PhilippinesTubbataha Reefs National Marine Parkcommercial fishbiomassden9.16222536382536Muallil2019</v>
      </c>
    </row>
    <row r="1530" spans="1:49" ht="14.5" x14ac:dyDescent="0.35">
      <c r="A1530" s="12">
        <v>1529</v>
      </c>
      <c r="B1530" s="12" t="s">
        <v>796</v>
      </c>
      <c r="C1530" s="15" t="s">
        <v>739</v>
      </c>
      <c r="D1530" s="15" t="s">
        <v>739</v>
      </c>
      <c r="E1530" s="12"/>
      <c r="F1530" s="13" t="s">
        <v>50</v>
      </c>
      <c r="G1530" s="13" t="s">
        <v>51</v>
      </c>
      <c r="H1530" s="16" t="s">
        <v>108</v>
      </c>
      <c r="I1530" s="13" t="s">
        <v>156</v>
      </c>
      <c r="J1530" s="14">
        <v>442</v>
      </c>
      <c r="K1530" s="17"/>
      <c r="L1530" s="14"/>
      <c r="M1530" s="14" t="s">
        <v>786</v>
      </c>
      <c r="N1530" s="14" t="s">
        <v>1070</v>
      </c>
      <c r="O1530" s="17" t="s">
        <v>101</v>
      </c>
      <c r="P1530" s="14"/>
      <c r="Q1530" s="14"/>
      <c r="R1530" s="14"/>
      <c r="S1530" s="14">
        <v>7.4</v>
      </c>
      <c r="T1530" s="14">
        <v>8.4749999999999996</v>
      </c>
      <c r="U1530" s="19">
        <f t="shared" si="100"/>
        <v>1.1452702702702702</v>
      </c>
      <c r="V1530" s="41">
        <f t="shared" si="103"/>
        <v>14.527027027027017</v>
      </c>
      <c r="W1530" s="14"/>
      <c r="X1530" s="14" t="s">
        <v>56</v>
      </c>
      <c r="Z1530" s="14" t="s">
        <v>58</v>
      </c>
      <c r="AA1530" s="17"/>
      <c r="AB1530" s="14" t="s">
        <v>57</v>
      </c>
      <c r="AC1530" s="14">
        <v>2004</v>
      </c>
      <c r="AD1530" s="14">
        <v>2.5</v>
      </c>
      <c r="AE1530" s="14"/>
      <c r="AF1530" s="14"/>
      <c r="AG1530" s="17">
        <v>1958</v>
      </c>
      <c r="AH1530" s="14">
        <f t="shared" si="101"/>
        <v>46</v>
      </c>
      <c r="AI1530" s="17">
        <f t="shared" si="102"/>
        <v>48.5</v>
      </c>
      <c r="AJ1530" s="14"/>
      <c r="AK1530" s="14" t="s">
        <v>56</v>
      </c>
      <c r="AL1530" s="13" t="s">
        <v>797</v>
      </c>
      <c r="AM1530" s="14">
        <v>2010</v>
      </c>
      <c r="AN1530" s="12" t="s">
        <v>150</v>
      </c>
      <c r="AO1530" s="12" t="s">
        <v>56</v>
      </c>
      <c r="AP1530" s="12" t="s">
        <v>798</v>
      </c>
      <c r="AQ1530" s="12" t="s">
        <v>56</v>
      </c>
      <c r="AR1530" s="12" t="s">
        <v>58</v>
      </c>
      <c r="AS1530" s="12" t="s">
        <v>62</v>
      </c>
      <c r="AT1530" s="12"/>
      <c r="AU1530" s="45" t="s">
        <v>799</v>
      </c>
      <c r="AV1530" s="15"/>
      <c r="AW1530" s="12" t="str">
        <f>B1530&amp;C1530&amp;L1530&amp;M1530&amp;O1530&amp;U1530&amp;AL1530&amp;AM1530</f>
        <v>The BahamasExuma Cays Land and Sea Parkcoralcover1.14527027027027Mumby2010</v>
      </c>
    </row>
    <row r="1531" spans="1:49" ht="14.5" x14ac:dyDescent="0.35">
      <c r="A1531" s="12">
        <v>1530</v>
      </c>
      <c r="B1531" s="12" t="s">
        <v>796</v>
      </c>
      <c r="C1531" s="15" t="s">
        <v>739</v>
      </c>
      <c r="D1531" s="15" t="s">
        <v>739</v>
      </c>
      <c r="E1531" s="12"/>
      <c r="F1531" s="13" t="s">
        <v>50</v>
      </c>
      <c r="G1531" s="13" t="s">
        <v>51</v>
      </c>
      <c r="H1531" s="16" t="s">
        <v>108</v>
      </c>
      <c r="I1531" s="13" t="s">
        <v>156</v>
      </c>
      <c r="J1531" s="14">
        <v>442</v>
      </c>
      <c r="K1531" s="17"/>
      <c r="L1531" s="14"/>
      <c r="M1531" s="17" t="s">
        <v>291</v>
      </c>
      <c r="N1531" s="53" t="s">
        <v>98</v>
      </c>
      <c r="O1531" s="17" t="s">
        <v>101</v>
      </c>
      <c r="P1531" s="14"/>
      <c r="Q1531" s="14"/>
      <c r="R1531" s="14"/>
      <c r="S1531" s="14">
        <v>16.566669999999998</v>
      </c>
      <c r="T1531" s="14">
        <v>3.0750000000000002</v>
      </c>
      <c r="U1531" s="19">
        <f t="shared" si="100"/>
        <v>0.18561364474574554</v>
      </c>
      <c r="V1531" s="41">
        <f t="shared" si="103"/>
        <v>-81.438635525425454</v>
      </c>
      <c r="W1531" s="14"/>
      <c r="X1531" s="14" t="s">
        <v>56</v>
      </c>
      <c r="Z1531" s="14" t="s">
        <v>58</v>
      </c>
      <c r="AA1531" s="17"/>
      <c r="AB1531" s="14" t="s">
        <v>57</v>
      </c>
      <c r="AC1531" s="14">
        <v>2004</v>
      </c>
      <c r="AD1531" s="14">
        <v>2.5</v>
      </c>
      <c r="AE1531" s="14"/>
      <c r="AF1531" s="14"/>
      <c r="AG1531" s="17">
        <v>1958</v>
      </c>
      <c r="AH1531" s="14">
        <f t="shared" si="101"/>
        <v>46</v>
      </c>
      <c r="AI1531" s="17">
        <f t="shared" si="102"/>
        <v>48.5</v>
      </c>
      <c r="AJ1531" s="14"/>
      <c r="AK1531" s="14" t="s">
        <v>56</v>
      </c>
      <c r="AL1531" s="13" t="s">
        <v>797</v>
      </c>
      <c r="AM1531" s="14">
        <v>2010</v>
      </c>
      <c r="AN1531" s="12" t="s">
        <v>150</v>
      </c>
      <c r="AO1531" s="12" t="s">
        <v>56</v>
      </c>
      <c r="AP1531" s="12" t="s">
        <v>798</v>
      </c>
      <c r="AQ1531" s="12" t="s">
        <v>56</v>
      </c>
      <c r="AR1531" s="12" t="s">
        <v>58</v>
      </c>
      <c r="AS1531" s="12" t="s">
        <v>62</v>
      </c>
      <c r="AT1531" s="12"/>
      <c r="AU1531" s="45" t="s">
        <v>799</v>
      </c>
      <c r="AV1531" s="15"/>
      <c r="AW1531" s="12" t="str">
        <f>B1531&amp;C1531&amp;L1531&amp;M1531&amp;O1531&amp;U1531&amp;AL1531&amp;AM1531</f>
        <v>The BahamasExuma Cays Land and Sea ParkMacroalgaecover0.185613644745746Mumby2010</v>
      </c>
    </row>
    <row r="1532" spans="1:49" ht="14.5" x14ac:dyDescent="0.35">
      <c r="A1532" s="12">
        <v>1531</v>
      </c>
      <c r="B1532" s="15" t="s">
        <v>796</v>
      </c>
      <c r="C1532" s="15" t="s">
        <v>739</v>
      </c>
      <c r="D1532" s="15" t="s">
        <v>739</v>
      </c>
      <c r="E1532" s="15"/>
      <c r="F1532" s="13" t="s">
        <v>50</v>
      </c>
      <c r="G1532" s="13" t="s">
        <v>51</v>
      </c>
      <c r="H1532" s="16" t="s">
        <v>108</v>
      </c>
      <c r="I1532" s="16" t="s">
        <v>156</v>
      </c>
      <c r="J1532" s="17">
        <v>442</v>
      </c>
      <c r="K1532" s="17"/>
      <c r="L1532" s="17" t="s">
        <v>800</v>
      </c>
      <c r="M1532" s="17"/>
      <c r="N1532" s="14" t="s">
        <v>85</v>
      </c>
      <c r="O1532" s="17" t="s">
        <v>86</v>
      </c>
      <c r="P1532" s="17"/>
      <c r="Q1532" s="17"/>
      <c r="R1532" s="17"/>
      <c r="S1532" s="17">
        <v>0.64041095800000003</v>
      </c>
      <c r="T1532" s="17">
        <v>1.43493151</v>
      </c>
      <c r="U1532" s="20">
        <f t="shared" si="100"/>
        <v>2.2406417193129915</v>
      </c>
      <c r="V1532" s="41">
        <f t="shared" si="103"/>
        <v>124.06417193129914</v>
      </c>
      <c r="W1532" s="17"/>
      <c r="X1532" s="17" t="s">
        <v>56</v>
      </c>
      <c r="Y1532" s="17"/>
      <c r="Z1532" s="17" t="s">
        <v>58</v>
      </c>
      <c r="AA1532" s="17" t="s">
        <v>58</v>
      </c>
      <c r="AB1532" s="17" t="s">
        <v>57</v>
      </c>
      <c r="AC1532" s="17">
        <v>2004</v>
      </c>
      <c r="AD1532" s="17">
        <v>2.5</v>
      </c>
      <c r="AE1532" s="17"/>
      <c r="AF1532" s="17"/>
      <c r="AG1532" s="17">
        <v>1958</v>
      </c>
      <c r="AH1532" s="14">
        <f t="shared" si="101"/>
        <v>46</v>
      </c>
      <c r="AI1532" s="17">
        <f t="shared" si="102"/>
        <v>48.5</v>
      </c>
      <c r="AJ1532" s="17"/>
      <c r="AK1532" s="17" t="s">
        <v>56</v>
      </c>
      <c r="AL1532" s="16" t="s">
        <v>797</v>
      </c>
      <c r="AM1532" s="17">
        <v>2010</v>
      </c>
      <c r="AN1532" s="15" t="s">
        <v>150</v>
      </c>
      <c r="AO1532" s="15" t="s">
        <v>56</v>
      </c>
      <c r="AP1532" s="15" t="s">
        <v>798</v>
      </c>
      <c r="AQ1532" s="15" t="s">
        <v>56</v>
      </c>
      <c r="AR1532" s="15" t="s">
        <v>58</v>
      </c>
      <c r="AS1532" s="15" t="s">
        <v>62</v>
      </c>
      <c r="AT1532" s="15"/>
      <c r="AU1532" s="45" t="s">
        <v>801</v>
      </c>
      <c r="AV1532" s="15"/>
      <c r="AW1532" s="12" t="str">
        <f>B1532&amp;C1532&amp;L1532&amp;M1532&amp;O1532&amp;U1532&amp;AL1532&amp;AM1532</f>
        <v>The BahamasExuma Cays Land and Sea ParkPorites astreoidesdensity2.24064171931299Mumby2010</v>
      </c>
    </row>
    <row r="1533" spans="1:49" ht="14.5" x14ac:dyDescent="0.35">
      <c r="A1533" s="12">
        <v>1532</v>
      </c>
      <c r="B1533" s="15" t="s">
        <v>796</v>
      </c>
      <c r="C1533" s="15" t="s">
        <v>739</v>
      </c>
      <c r="D1533" s="15" t="s">
        <v>739</v>
      </c>
      <c r="E1533" s="15"/>
      <c r="F1533" s="13" t="s">
        <v>50</v>
      </c>
      <c r="G1533" s="13" t="s">
        <v>51</v>
      </c>
      <c r="H1533" s="16" t="s">
        <v>108</v>
      </c>
      <c r="I1533" s="16" t="s">
        <v>156</v>
      </c>
      <c r="J1533" s="17">
        <v>442</v>
      </c>
      <c r="K1533" s="17"/>
      <c r="L1533" s="17" t="s">
        <v>802</v>
      </c>
      <c r="M1533" s="17"/>
      <c r="N1533" s="14" t="s">
        <v>85</v>
      </c>
      <c r="O1533" s="17" t="s">
        <v>86</v>
      </c>
      <c r="P1533" s="17"/>
      <c r="Q1533" s="17"/>
      <c r="R1533" s="17"/>
      <c r="S1533" s="17">
        <v>9.8675497000000001E-2</v>
      </c>
      <c r="T1533" s="17">
        <v>0.46158940399999998</v>
      </c>
      <c r="U1533" s="20">
        <f t="shared" si="100"/>
        <v>4.6778523345061034</v>
      </c>
      <c r="V1533" s="41">
        <f t="shared" si="103"/>
        <v>367.78523345061035</v>
      </c>
      <c r="W1533" s="17"/>
      <c r="X1533" s="17" t="s">
        <v>56</v>
      </c>
      <c r="Y1533" s="17"/>
      <c r="Z1533" s="17" t="s">
        <v>58</v>
      </c>
      <c r="AA1533" s="17" t="s">
        <v>58</v>
      </c>
      <c r="AB1533" s="17" t="s">
        <v>57</v>
      </c>
      <c r="AC1533" s="17">
        <v>2004</v>
      </c>
      <c r="AD1533" s="17">
        <v>2.5</v>
      </c>
      <c r="AE1533" s="17"/>
      <c r="AF1533" s="17"/>
      <c r="AG1533" s="17">
        <v>1958</v>
      </c>
      <c r="AH1533" s="14">
        <f t="shared" si="101"/>
        <v>46</v>
      </c>
      <c r="AI1533" s="17">
        <f t="shared" si="102"/>
        <v>48.5</v>
      </c>
      <c r="AJ1533" s="17"/>
      <c r="AK1533" s="17" t="s">
        <v>56</v>
      </c>
      <c r="AL1533" s="16" t="s">
        <v>797</v>
      </c>
      <c r="AM1533" s="17">
        <v>2010</v>
      </c>
      <c r="AN1533" s="15" t="s">
        <v>150</v>
      </c>
      <c r="AO1533" s="15" t="s">
        <v>56</v>
      </c>
      <c r="AP1533" s="15" t="s">
        <v>798</v>
      </c>
      <c r="AQ1533" s="15" t="s">
        <v>56</v>
      </c>
      <c r="AR1533" s="15" t="s">
        <v>58</v>
      </c>
      <c r="AS1533" s="15" t="s">
        <v>62</v>
      </c>
      <c r="AT1533" s="15"/>
      <c r="AU1533" s="45" t="s">
        <v>801</v>
      </c>
      <c r="AV1533" s="15"/>
      <c r="AW1533" s="12" t="str">
        <f>B1533&amp;C1533&amp;L1533&amp;M1533&amp;O1533&amp;U1533&amp;AL1533&amp;AM1533</f>
        <v>The BahamasExuma Cays Land and Sea ParkAgaricia agaricitesdensity4.6778523345061Mumby2010</v>
      </c>
    </row>
    <row r="1534" spans="1:49" ht="14.5" x14ac:dyDescent="0.35">
      <c r="A1534" s="12">
        <v>1533</v>
      </c>
      <c r="B1534" s="12" t="s">
        <v>796</v>
      </c>
      <c r="C1534" s="15" t="s">
        <v>739</v>
      </c>
      <c r="D1534" s="15" t="s">
        <v>739</v>
      </c>
      <c r="E1534" s="12"/>
      <c r="F1534" s="13" t="s">
        <v>50</v>
      </c>
      <c r="G1534" s="13" t="s">
        <v>51</v>
      </c>
      <c r="H1534" s="16" t="s">
        <v>108</v>
      </c>
      <c r="I1534" s="13" t="s">
        <v>156</v>
      </c>
      <c r="J1534" s="14">
        <v>442</v>
      </c>
      <c r="K1534" s="17"/>
      <c r="L1534" s="14" t="s">
        <v>803</v>
      </c>
      <c r="M1534" s="14"/>
      <c r="N1534" s="14" t="s">
        <v>85</v>
      </c>
      <c r="O1534" s="17" t="s">
        <v>86</v>
      </c>
      <c r="P1534" s="14"/>
      <c r="Q1534" s="14"/>
      <c r="R1534" s="14"/>
      <c r="S1534" s="14">
        <v>0.44324324399999998</v>
      </c>
      <c r="T1534" s="14">
        <v>0.49924924999999998</v>
      </c>
      <c r="U1534" s="19">
        <f t="shared" si="100"/>
        <v>1.1263550133208573</v>
      </c>
      <c r="V1534" s="41">
        <f t="shared" si="103"/>
        <v>12.635501332085731</v>
      </c>
      <c r="W1534" s="14"/>
      <c r="X1534" s="14" t="s">
        <v>56</v>
      </c>
      <c r="Z1534" s="14" t="s">
        <v>58</v>
      </c>
      <c r="AA1534" s="17" t="s">
        <v>58</v>
      </c>
      <c r="AB1534" s="14" t="s">
        <v>57</v>
      </c>
      <c r="AC1534" s="14">
        <v>2004</v>
      </c>
      <c r="AD1534" s="14">
        <v>2.5</v>
      </c>
      <c r="AE1534" s="14"/>
      <c r="AF1534" s="14"/>
      <c r="AG1534" s="17">
        <v>1958</v>
      </c>
      <c r="AH1534" s="14">
        <f t="shared" si="101"/>
        <v>46</v>
      </c>
      <c r="AI1534" s="17">
        <f t="shared" si="102"/>
        <v>48.5</v>
      </c>
      <c r="AJ1534" s="14"/>
      <c r="AK1534" s="14" t="s">
        <v>56</v>
      </c>
      <c r="AL1534" s="13" t="s">
        <v>797</v>
      </c>
      <c r="AM1534" s="14">
        <v>2010</v>
      </c>
      <c r="AN1534" s="12" t="s">
        <v>150</v>
      </c>
      <c r="AO1534" s="12" t="s">
        <v>56</v>
      </c>
      <c r="AP1534" s="12" t="s">
        <v>798</v>
      </c>
      <c r="AQ1534" s="12" t="s">
        <v>56</v>
      </c>
      <c r="AR1534" s="12" t="s">
        <v>58</v>
      </c>
      <c r="AS1534" s="12" t="s">
        <v>62</v>
      </c>
      <c r="AT1534" s="12"/>
      <c r="AU1534" s="45" t="s">
        <v>801</v>
      </c>
      <c r="AV1534" s="15"/>
      <c r="AW1534" s="12" t="str">
        <f>B1534&amp;C1534&amp;L1534&amp;M1534&amp;O1534&amp;U1534&amp;AL1534&amp;AM1534</f>
        <v>The BahamasExuma Cays Land and Sea ParkMontastraea annularisdensity1.12635501332086Mumby2010</v>
      </c>
    </row>
    <row r="1535" spans="1:49" ht="14.5" x14ac:dyDescent="0.35">
      <c r="A1535" s="12">
        <v>1534</v>
      </c>
      <c r="B1535" s="15" t="s">
        <v>477</v>
      </c>
      <c r="C1535" s="43" t="s">
        <v>1363</v>
      </c>
      <c r="D1535" s="43" t="s">
        <v>1375</v>
      </c>
      <c r="E1535" s="15" t="s">
        <v>68</v>
      </c>
      <c r="F1535" s="13" t="s">
        <v>50</v>
      </c>
      <c r="G1535" s="13" t="s">
        <v>51</v>
      </c>
      <c r="H1535" s="16" t="s">
        <v>481</v>
      </c>
      <c r="I1535" s="16" t="s">
        <v>53</v>
      </c>
      <c r="J1535" s="17">
        <v>0.94</v>
      </c>
      <c r="K1535" s="17"/>
      <c r="L1535" s="17" t="s">
        <v>226</v>
      </c>
      <c r="M1535" s="17"/>
      <c r="N1535" s="14" t="s">
        <v>85</v>
      </c>
      <c r="O1535" s="17" t="s">
        <v>86</v>
      </c>
      <c r="P1535" s="17"/>
      <c r="Q1535" s="17"/>
      <c r="R1535" s="17"/>
      <c r="S1535" s="17">
        <v>15.8</v>
      </c>
      <c r="T1535" s="17">
        <v>24.8</v>
      </c>
      <c r="U1535" s="20">
        <f t="shared" ref="U1535:U1598" si="104">IFERROR(IF(AND(Q1535="",R1535="",S1535="",T1535=""),"",IF(AND(Q1535&lt;&gt;"",R1535&lt;&gt;"",S1535&lt;&gt;"",T1535&lt;&gt;""),(T1535/R1535)/(S1535/Q1535),IF(AND(Q1535&lt;&gt;"",R1535&lt;&gt;""),R1535/Q1535,IF(AND(S1535&lt;&gt;"",T1535&lt;&gt;""),T1535/S1535,IF(AND(Q1535&lt;&gt;"",S1535&lt;&gt;""),Q1535/S1535,IF(AND(R1535&lt;&gt;"",T1535&lt;&gt;""),T1535/R1535)))))), "N/A")</f>
        <v>1.5696202531645569</v>
      </c>
      <c r="V1535" s="41">
        <f t="shared" si="103"/>
        <v>56.962025316455687</v>
      </c>
      <c r="W1535" s="17"/>
      <c r="X1535" s="17" t="s">
        <v>56</v>
      </c>
      <c r="Z1535" s="17" t="s">
        <v>58</v>
      </c>
      <c r="AA1535" s="17" t="s">
        <v>56</v>
      </c>
      <c r="AB1535" s="17" t="s">
        <v>57</v>
      </c>
      <c r="AC1535" s="17">
        <v>2009</v>
      </c>
      <c r="AD1535" s="17">
        <v>7</v>
      </c>
      <c r="AE1535" s="17"/>
      <c r="AF1535" s="17"/>
      <c r="AG1535" s="17">
        <v>1983</v>
      </c>
      <c r="AH1535" s="14">
        <f t="shared" si="101"/>
        <v>26</v>
      </c>
      <c r="AI1535" s="17">
        <f t="shared" si="102"/>
        <v>33</v>
      </c>
      <c r="AJ1535" s="17"/>
      <c r="AK1535" s="17" t="s">
        <v>56</v>
      </c>
      <c r="AL1535" s="16" t="s">
        <v>1381</v>
      </c>
      <c r="AM1535" s="17">
        <v>2019</v>
      </c>
      <c r="AN1535" s="12" t="s">
        <v>738</v>
      </c>
      <c r="AO1535" s="15" t="s">
        <v>56</v>
      </c>
      <c r="AP1535" s="15"/>
      <c r="AQ1535" s="15" t="s">
        <v>56</v>
      </c>
      <c r="AR1535" s="15" t="s">
        <v>58</v>
      </c>
      <c r="AS1535" s="15" t="s">
        <v>62</v>
      </c>
      <c r="AT1535" s="15"/>
      <c r="AU1535" s="45"/>
      <c r="AV1535" s="15"/>
      <c r="AW1535" s="12" t="str">
        <f>B1535&amp;C1535&amp;L1535&amp;M1535&amp;O1535&amp;U1535&amp;AL1535&amp;AM1535</f>
        <v>SpainMedes Islands Marine ReserveDiplodus sargusdensity1.56962025316456Medrano2019</v>
      </c>
    </row>
    <row r="1536" spans="1:49" ht="14.5" x14ac:dyDescent="0.35">
      <c r="A1536" s="12">
        <v>1535</v>
      </c>
      <c r="B1536" s="12" t="s">
        <v>477</v>
      </c>
      <c r="C1536" s="43" t="s">
        <v>1363</v>
      </c>
      <c r="D1536" s="43" t="s">
        <v>1375</v>
      </c>
      <c r="E1536" s="12" t="s">
        <v>68</v>
      </c>
      <c r="F1536" s="13" t="s">
        <v>50</v>
      </c>
      <c r="G1536" s="13" t="s">
        <v>51</v>
      </c>
      <c r="H1536" s="16" t="s">
        <v>481</v>
      </c>
      <c r="I1536" s="13" t="s">
        <v>53</v>
      </c>
      <c r="J1536" s="14">
        <v>0.94</v>
      </c>
      <c r="K1536" s="17"/>
      <c r="L1536" s="14" t="s">
        <v>226</v>
      </c>
      <c r="M1536" s="14"/>
      <c r="N1536" s="14" t="s">
        <v>85</v>
      </c>
      <c r="O1536" s="17" t="s">
        <v>70</v>
      </c>
      <c r="P1536" s="14"/>
      <c r="Q1536" s="14"/>
      <c r="R1536" s="14"/>
      <c r="S1536" s="14">
        <v>3</v>
      </c>
      <c r="T1536" s="14">
        <v>6.2</v>
      </c>
      <c r="U1536" s="19">
        <f t="shared" si="104"/>
        <v>2.0666666666666669</v>
      </c>
      <c r="V1536" s="41">
        <f t="shared" si="103"/>
        <v>106.66666666666669</v>
      </c>
      <c r="W1536" s="14"/>
      <c r="X1536" s="14" t="s">
        <v>56</v>
      </c>
      <c r="Z1536" s="14" t="s">
        <v>58</v>
      </c>
      <c r="AA1536" s="17" t="s">
        <v>56</v>
      </c>
      <c r="AB1536" s="14" t="s">
        <v>57</v>
      </c>
      <c r="AC1536" s="14">
        <v>2009</v>
      </c>
      <c r="AD1536" s="14">
        <v>7</v>
      </c>
      <c r="AE1536" s="14"/>
      <c r="AF1536" s="14"/>
      <c r="AG1536" s="14">
        <v>1983</v>
      </c>
      <c r="AH1536" s="14">
        <f t="shared" ref="AH1536:AH1599" si="105">IF(OR(AG1536="NA",AC1536="NA"),"NA",IF(OR(AC1536="",AG1536=""), "", AC1536-AG1536))</f>
        <v>26</v>
      </c>
      <c r="AI1536" s="17">
        <f t="shared" ref="AI1536:AI1599" si="106">IF(AH1536="NA", "NA",IF(OR(AH1536="",AND(AD1536="",AE1536="")), "",AH1536+AD1536+AE1536/12))</f>
        <v>33</v>
      </c>
      <c r="AJ1536" s="14"/>
      <c r="AK1536" s="14" t="s">
        <v>56</v>
      </c>
      <c r="AL1536" s="13" t="s">
        <v>1381</v>
      </c>
      <c r="AM1536" s="14">
        <v>2019</v>
      </c>
      <c r="AN1536" s="12" t="s">
        <v>738</v>
      </c>
      <c r="AO1536" s="12" t="s">
        <v>56</v>
      </c>
      <c r="AP1536" s="12"/>
      <c r="AQ1536" s="12" t="s">
        <v>56</v>
      </c>
      <c r="AR1536" s="12" t="s">
        <v>58</v>
      </c>
      <c r="AS1536" s="12" t="s">
        <v>62</v>
      </c>
      <c r="AT1536" s="12"/>
      <c r="AU1536" s="45"/>
      <c r="AV1536" s="15"/>
      <c r="AW1536" s="12" t="str">
        <f>B1536&amp;C1536&amp;L1536&amp;M1536&amp;O1536&amp;U1536&amp;AL1536&amp;AM1536</f>
        <v>SpainMedes Islands Marine ReserveDiplodus sargusbiomassden2.06666666666667Medrano2019</v>
      </c>
    </row>
    <row r="1537" spans="1:49" ht="14.5" x14ac:dyDescent="0.35">
      <c r="A1537" s="12">
        <v>1536</v>
      </c>
      <c r="B1537" s="15" t="s">
        <v>477</v>
      </c>
      <c r="C1537" s="43" t="s">
        <v>1363</v>
      </c>
      <c r="D1537" s="43" t="s">
        <v>1375</v>
      </c>
      <c r="E1537" s="15" t="s">
        <v>68</v>
      </c>
      <c r="F1537" s="16" t="s">
        <v>50</v>
      </c>
      <c r="G1537" s="16" t="s">
        <v>51</v>
      </c>
      <c r="H1537" s="16" t="s">
        <v>481</v>
      </c>
      <c r="I1537" s="16" t="s">
        <v>53</v>
      </c>
      <c r="J1537" s="14">
        <v>0.94</v>
      </c>
      <c r="K1537" s="17"/>
      <c r="L1537" s="17" t="s">
        <v>225</v>
      </c>
      <c r="M1537" s="17"/>
      <c r="N1537" s="14" t="s">
        <v>85</v>
      </c>
      <c r="O1537" s="17" t="s">
        <v>86</v>
      </c>
      <c r="P1537" s="17"/>
      <c r="Q1537" s="17"/>
      <c r="R1537" s="17"/>
      <c r="S1537" s="17">
        <v>34.4</v>
      </c>
      <c r="T1537" s="17">
        <v>59.8</v>
      </c>
      <c r="U1537" s="20">
        <f t="shared" si="104"/>
        <v>1.7383720930232558</v>
      </c>
      <c r="V1537" s="41">
        <f t="shared" si="103"/>
        <v>73.837209302325576</v>
      </c>
      <c r="W1537" s="17"/>
      <c r="X1537" s="17" t="s">
        <v>56</v>
      </c>
      <c r="Y1537" s="17"/>
      <c r="Z1537" s="17" t="s">
        <v>58</v>
      </c>
      <c r="AA1537" s="17" t="s">
        <v>56</v>
      </c>
      <c r="AB1537" s="17" t="s">
        <v>57</v>
      </c>
      <c r="AC1537" s="17">
        <v>2009</v>
      </c>
      <c r="AD1537" s="17">
        <v>7</v>
      </c>
      <c r="AE1537" s="17"/>
      <c r="AF1537" s="17"/>
      <c r="AG1537" s="17">
        <v>1983</v>
      </c>
      <c r="AH1537" s="14">
        <f t="shared" si="105"/>
        <v>26</v>
      </c>
      <c r="AI1537" s="17">
        <f t="shared" si="106"/>
        <v>33</v>
      </c>
      <c r="AJ1537" s="17"/>
      <c r="AK1537" s="17" t="s">
        <v>56</v>
      </c>
      <c r="AL1537" s="16" t="s">
        <v>1381</v>
      </c>
      <c r="AM1537" s="17">
        <v>2019</v>
      </c>
      <c r="AN1537" s="12" t="s">
        <v>738</v>
      </c>
      <c r="AO1537" s="15" t="s">
        <v>56</v>
      </c>
      <c r="AP1537" s="15"/>
      <c r="AQ1537" s="15" t="s">
        <v>56</v>
      </c>
      <c r="AR1537" s="15" t="s">
        <v>58</v>
      </c>
      <c r="AS1537" s="15" t="s">
        <v>62</v>
      </c>
      <c r="AT1537" s="15"/>
      <c r="AU1537" s="45"/>
      <c r="AV1537" s="15"/>
      <c r="AW1537" s="12" t="str">
        <f>B1537&amp;C1537&amp;L1537&amp;M1537&amp;O1537&amp;U1537&amp;AL1537&amp;AM1537</f>
        <v>SpainMedes Islands Marine ReserveDiplodus vulgarisdensity1.73837209302326Medrano2019</v>
      </c>
    </row>
    <row r="1538" spans="1:49" ht="14.5" x14ac:dyDescent="0.35">
      <c r="A1538" s="12">
        <v>1537</v>
      </c>
      <c r="B1538" s="15" t="s">
        <v>477</v>
      </c>
      <c r="C1538" s="43" t="s">
        <v>1363</v>
      </c>
      <c r="D1538" s="43" t="s">
        <v>1375</v>
      </c>
      <c r="E1538" s="15" t="s">
        <v>68</v>
      </c>
      <c r="F1538" s="13" t="s">
        <v>50</v>
      </c>
      <c r="G1538" s="13" t="s">
        <v>51</v>
      </c>
      <c r="H1538" s="16" t="s">
        <v>481</v>
      </c>
      <c r="I1538" s="16" t="s">
        <v>53</v>
      </c>
      <c r="J1538" s="17">
        <v>0.94</v>
      </c>
      <c r="K1538" s="17"/>
      <c r="L1538" s="17" t="s">
        <v>225</v>
      </c>
      <c r="M1538" s="17"/>
      <c r="N1538" s="14" t="s">
        <v>85</v>
      </c>
      <c r="O1538" s="17" t="s">
        <v>70</v>
      </c>
      <c r="P1538" s="17"/>
      <c r="Q1538" s="17"/>
      <c r="R1538" s="17"/>
      <c r="S1538" s="17">
        <v>2.6</v>
      </c>
      <c r="T1538" s="17">
        <v>7.2</v>
      </c>
      <c r="U1538" s="20">
        <f t="shared" si="104"/>
        <v>2.7692307692307692</v>
      </c>
      <c r="V1538" s="41">
        <f t="shared" ref="V1538:V1601" si="107">IFERROR(IF(U1538 = "", "",(U1538-1)*100),"N/A")</f>
        <v>176.92307692307691</v>
      </c>
      <c r="W1538" s="17"/>
      <c r="X1538" s="17" t="s">
        <v>56</v>
      </c>
      <c r="Z1538" s="17" t="s">
        <v>58</v>
      </c>
      <c r="AA1538" s="17" t="s">
        <v>56</v>
      </c>
      <c r="AB1538" s="17" t="s">
        <v>57</v>
      </c>
      <c r="AC1538" s="17">
        <v>2009</v>
      </c>
      <c r="AD1538" s="17">
        <v>7</v>
      </c>
      <c r="AE1538" s="17"/>
      <c r="AF1538" s="17"/>
      <c r="AG1538" s="17">
        <v>1983</v>
      </c>
      <c r="AH1538" s="14">
        <f t="shared" si="105"/>
        <v>26</v>
      </c>
      <c r="AI1538" s="17">
        <f t="shared" si="106"/>
        <v>33</v>
      </c>
      <c r="AJ1538" s="17"/>
      <c r="AK1538" s="17" t="s">
        <v>56</v>
      </c>
      <c r="AL1538" s="16" t="s">
        <v>1381</v>
      </c>
      <c r="AM1538" s="17">
        <v>2019</v>
      </c>
      <c r="AN1538" s="12" t="s">
        <v>738</v>
      </c>
      <c r="AO1538" s="15" t="s">
        <v>56</v>
      </c>
      <c r="AP1538" s="15"/>
      <c r="AQ1538" s="15" t="s">
        <v>56</v>
      </c>
      <c r="AR1538" s="15" t="s">
        <v>58</v>
      </c>
      <c r="AS1538" s="15" t="s">
        <v>62</v>
      </c>
      <c r="AT1538" s="15"/>
      <c r="AU1538" s="45"/>
      <c r="AV1538" s="15"/>
      <c r="AW1538" s="12" t="str">
        <f>B1538&amp;C1538&amp;L1538&amp;M1538&amp;O1538&amp;U1538&amp;AL1538&amp;AM1538</f>
        <v>SpainMedes Islands Marine ReserveDiplodus vulgarisbiomassden2.76923076923077Medrano2019</v>
      </c>
    </row>
    <row r="1539" spans="1:49" ht="14.5" x14ac:dyDescent="0.35">
      <c r="A1539" s="12">
        <v>1538</v>
      </c>
      <c r="B1539" s="15" t="s">
        <v>477</v>
      </c>
      <c r="C1539" s="43" t="s">
        <v>1363</v>
      </c>
      <c r="D1539" s="43" t="s">
        <v>1375</v>
      </c>
      <c r="E1539" s="15" t="s">
        <v>68</v>
      </c>
      <c r="F1539" s="16" t="s">
        <v>50</v>
      </c>
      <c r="G1539" s="16" t="s">
        <v>51</v>
      </c>
      <c r="H1539" s="16" t="s">
        <v>481</v>
      </c>
      <c r="I1539" s="16" t="s">
        <v>53</v>
      </c>
      <c r="J1539" s="14">
        <v>0.94</v>
      </c>
      <c r="K1539" s="17"/>
      <c r="L1539" s="17" t="s">
        <v>1382</v>
      </c>
      <c r="M1539" s="17"/>
      <c r="N1539" s="14" t="s">
        <v>85</v>
      </c>
      <c r="O1539" s="17" t="s">
        <v>86</v>
      </c>
      <c r="P1539" s="17"/>
      <c r="Q1539" s="17"/>
      <c r="R1539" s="17"/>
      <c r="S1539" s="17">
        <v>9761.9050000000007</v>
      </c>
      <c r="T1539" s="17">
        <v>2857.143</v>
      </c>
      <c r="U1539" s="20">
        <f t="shared" si="104"/>
        <v>0.29268293432480647</v>
      </c>
      <c r="V1539" s="41">
        <f t="shared" si="107"/>
        <v>-70.731706567519353</v>
      </c>
      <c r="W1539" s="17"/>
      <c r="X1539" s="17" t="s">
        <v>56</v>
      </c>
      <c r="Y1539" s="17"/>
      <c r="Z1539" s="17" t="s">
        <v>56</v>
      </c>
      <c r="AA1539" s="17"/>
      <c r="AB1539" s="17" t="s">
        <v>57</v>
      </c>
      <c r="AC1539" s="17">
        <v>1991</v>
      </c>
      <c r="AD1539" s="17">
        <v>25</v>
      </c>
      <c r="AE1539" s="17"/>
      <c r="AF1539" s="17"/>
      <c r="AG1539" s="17">
        <v>1983</v>
      </c>
      <c r="AH1539" s="14">
        <f t="shared" si="105"/>
        <v>8</v>
      </c>
      <c r="AI1539" s="17">
        <f t="shared" si="106"/>
        <v>33</v>
      </c>
      <c r="AJ1539" s="17"/>
      <c r="AK1539" s="17" t="s">
        <v>58</v>
      </c>
      <c r="AL1539" s="16" t="s">
        <v>1381</v>
      </c>
      <c r="AM1539" s="17">
        <v>2019</v>
      </c>
      <c r="AN1539" s="12" t="s">
        <v>738</v>
      </c>
      <c r="AO1539" s="15" t="s">
        <v>56</v>
      </c>
      <c r="AP1539" s="15"/>
      <c r="AQ1539" s="15" t="s">
        <v>56</v>
      </c>
      <c r="AR1539" s="15" t="s">
        <v>58</v>
      </c>
      <c r="AS1539" s="15" t="s">
        <v>62</v>
      </c>
      <c r="AT1539" s="15"/>
      <c r="AU1539" s="45"/>
      <c r="AV1539" s="15"/>
      <c r="AW1539" s="12" t="str">
        <f>B1539&amp;C1539&amp;L1539&amp;M1539&amp;O1539&amp;U1539&amp;AL1539&amp;AM1539</f>
        <v>SpainMedes Islands Marine ReserveParacentrotus lividusdensity0.292682934324806Medrano2019</v>
      </c>
    </row>
    <row r="1540" spans="1:49" ht="14.5" x14ac:dyDescent="0.35">
      <c r="A1540" s="12">
        <v>1539</v>
      </c>
      <c r="B1540" s="15" t="s">
        <v>477</v>
      </c>
      <c r="C1540" s="43" t="s">
        <v>1363</v>
      </c>
      <c r="D1540" s="43" t="s">
        <v>1375</v>
      </c>
      <c r="E1540" s="15" t="s">
        <v>68</v>
      </c>
      <c r="F1540" s="16" t="s">
        <v>50</v>
      </c>
      <c r="G1540" s="16" t="s">
        <v>51</v>
      </c>
      <c r="H1540" s="16" t="s">
        <v>481</v>
      </c>
      <c r="I1540" s="16" t="s">
        <v>53</v>
      </c>
      <c r="J1540" s="14">
        <v>0.94</v>
      </c>
      <c r="K1540" s="17"/>
      <c r="L1540" s="17" t="s">
        <v>1382</v>
      </c>
      <c r="M1540" s="17"/>
      <c r="N1540" s="14" t="s">
        <v>85</v>
      </c>
      <c r="O1540" s="17" t="s">
        <v>104</v>
      </c>
      <c r="P1540" s="17" t="s">
        <v>568</v>
      </c>
      <c r="Q1540" s="17"/>
      <c r="R1540" s="17"/>
      <c r="S1540" s="17">
        <v>3.4394740000000001</v>
      </c>
      <c r="T1540" s="17">
        <v>3.1315789999999999</v>
      </c>
      <c r="U1540" s="20">
        <f t="shared" si="104"/>
        <v>0.91048195160073886</v>
      </c>
      <c r="V1540" s="41">
        <f t="shared" si="107"/>
        <v>-8.9518048399261136</v>
      </c>
      <c r="W1540" s="17"/>
      <c r="X1540" s="17" t="s">
        <v>56</v>
      </c>
      <c r="Y1540" s="17"/>
      <c r="Z1540" s="17" t="s">
        <v>56</v>
      </c>
      <c r="AA1540" s="17"/>
      <c r="AB1540" s="17" t="s">
        <v>57</v>
      </c>
      <c r="AC1540" s="17">
        <v>2008</v>
      </c>
      <c r="AD1540" s="17">
        <v>8</v>
      </c>
      <c r="AE1540" s="17"/>
      <c r="AF1540" s="17"/>
      <c r="AG1540" s="17">
        <v>1983</v>
      </c>
      <c r="AH1540" s="14">
        <f t="shared" si="105"/>
        <v>25</v>
      </c>
      <c r="AI1540" s="17">
        <f t="shared" si="106"/>
        <v>33</v>
      </c>
      <c r="AJ1540" s="17"/>
      <c r="AK1540" s="17" t="s">
        <v>58</v>
      </c>
      <c r="AL1540" s="16" t="s">
        <v>1381</v>
      </c>
      <c r="AM1540" s="17">
        <v>2019</v>
      </c>
      <c r="AN1540" s="12" t="s">
        <v>738</v>
      </c>
      <c r="AO1540" s="15" t="s">
        <v>56</v>
      </c>
      <c r="AP1540" s="15"/>
      <c r="AQ1540" s="15" t="s">
        <v>56</v>
      </c>
      <c r="AR1540" s="15" t="s">
        <v>58</v>
      </c>
      <c r="AS1540" s="15" t="s">
        <v>62</v>
      </c>
      <c r="AT1540" s="15"/>
      <c r="AU1540" s="45"/>
      <c r="AV1540" s="15"/>
      <c r="AW1540" s="12" t="str">
        <f>B1540&amp;C1540&amp;L1540&amp;M1540&amp;O1540&amp;U1540&amp;AL1540&amp;AM1540</f>
        <v>SpainMedes Islands Marine ReserveParacentrotus lividussize0.910481951600739Medrano2019</v>
      </c>
    </row>
    <row r="1541" spans="1:49" ht="14.5" x14ac:dyDescent="0.35">
      <c r="A1541" s="12">
        <v>1540</v>
      </c>
      <c r="B1541" s="15" t="s">
        <v>477</v>
      </c>
      <c r="C1541" s="43" t="s">
        <v>1363</v>
      </c>
      <c r="D1541" s="43" t="s">
        <v>1375</v>
      </c>
      <c r="E1541" s="15" t="s">
        <v>68</v>
      </c>
      <c r="F1541" s="16" t="s">
        <v>50</v>
      </c>
      <c r="G1541" s="16" t="s">
        <v>51</v>
      </c>
      <c r="H1541" s="16" t="s">
        <v>481</v>
      </c>
      <c r="I1541" s="16" t="s">
        <v>53</v>
      </c>
      <c r="J1541" s="17">
        <v>0.94</v>
      </c>
      <c r="K1541" s="17"/>
      <c r="L1541" s="17" t="s">
        <v>1383</v>
      </c>
      <c r="M1541" s="17"/>
      <c r="N1541" s="14" t="s">
        <v>85</v>
      </c>
      <c r="O1541" s="17" t="s">
        <v>86</v>
      </c>
      <c r="P1541" s="17"/>
      <c r="Q1541" s="17"/>
      <c r="R1541" s="17"/>
      <c r="S1541" s="17">
        <v>2202.703</v>
      </c>
      <c r="T1541" s="17">
        <v>263.51350000000002</v>
      </c>
      <c r="U1541" s="20">
        <f t="shared" si="104"/>
        <v>0.11963187955888743</v>
      </c>
      <c r="V1541" s="41">
        <f t="shared" si="107"/>
        <v>-88.036812044111258</v>
      </c>
      <c r="W1541" s="17"/>
      <c r="X1541" s="17" t="s">
        <v>56</v>
      </c>
      <c r="Y1541" s="17"/>
      <c r="Z1541" s="17" t="s">
        <v>56</v>
      </c>
      <c r="AA1541" s="17"/>
      <c r="AB1541" s="17" t="s">
        <v>57</v>
      </c>
      <c r="AC1541" s="17">
        <v>1995</v>
      </c>
      <c r="AD1541" s="17">
        <v>21</v>
      </c>
      <c r="AE1541" s="17"/>
      <c r="AF1541" s="17"/>
      <c r="AG1541" s="17">
        <v>1983</v>
      </c>
      <c r="AH1541" s="14">
        <f t="shared" si="105"/>
        <v>12</v>
      </c>
      <c r="AI1541" s="17">
        <f t="shared" si="106"/>
        <v>33</v>
      </c>
      <c r="AJ1541" s="17"/>
      <c r="AK1541" s="17" t="s">
        <v>58</v>
      </c>
      <c r="AL1541" s="16" t="s">
        <v>1381</v>
      </c>
      <c r="AM1541" s="17">
        <v>2019</v>
      </c>
      <c r="AN1541" s="15" t="s">
        <v>738</v>
      </c>
      <c r="AO1541" s="15" t="s">
        <v>56</v>
      </c>
      <c r="AP1541" s="15"/>
      <c r="AQ1541" s="15" t="s">
        <v>56</v>
      </c>
      <c r="AR1541" s="15" t="s">
        <v>58</v>
      </c>
      <c r="AS1541" s="15" t="s">
        <v>62</v>
      </c>
      <c r="AT1541" s="15"/>
      <c r="AU1541" s="45"/>
      <c r="AV1541" s="15"/>
      <c r="AW1541" s="12" t="str">
        <f>B1541&amp;C1541&amp;L1541&amp;M1541&amp;O1541&amp;U1541&amp;AL1541&amp;AM1541</f>
        <v>SpainMedes Islands Marine ReserveArbacia lixuladensity0.119631879558887Medrano2019</v>
      </c>
    </row>
    <row r="1542" spans="1:49" ht="14.5" x14ac:dyDescent="0.35">
      <c r="A1542" s="12">
        <v>1541</v>
      </c>
      <c r="B1542" s="15" t="s">
        <v>477</v>
      </c>
      <c r="C1542" s="43" t="s">
        <v>1363</v>
      </c>
      <c r="D1542" s="43" t="s">
        <v>1375</v>
      </c>
      <c r="E1542" s="15" t="s">
        <v>68</v>
      </c>
      <c r="F1542" s="16" t="s">
        <v>50</v>
      </c>
      <c r="G1542" s="16" t="s">
        <v>51</v>
      </c>
      <c r="H1542" s="16" t="s">
        <v>481</v>
      </c>
      <c r="I1542" s="16" t="s">
        <v>53</v>
      </c>
      <c r="J1542" s="17">
        <v>0.94</v>
      </c>
      <c r="K1542" s="17"/>
      <c r="L1542" s="17" t="s">
        <v>1383</v>
      </c>
      <c r="M1542" s="17"/>
      <c r="N1542" s="14" t="s">
        <v>85</v>
      </c>
      <c r="O1542" s="17" t="s">
        <v>70</v>
      </c>
      <c r="P1542" s="17"/>
      <c r="Q1542" s="17"/>
      <c r="R1542" s="17"/>
      <c r="S1542" s="17">
        <v>106.5395</v>
      </c>
      <c r="T1542" s="17">
        <v>13.07902</v>
      </c>
      <c r="U1542" s="20">
        <f t="shared" si="104"/>
        <v>0.12276216802218895</v>
      </c>
      <c r="V1542" s="41">
        <f t="shared" si="107"/>
        <v>-87.723783197781103</v>
      </c>
      <c r="W1542" s="17"/>
      <c r="X1542" s="17" t="s">
        <v>56</v>
      </c>
      <c r="Y1542" s="15"/>
      <c r="Z1542" s="17" t="s">
        <v>56</v>
      </c>
      <c r="AA1542" s="17"/>
      <c r="AB1542" s="17" t="s">
        <v>57</v>
      </c>
      <c r="AC1542" s="17">
        <v>1995</v>
      </c>
      <c r="AD1542" s="17">
        <v>21</v>
      </c>
      <c r="AE1542" s="17"/>
      <c r="AF1542" s="17"/>
      <c r="AG1542" s="17">
        <v>1983</v>
      </c>
      <c r="AH1542" s="14">
        <f t="shared" si="105"/>
        <v>12</v>
      </c>
      <c r="AI1542" s="17">
        <f t="shared" si="106"/>
        <v>33</v>
      </c>
      <c r="AJ1542" s="17"/>
      <c r="AK1542" s="17" t="s">
        <v>58</v>
      </c>
      <c r="AL1542" s="16" t="s">
        <v>1381</v>
      </c>
      <c r="AM1542" s="17">
        <v>2019</v>
      </c>
      <c r="AN1542" s="15" t="s">
        <v>738</v>
      </c>
      <c r="AO1542" s="15" t="s">
        <v>56</v>
      </c>
      <c r="AP1542" s="15"/>
      <c r="AQ1542" s="15" t="s">
        <v>56</v>
      </c>
      <c r="AR1542" s="15" t="s">
        <v>58</v>
      </c>
      <c r="AS1542" s="15" t="s">
        <v>62</v>
      </c>
      <c r="AT1542" s="15"/>
      <c r="AU1542" s="45"/>
      <c r="AV1542" s="15"/>
      <c r="AW1542" s="12" t="str">
        <f>B1542&amp;C1542&amp;L1542&amp;M1542&amp;O1542&amp;U1542&amp;AL1542&amp;AM1542</f>
        <v>SpainMedes Islands Marine ReserveArbacia lixulabiomassden0.122762168022189Medrano2019</v>
      </c>
    </row>
    <row r="1543" spans="1:49" ht="14.5" x14ac:dyDescent="0.35">
      <c r="A1543" s="12">
        <v>1542</v>
      </c>
      <c r="B1543" s="15" t="s">
        <v>153</v>
      </c>
      <c r="C1543" s="15" t="s">
        <v>2764</v>
      </c>
      <c r="D1543" s="15" t="s">
        <v>2764</v>
      </c>
      <c r="E1543" s="15" t="s">
        <v>68</v>
      </c>
      <c r="F1543" s="16" t="s">
        <v>50</v>
      </c>
      <c r="G1543" s="16" t="s">
        <v>51</v>
      </c>
      <c r="H1543" s="16" t="s">
        <v>78</v>
      </c>
      <c r="I1543" s="16" t="s">
        <v>156</v>
      </c>
      <c r="J1543" s="17" t="s">
        <v>509</v>
      </c>
      <c r="K1543" s="17"/>
      <c r="L1543" s="17"/>
      <c r="M1543" s="17" t="s">
        <v>1354</v>
      </c>
      <c r="N1543" s="53" t="s">
        <v>98</v>
      </c>
      <c r="O1543" s="17" t="s">
        <v>70</v>
      </c>
      <c r="P1543" s="17"/>
      <c r="Q1543" s="17"/>
      <c r="R1543" s="17"/>
      <c r="S1543" s="17">
        <v>28.982420000000001</v>
      </c>
      <c r="T1543" s="17">
        <v>48.06729</v>
      </c>
      <c r="U1543" s="20">
        <f t="shared" si="104"/>
        <v>1.658498151638131</v>
      </c>
      <c r="V1543" s="41">
        <f t="shared" si="107"/>
        <v>65.849815163813091</v>
      </c>
      <c r="W1543" s="17"/>
      <c r="X1543" s="17" t="s">
        <v>58</v>
      </c>
      <c r="Y1543" s="17">
        <v>170</v>
      </c>
      <c r="Z1543" s="17" t="s">
        <v>56</v>
      </c>
      <c r="AA1543" s="17"/>
      <c r="AB1543" s="17" t="s">
        <v>57</v>
      </c>
      <c r="AC1543" s="17">
        <v>2012</v>
      </c>
      <c r="AD1543" s="17">
        <v>4</v>
      </c>
      <c r="AE1543" s="17"/>
      <c r="AF1543" s="17"/>
      <c r="AG1543" s="17" t="s">
        <v>509</v>
      </c>
      <c r="AH1543" s="14" t="str">
        <f t="shared" si="105"/>
        <v>NA</v>
      </c>
      <c r="AI1543" s="17" t="str">
        <f t="shared" si="106"/>
        <v>NA</v>
      </c>
      <c r="AJ1543" s="17"/>
      <c r="AK1543" s="17" t="s">
        <v>58</v>
      </c>
      <c r="AL1543" s="16" t="s">
        <v>2039</v>
      </c>
      <c r="AM1543" s="17">
        <v>2020</v>
      </c>
      <c r="AN1543" s="15" t="s">
        <v>263</v>
      </c>
      <c r="AO1543" s="15" t="s">
        <v>56</v>
      </c>
      <c r="AP1543" s="15"/>
      <c r="AQ1543" s="15" t="s">
        <v>56</v>
      </c>
      <c r="AR1543" s="15" t="s">
        <v>58</v>
      </c>
      <c r="AS1543" s="15" t="s">
        <v>62</v>
      </c>
      <c r="AT1543" s="15"/>
      <c r="AU1543" s="45" t="s">
        <v>2040</v>
      </c>
      <c r="AV1543" s="15"/>
      <c r="AW1543" s="12" t="str">
        <f>B1543&amp;C1543&amp;L1543&amp;M1543&amp;O1543&amp;U1543&amp;AL1543&amp;AM1543</f>
        <v>PhilippinesVarious (17) Community managed MPAs large fishbiomassden1.65849815163813McClure2020</v>
      </c>
    </row>
    <row r="1544" spans="1:49" ht="14.5" x14ac:dyDescent="0.35">
      <c r="A1544" s="12">
        <v>1543</v>
      </c>
      <c r="B1544" s="15" t="s">
        <v>684</v>
      </c>
      <c r="C1544" s="15" t="s">
        <v>2661</v>
      </c>
      <c r="D1544" s="15" t="s">
        <v>2662</v>
      </c>
      <c r="E1544" s="15" t="s">
        <v>68</v>
      </c>
      <c r="F1544" s="16" t="s">
        <v>50</v>
      </c>
      <c r="G1544" s="16" t="s">
        <v>51</v>
      </c>
      <c r="H1544" s="16" t="s">
        <v>329</v>
      </c>
      <c r="I1544" s="16" t="s">
        <v>156</v>
      </c>
      <c r="J1544" s="17"/>
      <c r="K1544" s="17">
        <v>26.4</v>
      </c>
      <c r="L1544" s="17"/>
      <c r="M1544" s="17" t="s">
        <v>69</v>
      </c>
      <c r="N1544" s="14" t="s">
        <v>1070</v>
      </c>
      <c r="O1544" s="17" t="s">
        <v>104</v>
      </c>
      <c r="P1544" s="17" t="s">
        <v>2015</v>
      </c>
      <c r="Q1544" s="17"/>
      <c r="R1544" s="17">
        <v>40.119999999999997</v>
      </c>
      <c r="S1544" s="17"/>
      <c r="T1544" s="17">
        <v>47.12</v>
      </c>
      <c r="U1544" s="20">
        <f t="shared" si="104"/>
        <v>1.1744765702891327</v>
      </c>
      <c r="V1544" s="41">
        <f t="shared" si="107"/>
        <v>17.447657028913266</v>
      </c>
      <c r="W1544" s="17"/>
      <c r="X1544" s="17" t="s">
        <v>58</v>
      </c>
      <c r="Y1544" s="17">
        <v>140</v>
      </c>
      <c r="Z1544" s="17" t="s">
        <v>56</v>
      </c>
      <c r="AA1544" s="17"/>
      <c r="AB1544" s="17" t="s">
        <v>192</v>
      </c>
      <c r="AC1544" s="17">
        <v>1988</v>
      </c>
      <c r="AD1544" s="17">
        <v>22</v>
      </c>
      <c r="AE1544" s="17"/>
      <c r="AF1544" s="17"/>
      <c r="AG1544" s="17">
        <v>2005</v>
      </c>
      <c r="AH1544" s="14">
        <f t="shared" si="105"/>
        <v>-17</v>
      </c>
      <c r="AI1544" s="17">
        <f t="shared" si="106"/>
        <v>5</v>
      </c>
      <c r="AJ1544" s="17"/>
      <c r="AK1544" s="17" t="s">
        <v>58</v>
      </c>
      <c r="AL1544" s="16" t="s">
        <v>615</v>
      </c>
      <c r="AM1544" s="17">
        <v>2012</v>
      </c>
      <c r="AN1544" s="15" t="s">
        <v>183</v>
      </c>
      <c r="AO1544" s="15" t="s">
        <v>56</v>
      </c>
      <c r="AP1544" s="15"/>
      <c r="AQ1544" s="15" t="s">
        <v>56</v>
      </c>
      <c r="AR1544" s="15" t="s">
        <v>58</v>
      </c>
      <c r="AS1544" s="15" t="s">
        <v>62</v>
      </c>
      <c r="AT1544" s="15"/>
      <c r="AU1544" s="45" t="s">
        <v>2016</v>
      </c>
      <c r="AV1544" s="15"/>
      <c r="AW1544" s="12" t="str">
        <f>B1544&amp;C1544&amp;L1544&amp;M1544&amp;O1544&amp;U1544&amp;AL1544&amp;AM1544</f>
        <v>KenyaVipingo Community Closure,  &amp; Mombasa, Malindi &amp; Watamu Marine National Parkfishsize1.17447657028913McClanahan2012</v>
      </c>
    </row>
    <row r="1545" spans="1:49" ht="14.5" x14ac:dyDescent="0.35">
      <c r="A1545" s="12">
        <v>1544</v>
      </c>
      <c r="B1545" s="15" t="s">
        <v>2041</v>
      </c>
      <c r="C1545" s="15" t="s">
        <v>2765</v>
      </c>
      <c r="D1545" s="15" t="s">
        <v>2765</v>
      </c>
      <c r="E1545" s="15" t="s">
        <v>68</v>
      </c>
      <c r="F1545" s="16" t="s">
        <v>50</v>
      </c>
      <c r="G1545" s="16" t="s">
        <v>51</v>
      </c>
      <c r="H1545" s="16" t="s">
        <v>329</v>
      </c>
      <c r="I1545" s="16" t="s">
        <v>156</v>
      </c>
      <c r="J1545" s="17" t="s">
        <v>509</v>
      </c>
      <c r="K1545" s="17"/>
      <c r="L1545" s="17"/>
      <c r="M1545" s="17" t="s">
        <v>69</v>
      </c>
      <c r="N1545" s="14" t="s">
        <v>1070</v>
      </c>
      <c r="O1545" s="17" t="s">
        <v>70</v>
      </c>
      <c r="P1545" s="17"/>
      <c r="Q1545" s="17"/>
      <c r="R1545" s="17"/>
      <c r="S1545" s="17">
        <v>41784</v>
      </c>
      <c r="T1545" s="17">
        <v>86456</v>
      </c>
      <c r="U1545" s="20">
        <f t="shared" si="104"/>
        <v>2.0691173654987556</v>
      </c>
      <c r="V1545" s="41">
        <f t="shared" si="107"/>
        <v>106.91173654987556</v>
      </c>
      <c r="W1545" s="17"/>
      <c r="X1545" s="17" t="s">
        <v>58</v>
      </c>
      <c r="Y1545" s="14">
        <v>614</v>
      </c>
      <c r="Z1545" s="17" t="s">
        <v>58</v>
      </c>
      <c r="AA1545" s="17"/>
      <c r="AB1545" s="17" t="s">
        <v>57</v>
      </c>
      <c r="AC1545" s="17">
        <v>2005</v>
      </c>
      <c r="AD1545" s="17">
        <v>12</v>
      </c>
      <c r="AE1545" s="17"/>
      <c r="AF1545" s="17"/>
      <c r="AG1545" s="17" t="s">
        <v>509</v>
      </c>
      <c r="AH1545" s="14" t="str">
        <f t="shared" si="105"/>
        <v>NA</v>
      </c>
      <c r="AI1545" s="17" t="str">
        <f t="shared" si="106"/>
        <v>NA</v>
      </c>
      <c r="AJ1545" s="17"/>
      <c r="AK1545" s="17" t="s">
        <v>56</v>
      </c>
      <c r="AL1545" s="16" t="s">
        <v>615</v>
      </c>
      <c r="AM1545" s="17">
        <v>2019</v>
      </c>
      <c r="AN1545" s="12" t="s">
        <v>183</v>
      </c>
      <c r="AO1545" s="15" t="s">
        <v>56</v>
      </c>
      <c r="AP1545" s="15"/>
      <c r="AQ1545" s="15" t="s">
        <v>56</v>
      </c>
      <c r="AR1545" s="15" t="s">
        <v>58</v>
      </c>
      <c r="AS1545" s="15" t="s">
        <v>62</v>
      </c>
      <c r="AT1545" s="15"/>
      <c r="AU1545" s="45" t="s">
        <v>2042</v>
      </c>
      <c r="AV1545" s="15"/>
      <c r="AW1545" s="12" t="str">
        <f>B1545&amp;C1545&amp;L1545&amp;M1545&amp;O1545&amp;U1545&amp;AL1545&amp;AM1545</f>
        <v>East African countriesVarious (12) World protection areasfishbiomassden2.06911736549876McClanahan2019</v>
      </c>
    </row>
    <row r="1546" spans="1:49" ht="14.5" x14ac:dyDescent="0.35">
      <c r="A1546" s="12">
        <v>1545</v>
      </c>
      <c r="B1546" s="15" t="s">
        <v>2041</v>
      </c>
      <c r="C1546" s="15" t="s">
        <v>2765</v>
      </c>
      <c r="D1546" s="15" t="s">
        <v>2765</v>
      </c>
      <c r="E1546" s="15" t="s">
        <v>68</v>
      </c>
      <c r="F1546" s="13" t="s">
        <v>50</v>
      </c>
      <c r="G1546" s="16" t="s">
        <v>51</v>
      </c>
      <c r="H1546" s="16" t="s">
        <v>329</v>
      </c>
      <c r="I1546" s="16" t="s">
        <v>156</v>
      </c>
      <c r="J1546" s="17" t="s">
        <v>509</v>
      </c>
      <c r="K1546" s="17"/>
      <c r="L1546" s="17"/>
      <c r="M1546" s="17" t="s">
        <v>1007</v>
      </c>
      <c r="N1546" s="53" t="s">
        <v>98</v>
      </c>
      <c r="O1546" s="17" t="s">
        <v>70</v>
      </c>
      <c r="P1546" s="17"/>
      <c r="Q1546" s="17"/>
      <c r="R1546" s="17"/>
      <c r="S1546" s="17">
        <v>14590</v>
      </c>
      <c r="T1546" s="17">
        <v>42489</v>
      </c>
      <c r="U1546" s="20">
        <f t="shared" si="104"/>
        <v>2.912200137080192</v>
      </c>
      <c r="V1546" s="41">
        <f t="shared" si="107"/>
        <v>191.2200137080192</v>
      </c>
      <c r="W1546" s="17"/>
      <c r="X1546" s="17" t="s">
        <v>58</v>
      </c>
      <c r="Y1546" s="17">
        <v>614</v>
      </c>
      <c r="Z1546" s="17" t="s">
        <v>58</v>
      </c>
      <c r="AA1546" s="17"/>
      <c r="AB1546" s="17" t="s">
        <v>57</v>
      </c>
      <c r="AC1546" s="17">
        <v>2005</v>
      </c>
      <c r="AD1546" s="17">
        <v>12</v>
      </c>
      <c r="AE1546" s="17"/>
      <c r="AF1546" s="17"/>
      <c r="AG1546" s="17" t="s">
        <v>509</v>
      </c>
      <c r="AH1546" s="14" t="str">
        <f t="shared" si="105"/>
        <v>NA</v>
      </c>
      <c r="AI1546" s="17" t="str">
        <f t="shared" si="106"/>
        <v>NA</v>
      </c>
      <c r="AJ1546" s="17"/>
      <c r="AK1546" s="17" t="s">
        <v>56</v>
      </c>
      <c r="AL1546" s="16" t="s">
        <v>615</v>
      </c>
      <c r="AM1546" s="17">
        <v>2019</v>
      </c>
      <c r="AN1546" s="15" t="s">
        <v>183</v>
      </c>
      <c r="AO1546" s="15" t="s">
        <v>56</v>
      </c>
      <c r="AP1546" s="15"/>
      <c r="AQ1546" s="15" t="s">
        <v>56</v>
      </c>
      <c r="AR1546" s="15" t="s">
        <v>58</v>
      </c>
      <c r="AS1546" s="15" t="s">
        <v>62</v>
      </c>
      <c r="AT1546" s="15"/>
      <c r="AU1546" s="45" t="s">
        <v>2042</v>
      </c>
      <c r="AV1546" s="15"/>
      <c r="AW1546" s="12" t="str">
        <f>B1546&amp;C1546&amp;L1546&amp;M1546&amp;O1546&amp;U1546&amp;AL1546&amp;AM1546</f>
        <v>East African countriesVarious (12) World protection areastarget fishbiomassden2.91220013708019McClanahan2019</v>
      </c>
    </row>
    <row r="1547" spans="1:49" ht="14.5" x14ac:dyDescent="0.35">
      <c r="A1547" s="12">
        <v>1546</v>
      </c>
      <c r="B1547" s="15" t="s">
        <v>2041</v>
      </c>
      <c r="C1547" s="15" t="s">
        <v>2765</v>
      </c>
      <c r="D1547" s="15" t="s">
        <v>2765</v>
      </c>
      <c r="E1547" s="15" t="s">
        <v>68</v>
      </c>
      <c r="F1547" s="16" t="s">
        <v>50</v>
      </c>
      <c r="G1547" s="16" t="s">
        <v>51</v>
      </c>
      <c r="H1547" s="16" t="s">
        <v>329</v>
      </c>
      <c r="I1547" s="16" t="s">
        <v>156</v>
      </c>
      <c r="J1547" s="17" t="s">
        <v>509</v>
      </c>
      <c r="K1547" s="17"/>
      <c r="L1547" s="17"/>
      <c r="M1547" s="17" t="s">
        <v>1008</v>
      </c>
      <c r="N1547" s="53" t="s">
        <v>98</v>
      </c>
      <c r="O1547" s="17" t="s">
        <v>70</v>
      </c>
      <c r="P1547" s="17"/>
      <c r="Q1547" s="17"/>
      <c r="R1547" s="17"/>
      <c r="S1547" s="17">
        <v>21053</v>
      </c>
      <c r="T1547" s="17">
        <v>36594</v>
      </c>
      <c r="U1547" s="20">
        <f t="shared" si="104"/>
        <v>1.7381845817698189</v>
      </c>
      <c r="V1547" s="41">
        <f t="shared" si="107"/>
        <v>73.818458176981892</v>
      </c>
      <c r="W1547" s="17"/>
      <c r="X1547" s="17" t="s">
        <v>58</v>
      </c>
      <c r="Y1547" s="17">
        <v>614</v>
      </c>
      <c r="Z1547" s="17" t="s">
        <v>58</v>
      </c>
      <c r="AA1547" s="17"/>
      <c r="AB1547" s="17" t="s">
        <v>57</v>
      </c>
      <c r="AC1547" s="17">
        <v>2005</v>
      </c>
      <c r="AD1547" s="17">
        <v>12</v>
      </c>
      <c r="AE1547" s="17"/>
      <c r="AF1547" s="17"/>
      <c r="AG1547" s="17" t="s">
        <v>509</v>
      </c>
      <c r="AH1547" s="14" t="str">
        <f t="shared" si="105"/>
        <v>NA</v>
      </c>
      <c r="AI1547" s="17" t="str">
        <f t="shared" si="106"/>
        <v>NA</v>
      </c>
      <c r="AJ1547" s="17"/>
      <c r="AK1547" s="17" t="s">
        <v>56</v>
      </c>
      <c r="AL1547" s="16" t="s">
        <v>615</v>
      </c>
      <c r="AM1547" s="17">
        <v>2019</v>
      </c>
      <c r="AN1547" s="15" t="s">
        <v>183</v>
      </c>
      <c r="AO1547" s="15" t="s">
        <v>56</v>
      </c>
      <c r="AP1547" s="15"/>
      <c r="AQ1547" s="15" t="s">
        <v>56</v>
      </c>
      <c r="AR1547" s="15" t="s">
        <v>58</v>
      </c>
      <c r="AS1547" s="15" t="s">
        <v>62</v>
      </c>
      <c r="AT1547" s="15"/>
      <c r="AU1547" s="45" t="s">
        <v>2042</v>
      </c>
      <c r="AV1547" s="15"/>
      <c r="AW1547" s="12" t="str">
        <f>B1547&amp;C1547&amp;L1547&amp;M1547&amp;O1547&amp;U1547&amp;AL1547&amp;AM1547</f>
        <v>East African countriesVarious (12) World protection areasnon-target fishbiomassden1.73818458176982McClanahan2019</v>
      </c>
    </row>
    <row r="1548" spans="1:49" ht="14.5" x14ac:dyDescent="0.35">
      <c r="A1548" s="12">
        <v>1547</v>
      </c>
      <c r="B1548" s="12" t="s">
        <v>684</v>
      </c>
      <c r="C1548" s="12" t="s">
        <v>1265</v>
      </c>
      <c r="D1548" s="15" t="s">
        <v>2656</v>
      </c>
      <c r="E1548" s="12" t="s">
        <v>68</v>
      </c>
      <c r="F1548" s="13" t="s">
        <v>50</v>
      </c>
      <c r="G1548" s="13" t="s">
        <v>51</v>
      </c>
      <c r="H1548" s="13" t="s">
        <v>329</v>
      </c>
      <c r="I1548" s="13" t="s">
        <v>156</v>
      </c>
      <c r="J1548" s="17">
        <v>54</v>
      </c>
      <c r="K1548" s="17"/>
      <c r="L1548" s="14" t="s">
        <v>902</v>
      </c>
      <c r="M1548" s="14"/>
      <c r="N1548" s="14" t="s">
        <v>120</v>
      </c>
      <c r="O1548" s="17" t="s">
        <v>101</v>
      </c>
      <c r="P1548" s="14"/>
      <c r="Q1548" s="14"/>
      <c r="R1548" s="14"/>
      <c r="S1548" s="14">
        <v>0.89</v>
      </c>
      <c r="T1548" s="14">
        <v>7.75</v>
      </c>
      <c r="U1548" s="19">
        <f t="shared" si="104"/>
        <v>8.7078651685393265</v>
      </c>
      <c r="V1548" s="41">
        <f t="shared" si="107"/>
        <v>770.78651685393265</v>
      </c>
      <c r="W1548" s="14"/>
      <c r="X1548" s="17" t="s">
        <v>58</v>
      </c>
      <c r="Y1548" s="17">
        <v>250</v>
      </c>
      <c r="Z1548" s="14" t="s">
        <v>58</v>
      </c>
      <c r="AA1548" s="17"/>
      <c r="AB1548" s="14" t="s">
        <v>57</v>
      </c>
      <c r="AC1548" s="14">
        <v>1991</v>
      </c>
      <c r="AD1548" s="14">
        <v>18</v>
      </c>
      <c r="AE1548" s="14"/>
      <c r="AF1548" s="14"/>
      <c r="AG1548" s="14">
        <v>1970</v>
      </c>
      <c r="AH1548" s="14">
        <f t="shared" si="105"/>
        <v>21</v>
      </c>
      <c r="AI1548" s="17">
        <f t="shared" si="106"/>
        <v>39</v>
      </c>
      <c r="AJ1548" s="14"/>
      <c r="AK1548" s="14" t="s">
        <v>56</v>
      </c>
      <c r="AL1548" s="13" t="s">
        <v>615</v>
      </c>
      <c r="AM1548" s="14">
        <v>2015</v>
      </c>
      <c r="AN1548" s="15" t="s">
        <v>207</v>
      </c>
      <c r="AO1548" s="12" t="s">
        <v>56</v>
      </c>
      <c r="AP1548" s="12"/>
      <c r="AQ1548" s="12" t="s">
        <v>56</v>
      </c>
      <c r="AR1548" s="12" t="s">
        <v>58</v>
      </c>
      <c r="AS1548" s="12" t="s">
        <v>62</v>
      </c>
      <c r="AT1548" s="12"/>
      <c r="AU1548" s="45"/>
      <c r="AV1548" s="15"/>
      <c r="AW1548" s="12" t="str">
        <f>B1548&amp;C1548&amp;L1548&amp;M1548&amp;O1548&amp;U1548&amp;AL1548&amp;AM1548</f>
        <v>KenyaMalindi, Watamu, Kisite, Mombasa Marine ParkAcroporacover8.70786516853933McClanahan2015</v>
      </c>
    </row>
    <row r="1549" spans="1:49" ht="14.5" x14ac:dyDescent="0.35">
      <c r="A1549" s="12">
        <v>1548</v>
      </c>
      <c r="B1549" s="12" t="s">
        <v>684</v>
      </c>
      <c r="C1549" s="12" t="s">
        <v>1265</v>
      </c>
      <c r="D1549" s="15" t="s">
        <v>2656</v>
      </c>
      <c r="E1549" s="12" t="s">
        <v>68</v>
      </c>
      <c r="F1549" s="13" t="s">
        <v>50</v>
      </c>
      <c r="G1549" s="13" t="s">
        <v>51</v>
      </c>
      <c r="H1549" s="13" t="s">
        <v>329</v>
      </c>
      <c r="I1549" s="13" t="s">
        <v>156</v>
      </c>
      <c r="J1549" s="17">
        <v>54</v>
      </c>
      <c r="K1549" s="14"/>
      <c r="L1549" s="14"/>
      <c r="M1549" s="14" t="s">
        <v>1266</v>
      </c>
      <c r="N1549" s="14" t="s">
        <v>98</v>
      </c>
      <c r="O1549" s="17" t="s">
        <v>101</v>
      </c>
      <c r="P1549" s="14"/>
      <c r="Q1549" s="14"/>
      <c r="R1549" s="14"/>
      <c r="S1549" s="14">
        <v>36.409999999999997</v>
      </c>
      <c r="T1549" s="14">
        <v>9.2100000000000009</v>
      </c>
      <c r="U1549" s="19">
        <f t="shared" si="104"/>
        <v>0.2529524855808844</v>
      </c>
      <c r="V1549" s="41">
        <f t="shared" si="107"/>
        <v>-74.704751441911554</v>
      </c>
      <c r="W1549" s="14"/>
      <c r="X1549" s="17" t="s">
        <v>58</v>
      </c>
      <c r="Y1549" s="17">
        <v>250</v>
      </c>
      <c r="Z1549" s="14" t="s">
        <v>58</v>
      </c>
      <c r="AA1549" s="17"/>
      <c r="AB1549" s="14" t="s">
        <v>57</v>
      </c>
      <c r="AC1549" s="14">
        <v>1991</v>
      </c>
      <c r="AD1549" s="14">
        <v>18</v>
      </c>
      <c r="AE1549" s="14"/>
      <c r="AF1549" s="14"/>
      <c r="AG1549" s="14">
        <v>1970</v>
      </c>
      <c r="AH1549" s="14">
        <f t="shared" si="105"/>
        <v>21</v>
      </c>
      <c r="AI1549" s="17">
        <f t="shared" si="106"/>
        <v>39</v>
      </c>
      <c r="AJ1549" s="14"/>
      <c r="AK1549" s="14" t="s">
        <v>56</v>
      </c>
      <c r="AL1549" s="13" t="s">
        <v>615</v>
      </c>
      <c r="AM1549" s="14">
        <v>2015</v>
      </c>
      <c r="AN1549" s="15" t="s">
        <v>207</v>
      </c>
      <c r="AO1549" s="12" t="s">
        <v>56</v>
      </c>
      <c r="AP1549" s="12"/>
      <c r="AQ1549" s="12" t="s">
        <v>56</v>
      </c>
      <c r="AR1549" s="12" t="s">
        <v>58</v>
      </c>
      <c r="AS1549" s="12" t="s">
        <v>62</v>
      </c>
      <c r="AT1549" s="12"/>
      <c r="AU1549" s="45"/>
      <c r="AV1549" s="15"/>
      <c r="AW1549" s="12" t="str">
        <f>B1549&amp;C1549&amp;L1549&amp;M1549&amp;O1549&amp;U1549&amp;AL1549&amp;AM1549</f>
        <v>KenyaMalindi, Watamu, Kisite, Mombasa Marine Parkbranching Poritescover0.252952485580884McClanahan2015</v>
      </c>
    </row>
    <row r="1550" spans="1:49" ht="14.5" x14ac:dyDescent="0.35">
      <c r="A1550" s="12">
        <v>1549</v>
      </c>
      <c r="B1550" s="15" t="s">
        <v>684</v>
      </c>
      <c r="C1550" s="15" t="s">
        <v>1265</v>
      </c>
      <c r="D1550" s="15" t="s">
        <v>2656</v>
      </c>
      <c r="E1550" s="15" t="s">
        <v>68</v>
      </c>
      <c r="F1550" s="13" t="s">
        <v>50</v>
      </c>
      <c r="G1550" s="13" t="s">
        <v>51</v>
      </c>
      <c r="H1550" s="16" t="s">
        <v>329</v>
      </c>
      <c r="I1550" s="16" t="s">
        <v>156</v>
      </c>
      <c r="J1550" s="17">
        <v>54</v>
      </c>
      <c r="K1550" s="17"/>
      <c r="L1550" s="17" t="s">
        <v>622</v>
      </c>
      <c r="M1550" s="17"/>
      <c r="N1550" s="17" t="s">
        <v>120</v>
      </c>
      <c r="O1550" s="17" t="s">
        <v>101</v>
      </c>
      <c r="P1550" s="17"/>
      <c r="Q1550" s="17"/>
      <c r="R1550" s="17"/>
      <c r="S1550" s="17">
        <v>12.84</v>
      </c>
      <c r="T1550" s="17">
        <v>1.1399999999999999</v>
      </c>
      <c r="U1550" s="20">
        <f t="shared" si="104"/>
        <v>8.8785046728971959E-2</v>
      </c>
      <c r="V1550" s="41">
        <f t="shared" si="107"/>
        <v>-91.121495327102807</v>
      </c>
      <c r="W1550" s="17"/>
      <c r="X1550" s="17" t="s">
        <v>58</v>
      </c>
      <c r="Y1550" s="17">
        <v>250</v>
      </c>
      <c r="Z1550" s="17" t="s">
        <v>58</v>
      </c>
      <c r="AA1550" s="17"/>
      <c r="AB1550" s="17" t="s">
        <v>57</v>
      </c>
      <c r="AC1550" s="17">
        <v>1991</v>
      </c>
      <c r="AD1550" s="17">
        <v>18</v>
      </c>
      <c r="AE1550" s="17"/>
      <c r="AF1550" s="17"/>
      <c r="AG1550" s="17">
        <v>1970</v>
      </c>
      <c r="AH1550" s="14">
        <f t="shared" si="105"/>
        <v>21</v>
      </c>
      <c r="AI1550" s="17">
        <f t="shared" si="106"/>
        <v>39</v>
      </c>
      <c r="AJ1550" s="17"/>
      <c r="AK1550" s="17" t="s">
        <v>56</v>
      </c>
      <c r="AL1550" s="16" t="s">
        <v>615</v>
      </c>
      <c r="AM1550" s="17">
        <v>2015</v>
      </c>
      <c r="AN1550" s="15" t="s">
        <v>207</v>
      </c>
      <c r="AO1550" s="15" t="s">
        <v>56</v>
      </c>
      <c r="AP1550" s="15"/>
      <c r="AQ1550" s="15" t="s">
        <v>56</v>
      </c>
      <c r="AR1550" s="15" t="s">
        <v>58</v>
      </c>
      <c r="AS1550" s="15" t="s">
        <v>62</v>
      </c>
      <c r="AT1550" s="15"/>
      <c r="AU1550" s="45"/>
      <c r="AV1550" s="15"/>
      <c r="AW1550" s="12" t="str">
        <f>B1550&amp;C1550&amp;L1550&amp;M1550&amp;O1550&amp;U1550&amp;AL1550&amp;AM1550</f>
        <v>KenyaMalindi, Watamu, Kisite, Mombasa Marine ParkPavonacover0.088785046728972McClanahan2015</v>
      </c>
    </row>
    <row r="1551" spans="1:49" ht="14.5" x14ac:dyDescent="0.35">
      <c r="A1551" s="12">
        <v>1550</v>
      </c>
      <c r="B1551" s="15" t="s">
        <v>684</v>
      </c>
      <c r="C1551" s="15" t="s">
        <v>1265</v>
      </c>
      <c r="D1551" s="15" t="s">
        <v>2656</v>
      </c>
      <c r="E1551" s="15" t="s">
        <v>68</v>
      </c>
      <c r="F1551" s="13" t="s">
        <v>50</v>
      </c>
      <c r="G1551" s="13" t="s">
        <v>51</v>
      </c>
      <c r="H1551" s="16" t="s">
        <v>329</v>
      </c>
      <c r="I1551" s="16" t="s">
        <v>156</v>
      </c>
      <c r="J1551" s="17">
        <v>54</v>
      </c>
      <c r="K1551" s="17"/>
      <c r="L1551" s="17" t="s">
        <v>621</v>
      </c>
      <c r="M1551" s="17"/>
      <c r="N1551" s="17" t="s">
        <v>120</v>
      </c>
      <c r="O1551" s="17" t="s">
        <v>101</v>
      </c>
      <c r="P1551" s="17"/>
      <c r="Q1551" s="17"/>
      <c r="R1551" s="17"/>
      <c r="S1551" s="17">
        <v>2.2999999999999998</v>
      </c>
      <c r="T1551" s="17">
        <v>4.97</v>
      </c>
      <c r="U1551" s="20">
        <f t="shared" si="104"/>
        <v>2.1608695652173915</v>
      </c>
      <c r="V1551" s="41">
        <f t="shared" si="107"/>
        <v>116.08695652173915</v>
      </c>
      <c r="W1551" s="17"/>
      <c r="X1551" s="17" t="s">
        <v>58</v>
      </c>
      <c r="Y1551" s="17">
        <v>250</v>
      </c>
      <c r="Z1551" s="17" t="s">
        <v>58</v>
      </c>
      <c r="AA1551" s="17"/>
      <c r="AB1551" s="17" t="s">
        <v>57</v>
      </c>
      <c r="AC1551" s="17">
        <v>1991</v>
      </c>
      <c r="AD1551" s="17">
        <v>18</v>
      </c>
      <c r="AE1551" s="17"/>
      <c r="AF1551" s="17"/>
      <c r="AG1551" s="17">
        <v>1970</v>
      </c>
      <c r="AH1551" s="14">
        <f t="shared" si="105"/>
        <v>21</v>
      </c>
      <c r="AI1551" s="17">
        <f t="shared" si="106"/>
        <v>39</v>
      </c>
      <c r="AJ1551" s="17"/>
      <c r="AK1551" s="17" t="s">
        <v>56</v>
      </c>
      <c r="AL1551" s="16" t="s">
        <v>615</v>
      </c>
      <c r="AM1551" s="17">
        <v>2015</v>
      </c>
      <c r="AN1551" s="15" t="s">
        <v>207</v>
      </c>
      <c r="AO1551" s="15" t="s">
        <v>56</v>
      </c>
      <c r="AP1551" s="15"/>
      <c r="AQ1551" s="15" t="s">
        <v>56</v>
      </c>
      <c r="AR1551" s="15" t="s">
        <v>58</v>
      </c>
      <c r="AS1551" s="15" t="s">
        <v>62</v>
      </c>
      <c r="AT1551" s="15"/>
      <c r="AU1551" s="45"/>
      <c r="AV1551" s="15"/>
      <c r="AW1551" s="12" t="str">
        <f>B1551&amp;C1551&amp;L1551&amp;M1551&amp;O1551&amp;U1551&amp;AL1551&amp;AM1551</f>
        <v>KenyaMalindi, Watamu, Kisite, Mombasa Marine ParkPocilloporacover2.16086956521739McClanahan2015</v>
      </c>
    </row>
    <row r="1552" spans="1:49" ht="14.5" x14ac:dyDescent="0.35">
      <c r="A1552" s="12">
        <v>1551</v>
      </c>
      <c r="B1552" s="15" t="s">
        <v>684</v>
      </c>
      <c r="C1552" s="15" t="s">
        <v>1265</v>
      </c>
      <c r="D1552" s="15" t="s">
        <v>2656</v>
      </c>
      <c r="E1552" s="15" t="s">
        <v>68</v>
      </c>
      <c r="F1552" s="13" t="s">
        <v>50</v>
      </c>
      <c r="G1552" s="13" t="s">
        <v>51</v>
      </c>
      <c r="H1552" s="16" t="s">
        <v>329</v>
      </c>
      <c r="I1552" s="16" t="s">
        <v>156</v>
      </c>
      <c r="J1552" s="17">
        <v>54</v>
      </c>
      <c r="K1552" s="17"/>
      <c r="L1552" s="17" t="s">
        <v>902</v>
      </c>
      <c r="M1552" s="17"/>
      <c r="N1552" s="17" t="s">
        <v>120</v>
      </c>
      <c r="O1552" s="17" t="s">
        <v>104</v>
      </c>
      <c r="P1552" s="17" t="s">
        <v>1267</v>
      </c>
      <c r="Q1552" s="17"/>
      <c r="R1552" s="17"/>
      <c r="S1552" s="17">
        <v>21.78</v>
      </c>
      <c r="T1552" s="17">
        <v>23.37</v>
      </c>
      <c r="U1552" s="20">
        <f t="shared" si="104"/>
        <v>1.0730027548209367</v>
      </c>
      <c r="V1552" s="41">
        <f t="shared" si="107"/>
        <v>7.3002754820936655</v>
      </c>
      <c r="W1552" s="17"/>
      <c r="X1552" s="17" t="s">
        <v>58</v>
      </c>
      <c r="Y1552" s="17">
        <v>250</v>
      </c>
      <c r="Z1552" s="17" t="s">
        <v>58</v>
      </c>
      <c r="AA1552" s="17"/>
      <c r="AB1552" s="17" t="s">
        <v>57</v>
      </c>
      <c r="AC1552" s="17">
        <v>1991</v>
      </c>
      <c r="AD1552" s="17">
        <v>18</v>
      </c>
      <c r="AE1552" s="17"/>
      <c r="AF1552" s="17"/>
      <c r="AG1552" s="17">
        <v>1970</v>
      </c>
      <c r="AH1552" s="14">
        <f t="shared" si="105"/>
        <v>21</v>
      </c>
      <c r="AI1552" s="17">
        <f t="shared" si="106"/>
        <v>39</v>
      </c>
      <c r="AJ1552" s="17"/>
      <c r="AK1552" s="17" t="s">
        <v>56</v>
      </c>
      <c r="AL1552" s="16" t="s">
        <v>615</v>
      </c>
      <c r="AM1552" s="17">
        <v>2015</v>
      </c>
      <c r="AN1552" s="15" t="s">
        <v>207</v>
      </c>
      <c r="AO1552" s="15" t="s">
        <v>56</v>
      </c>
      <c r="AP1552" s="15"/>
      <c r="AQ1552" s="15" t="s">
        <v>56</v>
      </c>
      <c r="AR1552" s="15" t="s">
        <v>58</v>
      </c>
      <c r="AS1552" s="15" t="s">
        <v>62</v>
      </c>
      <c r="AT1552" s="15"/>
      <c r="AU1552" s="45"/>
      <c r="AV1552" s="15"/>
      <c r="AW1552" s="12" t="str">
        <f>B1552&amp;C1552&amp;L1552&amp;M1552&amp;O1552&amp;U1552&amp;AL1552&amp;AM1552</f>
        <v>KenyaMalindi, Watamu, Kisite, Mombasa Marine ParkAcroporasize1.07300275482094McClanahan2015</v>
      </c>
    </row>
    <row r="1553" spans="1:49" ht="14.5" x14ac:dyDescent="0.35">
      <c r="A1553" s="12">
        <v>1552</v>
      </c>
      <c r="B1553" s="15" t="s">
        <v>684</v>
      </c>
      <c r="C1553" s="15" t="s">
        <v>1265</v>
      </c>
      <c r="D1553" s="15" t="s">
        <v>2656</v>
      </c>
      <c r="E1553" s="15" t="s">
        <v>68</v>
      </c>
      <c r="F1553" s="13" t="s">
        <v>50</v>
      </c>
      <c r="G1553" s="13" t="s">
        <v>51</v>
      </c>
      <c r="H1553" s="16" t="s">
        <v>329</v>
      </c>
      <c r="I1553" s="16" t="s">
        <v>156</v>
      </c>
      <c r="J1553" s="17">
        <v>54</v>
      </c>
      <c r="K1553" s="17"/>
      <c r="L1553" s="17"/>
      <c r="M1553" s="17" t="s">
        <v>1266</v>
      </c>
      <c r="N1553" s="17" t="s">
        <v>98</v>
      </c>
      <c r="O1553" s="17" t="s">
        <v>104</v>
      </c>
      <c r="P1553" s="17" t="s">
        <v>1267</v>
      </c>
      <c r="Q1553" s="17"/>
      <c r="R1553" s="17"/>
      <c r="S1553" s="17">
        <v>14.63</v>
      </c>
      <c r="T1553" s="17">
        <v>15.94</v>
      </c>
      <c r="U1553" s="20">
        <f t="shared" si="104"/>
        <v>1.0895420369104578</v>
      </c>
      <c r="V1553" s="41">
        <f t="shared" si="107"/>
        <v>8.9542036910457803</v>
      </c>
      <c r="W1553" s="17"/>
      <c r="X1553" s="17" t="s">
        <v>58</v>
      </c>
      <c r="Y1553" s="17">
        <v>250</v>
      </c>
      <c r="Z1553" s="17" t="s">
        <v>58</v>
      </c>
      <c r="AA1553" s="17"/>
      <c r="AB1553" s="17" t="s">
        <v>57</v>
      </c>
      <c r="AC1553" s="17">
        <v>1991</v>
      </c>
      <c r="AD1553" s="17">
        <v>18</v>
      </c>
      <c r="AE1553" s="17"/>
      <c r="AF1553" s="17"/>
      <c r="AG1553" s="17">
        <v>1970</v>
      </c>
      <c r="AH1553" s="14">
        <f t="shared" si="105"/>
        <v>21</v>
      </c>
      <c r="AI1553" s="17">
        <f t="shared" si="106"/>
        <v>39</v>
      </c>
      <c r="AJ1553" s="17"/>
      <c r="AK1553" s="17" t="s">
        <v>56</v>
      </c>
      <c r="AL1553" s="16" t="s">
        <v>615</v>
      </c>
      <c r="AM1553" s="17">
        <v>2015</v>
      </c>
      <c r="AN1553" s="15" t="s">
        <v>207</v>
      </c>
      <c r="AO1553" s="15" t="s">
        <v>56</v>
      </c>
      <c r="AP1553" s="15"/>
      <c r="AQ1553" s="15" t="s">
        <v>56</v>
      </c>
      <c r="AR1553" s="15" t="s">
        <v>58</v>
      </c>
      <c r="AS1553" s="15" t="s">
        <v>62</v>
      </c>
      <c r="AT1553" s="15"/>
      <c r="AU1553" s="45"/>
      <c r="AV1553" s="15"/>
      <c r="AW1553" s="12" t="str">
        <f>B1553&amp;C1553&amp;L1553&amp;M1553&amp;O1553&amp;U1553&amp;AL1553&amp;AM1553</f>
        <v>KenyaMalindi, Watamu, Kisite, Mombasa Marine Parkbranching Poritessize1.08954203691046McClanahan2015</v>
      </c>
    </row>
    <row r="1554" spans="1:49" ht="14.5" x14ac:dyDescent="0.35">
      <c r="A1554" s="12">
        <v>1553</v>
      </c>
      <c r="B1554" s="15" t="s">
        <v>684</v>
      </c>
      <c r="C1554" s="15" t="s">
        <v>1265</v>
      </c>
      <c r="D1554" s="15" t="s">
        <v>2656</v>
      </c>
      <c r="E1554" s="15" t="s">
        <v>68</v>
      </c>
      <c r="F1554" s="16" t="s">
        <v>50</v>
      </c>
      <c r="G1554" s="16" t="s">
        <v>51</v>
      </c>
      <c r="H1554" s="16" t="s">
        <v>329</v>
      </c>
      <c r="I1554" s="16" t="s">
        <v>156</v>
      </c>
      <c r="J1554" s="17">
        <v>54</v>
      </c>
      <c r="K1554" s="17"/>
      <c r="L1554" s="17" t="s">
        <v>622</v>
      </c>
      <c r="M1554" s="17"/>
      <c r="N1554" s="17" t="s">
        <v>120</v>
      </c>
      <c r="O1554" s="17" t="s">
        <v>104</v>
      </c>
      <c r="P1554" s="17" t="s">
        <v>1267</v>
      </c>
      <c r="Q1554" s="17"/>
      <c r="R1554" s="17"/>
      <c r="S1554" s="17">
        <v>15.74</v>
      </c>
      <c r="T1554" s="17">
        <v>12.27</v>
      </c>
      <c r="U1554" s="20">
        <f t="shared" si="104"/>
        <v>0.77954256670902156</v>
      </c>
      <c r="V1554" s="41">
        <f t="shared" si="107"/>
        <v>-22.045743329097846</v>
      </c>
      <c r="W1554" s="17"/>
      <c r="X1554" s="17" t="s">
        <v>58</v>
      </c>
      <c r="Y1554" s="17">
        <v>250</v>
      </c>
      <c r="Z1554" s="17" t="s">
        <v>58</v>
      </c>
      <c r="AA1554" s="17"/>
      <c r="AB1554" s="17" t="s">
        <v>57</v>
      </c>
      <c r="AC1554" s="17">
        <v>1991</v>
      </c>
      <c r="AD1554" s="17">
        <v>18</v>
      </c>
      <c r="AE1554" s="17"/>
      <c r="AF1554" s="17"/>
      <c r="AG1554" s="17">
        <v>1970</v>
      </c>
      <c r="AH1554" s="14">
        <f t="shared" si="105"/>
        <v>21</v>
      </c>
      <c r="AI1554" s="17">
        <f t="shared" si="106"/>
        <v>39</v>
      </c>
      <c r="AJ1554" s="17"/>
      <c r="AK1554" s="17" t="s">
        <v>56</v>
      </c>
      <c r="AL1554" s="16" t="s">
        <v>615</v>
      </c>
      <c r="AM1554" s="17">
        <v>2015</v>
      </c>
      <c r="AN1554" s="15" t="s">
        <v>207</v>
      </c>
      <c r="AO1554" s="15" t="s">
        <v>56</v>
      </c>
      <c r="AP1554" s="15"/>
      <c r="AQ1554" s="15" t="s">
        <v>56</v>
      </c>
      <c r="AR1554" s="15" t="s">
        <v>58</v>
      </c>
      <c r="AS1554" s="15" t="s">
        <v>62</v>
      </c>
      <c r="AT1554" s="15"/>
      <c r="AU1554" s="45"/>
      <c r="AV1554" s="15"/>
      <c r="AW1554" s="12" t="str">
        <f>B1554&amp;C1554&amp;L1554&amp;M1554&amp;O1554&amp;U1554&amp;AL1554&amp;AM1554</f>
        <v>KenyaMalindi, Watamu, Kisite, Mombasa Marine ParkPavonasize0.779542566709022McClanahan2015</v>
      </c>
    </row>
    <row r="1555" spans="1:49" ht="14.5" x14ac:dyDescent="0.35">
      <c r="A1555" s="12">
        <v>1554</v>
      </c>
      <c r="B1555" s="12" t="s">
        <v>684</v>
      </c>
      <c r="C1555" s="15" t="s">
        <v>1265</v>
      </c>
      <c r="D1555" s="15" t="s">
        <v>2656</v>
      </c>
      <c r="E1555" s="15" t="s">
        <v>68</v>
      </c>
      <c r="F1555" s="13" t="s">
        <v>50</v>
      </c>
      <c r="G1555" s="13" t="s">
        <v>51</v>
      </c>
      <c r="H1555" s="16" t="s">
        <v>329</v>
      </c>
      <c r="I1555" s="16" t="s">
        <v>156</v>
      </c>
      <c r="J1555" s="17">
        <v>54</v>
      </c>
      <c r="K1555" s="17"/>
      <c r="L1555" s="17" t="s">
        <v>621</v>
      </c>
      <c r="M1555" s="17"/>
      <c r="N1555" s="17" t="s">
        <v>120</v>
      </c>
      <c r="O1555" s="17" t="s">
        <v>104</v>
      </c>
      <c r="P1555" s="17" t="s">
        <v>1267</v>
      </c>
      <c r="Q1555" s="17"/>
      <c r="R1555" s="17"/>
      <c r="S1555" s="17">
        <v>11.16</v>
      </c>
      <c r="T1555" s="17">
        <v>16.62</v>
      </c>
      <c r="U1555" s="20">
        <f t="shared" si="104"/>
        <v>1.489247311827957</v>
      </c>
      <c r="V1555" s="41">
        <f t="shared" si="107"/>
        <v>48.924731182795696</v>
      </c>
      <c r="W1555" s="17"/>
      <c r="X1555" s="17" t="s">
        <v>58</v>
      </c>
      <c r="Y1555" s="17">
        <v>250</v>
      </c>
      <c r="Z1555" s="17" t="s">
        <v>58</v>
      </c>
      <c r="AA1555" s="17"/>
      <c r="AB1555" s="17" t="s">
        <v>57</v>
      </c>
      <c r="AC1555" s="17">
        <v>1991</v>
      </c>
      <c r="AD1555" s="17">
        <v>18</v>
      </c>
      <c r="AE1555" s="17"/>
      <c r="AF1555" s="17"/>
      <c r="AG1555" s="17">
        <v>1970</v>
      </c>
      <c r="AH1555" s="14">
        <f t="shared" si="105"/>
        <v>21</v>
      </c>
      <c r="AI1555" s="17">
        <f t="shared" si="106"/>
        <v>39</v>
      </c>
      <c r="AJ1555" s="17"/>
      <c r="AK1555" s="17" t="s">
        <v>56</v>
      </c>
      <c r="AL1555" s="16" t="s">
        <v>615</v>
      </c>
      <c r="AM1555" s="17">
        <v>2015</v>
      </c>
      <c r="AN1555" s="15" t="s">
        <v>207</v>
      </c>
      <c r="AO1555" s="15" t="s">
        <v>56</v>
      </c>
      <c r="AP1555" s="15"/>
      <c r="AQ1555" s="15" t="s">
        <v>56</v>
      </c>
      <c r="AR1555" s="15" t="s">
        <v>58</v>
      </c>
      <c r="AS1555" s="15" t="s">
        <v>62</v>
      </c>
      <c r="AT1555" s="15"/>
      <c r="AU1555" s="45"/>
      <c r="AV1555" s="15"/>
      <c r="AW1555" s="12" t="str">
        <f>B1555&amp;C1555&amp;L1555&amp;M1555&amp;O1555&amp;U1555&amp;AL1555&amp;AM1555</f>
        <v>KenyaMalindi, Watamu, Kisite, Mombasa Marine ParkPocilloporasize1.48924731182796McClanahan2015</v>
      </c>
    </row>
    <row r="1556" spans="1:49" ht="14.5" x14ac:dyDescent="0.35">
      <c r="A1556" s="12">
        <v>1555</v>
      </c>
      <c r="B1556" s="15" t="s">
        <v>299</v>
      </c>
      <c r="C1556" s="15" t="s">
        <v>838</v>
      </c>
      <c r="D1556" s="15" t="s">
        <v>838</v>
      </c>
      <c r="E1556" s="15" t="s">
        <v>68</v>
      </c>
      <c r="F1556" s="13" t="s">
        <v>50</v>
      </c>
      <c r="G1556" s="13" t="s">
        <v>51</v>
      </c>
      <c r="H1556" s="16" t="s">
        <v>108</v>
      </c>
      <c r="I1556" s="16" t="s">
        <v>156</v>
      </c>
      <c r="J1556" s="15">
        <v>72.13</v>
      </c>
      <c r="K1556" s="17"/>
      <c r="L1556" s="17"/>
      <c r="M1556" s="17" t="s">
        <v>69</v>
      </c>
      <c r="N1556" s="17" t="s">
        <v>1070</v>
      </c>
      <c r="O1556" s="17" t="s">
        <v>55</v>
      </c>
      <c r="P1556" s="17"/>
      <c r="Q1556" s="17"/>
      <c r="R1556" s="17"/>
      <c r="S1556" s="17">
        <v>20.22458</v>
      </c>
      <c r="T1556" s="17">
        <v>26.898309999999999</v>
      </c>
      <c r="U1556" s="20">
        <f t="shared" si="104"/>
        <v>1.329981141759186</v>
      </c>
      <c r="V1556" s="41">
        <f t="shared" si="107"/>
        <v>32.998114175918602</v>
      </c>
      <c r="W1556" s="17"/>
      <c r="X1556" s="17" t="s">
        <v>56</v>
      </c>
      <c r="Y1556" s="15"/>
      <c r="Z1556" s="17" t="s">
        <v>56</v>
      </c>
      <c r="AA1556" s="17"/>
      <c r="AB1556" s="17" t="s">
        <v>57</v>
      </c>
      <c r="AC1556" s="17">
        <v>1996</v>
      </c>
      <c r="AD1556" s="17">
        <v>13</v>
      </c>
      <c r="AE1556" s="17"/>
      <c r="AF1556" s="17"/>
      <c r="AG1556" s="17">
        <v>2006</v>
      </c>
      <c r="AH1556" s="14">
        <f t="shared" si="105"/>
        <v>-10</v>
      </c>
      <c r="AI1556" s="17">
        <f t="shared" si="106"/>
        <v>3</v>
      </c>
      <c r="AJ1556" s="17"/>
      <c r="AK1556" s="17" t="s">
        <v>58</v>
      </c>
      <c r="AL1556" s="16" t="s">
        <v>615</v>
      </c>
      <c r="AM1556" s="17">
        <v>2011</v>
      </c>
      <c r="AN1556" s="15" t="s">
        <v>685</v>
      </c>
      <c r="AO1556" s="15" t="s">
        <v>56</v>
      </c>
      <c r="AP1556" s="15"/>
      <c r="AQ1556" s="15" t="s">
        <v>56</v>
      </c>
      <c r="AR1556" s="15" t="s">
        <v>58</v>
      </c>
      <c r="AS1556" s="15" t="s">
        <v>62</v>
      </c>
      <c r="AT1556" s="15"/>
      <c r="AU1556" s="45" t="s">
        <v>2566</v>
      </c>
      <c r="AV1556" s="15"/>
      <c r="AW1556" s="12" t="str">
        <f>B1556&amp;C1556&amp;L1556&amp;M1556&amp;O1556&amp;U1556&amp;AL1556&amp;AM1556</f>
        <v>BelizeGlover’s Reef Marine Reservefishrichness1.32998114175919McClanahan2011</v>
      </c>
    </row>
    <row r="1557" spans="1:49" ht="14.5" x14ac:dyDescent="0.35">
      <c r="A1557" s="12">
        <v>1556</v>
      </c>
      <c r="B1557" s="15" t="s">
        <v>299</v>
      </c>
      <c r="C1557" s="15" t="s">
        <v>838</v>
      </c>
      <c r="D1557" s="15" t="s">
        <v>838</v>
      </c>
      <c r="E1557" s="15" t="s">
        <v>68</v>
      </c>
      <c r="F1557" s="13" t="s">
        <v>50</v>
      </c>
      <c r="G1557" s="13" t="s">
        <v>51</v>
      </c>
      <c r="H1557" s="16" t="s">
        <v>108</v>
      </c>
      <c r="I1557" s="16" t="s">
        <v>156</v>
      </c>
      <c r="J1557" s="15">
        <v>72.13</v>
      </c>
      <c r="K1557" s="17"/>
      <c r="L1557" s="17" t="s">
        <v>185</v>
      </c>
      <c r="M1557" s="17" t="s">
        <v>186</v>
      </c>
      <c r="N1557" s="17" t="s">
        <v>288</v>
      </c>
      <c r="O1557" s="17" t="s">
        <v>101</v>
      </c>
      <c r="P1557" s="17"/>
      <c r="Q1557" s="17"/>
      <c r="R1557" s="17"/>
      <c r="S1557" s="17">
        <v>16</v>
      </c>
      <c r="T1557" s="17">
        <v>14.125</v>
      </c>
      <c r="U1557" s="20">
        <f t="shared" si="104"/>
        <v>0.8828125</v>
      </c>
      <c r="V1557" s="41">
        <f t="shared" si="107"/>
        <v>-11.71875</v>
      </c>
      <c r="W1557" s="17"/>
      <c r="X1557" s="17" t="s">
        <v>56</v>
      </c>
      <c r="Y1557" s="12"/>
      <c r="Z1557" s="17" t="s">
        <v>56</v>
      </c>
      <c r="AA1557" s="17"/>
      <c r="AB1557" s="17" t="s">
        <v>57</v>
      </c>
      <c r="AC1557" s="17">
        <v>1996</v>
      </c>
      <c r="AD1557" s="17">
        <v>13</v>
      </c>
      <c r="AE1557" s="17"/>
      <c r="AF1557" s="17"/>
      <c r="AG1557" s="17">
        <v>2006</v>
      </c>
      <c r="AH1557" s="14">
        <f t="shared" si="105"/>
        <v>-10</v>
      </c>
      <c r="AI1557" s="17">
        <f t="shared" si="106"/>
        <v>3</v>
      </c>
      <c r="AJ1557" s="17"/>
      <c r="AK1557" s="17" t="s">
        <v>58</v>
      </c>
      <c r="AL1557" s="16" t="s">
        <v>615</v>
      </c>
      <c r="AM1557" s="17">
        <v>2011</v>
      </c>
      <c r="AN1557" s="15" t="s">
        <v>685</v>
      </c>
      <c r="AO1557" s="15" t="s">
        <v>56</v>
      </c>
      <c r="AP1557" s="15"/>
      <c r="AQ1557" s="15" t="s">
        <v>56</v>
      </c>
      <c r="AR1557" s="15" t="s">
        <v>58</v>
      </c>
      <c r="AS1557" s="15" t="s">
        <v>62</v>
      </c>
      <c r="AT1557" s="15"/>
      <c r="AU1557" s="45" t="s">
        <v>2566</v>
      </c>
      <c r="AV1557" s="15"/>
      <c r="AW1557" s="12" t="str">
        <f>B1557&amp;C1557&amp;L1557&amp;M1557&amp;O1557&amp;U1557&amp;AL1557&amp;AM1557</f>
        <v>BelizeGlover’s Reef Marine ReserveScleractiniahard coralcover0.8828125McClanahan2011</v>
      </c>
    </row>
    <row r="1558" spans="1:49" ht="14.5" x14ac:dyDescent="0.35">
      <c r="A1558" s="12">
        <v>1557</v>
      </c>
      <c r="B1558" s="15" t="s">
        <v>299</v>
      </c>
      <c r="C1558" s="15" t="s">
        <v>838</v>
      </c>
      <c r="D1558" s="15" t="s">
        <v>838</v>
      </c>
      <c r="E1558" s="15" t="s">
        <v>68</v>
      </c>
      <c r="F1558" s="13" t="s">
        <v>50</v>
      </c>
      <c r="G1558" s="13" t="s">
        <v>51</v>
      </c>
      <c r="H1558" s="16" t="s">
        <v>108</v>
      </c>
      <c r="I1558" s="16" t="s">
        <v>156</v>
      </c>
      <c r="J1558" s="15">
        <v>72.13</v>
      </c>
      <c r="K1558" s="17"/>
      <c r="L1558" s="17"/>
      <c r="M1558" s="17" t="s">
        <v>810</v>
      </c>
      <c r="N1558" s="53" t="s">
        <v>98</v>
      </c>
      <c r="O1558" s="17" t="s">
        <v>101</v>
      </c>
      <c r="P1558" s="17"/>
      <c r="Q1558" s="17"/>
      <c r="R1558" s="17"/>
      <c r="S1558" s="17">
        <v>44.594589999999997</v>
      </c>
      <c r="T1558" s="17">
        <v>51.08108</v>
      </c>
      <c r="U1558" s="20">
        <f t="shared" si="104"/>
        <v>1.14545463922866</v>
      </c>
      <c r="V1558" s="41">
        <f t="shared" si="107"/>
        <v>14.545463922865999</v>
      </c>
      <c r="W1558" s="17"/>
      <c r="X1558" s="17" t="s">
        <v>56</v>
      </c>
      <c r="Y1558" s="12"/>
      <c r="Z1558" s="17" t="s">
        <v>56</v>
      </c>
      <c r="AA1558" s="17"/>
      <c r="AB1558" s="17" t="s">
        <v>57</v>
      </c>
      <c r="AC1558" s="17">
        <v>1996</v>
      </c>
      <c r="AD1558" s="17">
        <v>13</v>
      </c>
      <c r="AE1558" s="17"/>
      <c r="AF1558" s="17"/>
      <c r="AG1558" s="17">
        <v>2006</v>
      </c>
      <c r="AH1558" s="14">
        <f t="shared" si="105"/>
        <v>-10</v>
      </c>
      <c r="AI1558" s="17">
        <f t="shared" si="106"/>
        <v>3</v>
      </c>
      <c r="AJ1558" s="17"/>
      <c r="AK1558" s="17" t="s">
        <v>58</v>
      </c>
      <c r="AL1558" s="16" t="s">
        <v>615</v>
      </c>
      <c r="AM1558" s="17">
        <v>2011</v>
      </c>
      <c r="AN1558" s="12" t="s">
        <v>685</v>
      </c>
      <c r="AO1558" s="15" t="s">
        <v>56</v>
      </c>
      <c r="AP1558" s="15"/>
      <c r="AQ1558" s="15" t="s">
        <v>56</v>
      </c>
      <c r="AR1558" s="15" t="s">
        <v>58</v>
      </c>
      <c r="AS1558" s="15" t="s">
        <v>62</v>
      </c>
      <c r="AT1558" s="15"/>
      <c r="AU1558" s="45" t="s">
        <v>2566</v>
      </c>
      <c r="AV1558" s="15"/>
      <c r="AW1558" s="12" t="str">
        <f>B1558&amp;C1558&amp;L1558&amp;M1558&amp;O1558&amp;U1558&amp;AL1558&amp;AM1558</f>
        <v>BelizeGlover’s Reef Marine ReserveFrondose algaecover1.14545463922866McClanahan2011</v>
      </c>
    </row>
    <row r="1559" spans="1:49" ht="14.5" x14ac:dyDescent="0.35">
      <c r="A1559" s="12">
        <v>1558</v>
      </c>
      <c r="B1559" s="15" t="s">
        <v>299</v>
      </c>
      <c r="C1559" s="15" t="s">
        <v>838</v>
      </c>
      <c r="D1559" s="15" t="s">
        <v>838</v>
      </c>
      <c r="E1559" s="15" t="s">
        <v>68</v>
      </c>
      <c r="F1559" s="13" t="s">
        <v>50</v>
      </c>
      <c r="G1559" s="13" t="s">
        <v>51</v>
      </c>
      <c r="H1559" s="16" t="s">
        <v>108</v>
      </c>
      <c r="I1559" s="16" t="s">
        <v>156</v>
      </c>
      <c r="J1559" s="15">
        <v>72.13</v>
      </c>
      <c r="K1559" s="17"/>
      <c r="L1559" s="17"/>
      <c r="M1559" s="17" t="s">
        <v>783</v>
      </c>
      <c r="N1559" s="53" t="s">
        <v>98</v>
      </c>
      <c r="O1559" s="17" t="s">
        <v>101</v>
      </c>
      <c r="P1559" s="17"/>
      <c r="Q1559" s="17"/>
      <c r="R1559" s="17"/>
      <c r="S1559" s="17">
        <v>6.56</v>
      </c>
      <c r="T1559" s="17">
        <v>8.8800000000000008</v>
      </c>
      <c r="U1559" s="20">
        <f t="shared" si="104"/>
        <v>1.3536585365853659</v>
      </c>
      <c r="V1559" s="41">
        <f t="shared" si="107"/>
        <v>35.365853658536594</v>
      </c>
      <c r="W1559" s="17"/>
      <c r="X1559" s="17" t="s">
        <v>56</v>
      </c>
      <c r="Y1559" s="12"/>
      <c r="Z1559" s="17" t="s">
        <v>56</v>
      </c>
      <c r="AA1559" s="17"/>
      <c r="AB1559" s="17" t="s">
        <v>57</v>
      </c>
      <c r="AC1559" s="17">
        <v>1996</v>
      </c>
      <c r="AD1559" s="17">
        <v>13</v>
      </c>
      <c r="AE1559" s="17"/>
      <c r="AF1559" s="17"/>
      <c r="AG1559" s="17">
        <v>2006</v>
      </c>
      <c r="AH1559" s="14">
        <f t="shared" si="105"/>
        <v>-10</v>
      </c>
      <c r="AI1559" s="17">
        <f t="shared" si="106"/>
        <v>3</v>
      </c>
      <c r="AJ1559" s="17"/>
      <c r="AK1559" s="17" t="s">
        <v>58</v>
      </c>
      <c r="AL1559" s="16" t="s">
        <v>615</v>
      </c>
      <c r="AM1559" s="17">
        <v>2011</v>
      </c>
      <c r="AN1559" s="12" t="s">
        <v>685</v>
      </c>
      <c r="AO1559" s="15" t="s">
        <v>56</v>
      </c>
      <c r="AP1559" s="15"/>
      <c r="AQ1559" s="15" t="s">
        <v>56</v>
      </c>
      <c r="AR1559" s="15" t="s">
        <v>58</v>
      </c>
      <c r="AS1559" s="15" t="s">
        <v>62</v>
      </c>
      <c r="AT1559" s="15"/>
      <c r="AU1559" s="45" t="s">
        <v>2566</v>
      </c>
      <c r="AV1559" s="15"/>
      <c r="AW1559" s="12" t="str">
        <f>B1559&amp;C1559&amp;L1559&amp;M1559&amp;O1559&amp;U1559&amp;AL1559&amp;AM1559</f>
        <v>BelizeGlover’s Reef Marine Reserveturf algaecover1.35365853658537McClanahan2011</v>
      </c>
    </row>
    <row r="1560" spans="1:49" ht="14.5" x14ac:dyDescent="0.35">
      <c r="A1560" s="12">
        <v>1559</v>
      </c>
      <c r="B1560" s="15" t="s">
        <v>299</v>
      </c>
      <c r="C1560" s="15" t="s">
        <v>838</v>
      </c>
      <c r="D1560" s="15" t="s">
        <v>838</v>
      </c>
      <c r="E1560" s="15" t="s">
        <v>68</v>
      </c>
      <c r="F1560" s="13" t="s">
        <v>50</v>
      </c>
      <c r="G1560" s="13" t="s">
        <v>51</v>
      </c>
      <c r="H1560" s="16" t="s">
        <v>108</v>
      </c>
      <c r="I1560" s="16" t="s">
        <v>156</v>
      </c>
      <c r="J1560" s="15">
        <v>72.13</v>
      </c>
      <c r="K1560" s="17"/>
      <c r="L1560" s="17"/>
      <c r="M1560" s="17" t="s">
        <v>811</v>
      </c>
      <c r="N1560" s="53" t="s">
        <v>98</v>
      </c>
      <c r="O1560" s="17" t="s">
        <v>101</v>
      </c>
      <c r="P1560" s="17"/>
      <c r="Q1560" s="17"/>
      <c r="R1560" s="17"/>
      <c r="S1560" s="17">
        <v>5.84</v>
      </c>
      <c r="T1560" s="17">
        <v>3.8559999999999999</v>
      </c>
      <c r="U1560" s="20">
        <f t="shared" si="104"/>
        <v>0.66027397260273968</v>
      </c>
      <c r="V1560" s="41">
        <f t="shared" si="107"/>
        <v>-33.972602739726035</v>
      </c>
      <c r="W1560" s="17"/>
      <c r="X1560" s="17" t="s">
        <v>56</v>
      </c>
      <c r="Y1560" s="12"/>
      <c r="Z1560" s="17" t="s">
        <v>56</v>
      </c>
      <c r="AA1560" s="17"/>
      <c r="AB1560" s="17" t="s">
        <v>57</v>
      </c>
      <c r="AC1560" s="17">
        <v>1996</v>
      </c>
      <c r="AD1560" s="17">
        <v>13</v>
      </c>
      <c r="AE1560" s="17"/>
      <c r="AF1560" s="17"/>
      <c r="AG1560" s="17">
        <v>2006</v>
      </c>
      <c r="AH1560" s="14">
        <f t="shared" si="105"/>
        <v>-10</v>
      </c>
      <c r="AI1560" s="17">
        <f t="shared" si="106"/>
        <v>3</v>
      </c>
      <c r="AJ1560" s="17"/>
      <c r="AK1560" s="17" t="s">
        <v>58</v>
      </c>
      <c r="AL1560" s="16" t="s">
        <v>615</v>
      </c>
      <c r="AM1560" s="17">
        <v>2011</v>
      </c>
      <c r="AN1560" s="12" t="s">
        <v>685</v>
      </c>
      <c r="AO1560" s="15" t="s">
        <v>56</v>
      </c>
      <c r="AP1560" s="15"/>
      <c r="AQ1560" s="15" t="s">
        <v>56</v>
      </c>
      <c r="AR1560" s="15" t="s">
        <v>58</v>
      </c>
      <c r="AS1560" s="15" t="s">
        <v>62</v>
      </c>
      <c r="AT1560" s="15"/>
      <c r="AU1560" s="45" t="s">
        <v>2566</v>
      </c>
      <c r="AV1560" s="15"/>
      <c r="AW1560" s="12" t="str">
        <f>B1560&amp;C1560&amp;L1560&amp;M1560&amp;O1560&amp;U1560&amp;AL1560&amp;AM1560</f>
        <v>BelizeGlover’s Reef Marine Reservecoralline red algaecover0.66027397260274McClanahan2011</v>
      </c>
    </row>
    <row r="1561" spans="1:49" ht="14.5" x14ac:dyDescent="0.35">
      <c r="A1561" s="12">
        <v>1560</v>
      </c>
      <c r="B1561" s="15" t="s">
        <v>299</v>
      </c>
      <c r="C1561" s="15" t="s">
        <v>838</v>
      </c>
      <c r="D1561" s="15" t="s">
        <v>838</v>
      </c>
      <c r="E1561" s="15" t="s">
        <v>68</v>
      </c>
      <c r="F1561" s="16" t="s">
        <v>50</v>
      </c>
      <c r="G1561" s="16" t="s">
        <v>51</v>
      </c>
      <c r="H1561" s="16" t="s">
        <v>108</v>
      </c>
      <c r="I1561" s="16" t="s">
        <v>156</v>
      </c>
      <c r="J1561" s="15">
        <v>72.13</v>
      </c>
      <c r="K1561" s="17"/>
      <c r="L1561" s="14"/>
      <c r="M1561" s="17" t="s">
        <v>812</v>
      </c>
      <c r="N1561" s="53" t="s">
        <v>98</v>
      </c>
      <c r="O1561" s="17" t="s">
        <v>101</v>
      </c>
      <c r="P1561" s="17"/>
      <c r="Q1561" s="17"/>
      <c r="R1561" s="17"/>
      <c r="S1561" s="17">
        <v>4.5641030000000002</v>
      </c>
      <c r="T1561" s="17">
        <v>4.9743589999999998</v>
      </c>
      <c r="U1561" s="20">
        <f t="shared" si="104"/>
        <v>1.0898875419770324</v>
      </c>
      <c r="V1561" s="41">
        <f t="shared" si="107"/>
        <v>8.9887541977032406</v>
      </c>
      <c r="W1561" s="17"/>
      <c r="X1561" s="17" t="s">
        <v>56</v>
      </c>
      <c r="Y1561" s="12"/>
      <c r="Z1561" s="17" t="s">
        <v>56</v>
      </c>
      <c r="AA1561" s="17"/>
      <c r="AB1561" s="17" t="s">
        <v>57</v>
      </c>
      <c r="AC1561" s="17">
        <v>1996</v>
      </c>
      <c r="AD1561" s="17">
        <v>13</v>
      </c>
      <c r="AE1561" s="17"/>
      <c r="AF1561" s="17"/>
      <c r="AG1561" s="17">
        <v>2006</v>
      </c>
      <c r="AH1561" s="14">
        <f t="shared" si="105"/>
        <v>-10</v>
      </c>
      <c r="AI1561" s="17">
        <f t="shared" si="106"/>
        <v>3</v>
      </c>
      <c r="AJ1561" s="17"/>
      <c r="AK1561" s="17" t="s">
        <v>58</v>
      </c>
      <c r="AL1561" s="16" t="s">
        <v>615</v>
      </c>
      <c r="AM1561" s="17">
        <v>2011</v>
      </c>
      <c r="AN1561" s="15" t="s">
        <v>685</v>
      </c>
      <c r="AO1561" s="15" t="s">
        <v>56</v>
      </c>
      <c r="AP1561" s="15"/>
      <c r="AQ1561" s="15" t="s">
        <v>56</v>
      </c>
      <c r="AR1561" s="15" t="s">
        <v>58</v>
      </c>
      <c r="AS1561" s="15" t="s">
        <v>62</v>
      </c>
      <c r="AT1561" s="15"/>
      <c r="AU1561" s="45" t="s">
        <v>2566</v>
      </c>
      <c r="AV1561" s="15"/>
      <c r="AW1561" s="12" t="str">
        <f>B1561&amp;C1561&amp;L1561&amp;M1561&amp;O1561&amp;U1561&amp;AL1561&amp;AM1561</f>
        <v>BelizeGlover’s Reef Marine Reservecalcareous green algaecover1.08988754197703McClanahan2011</v>
      </c>
    </row>
    <row r="1562" spans="1:49" ht="14.5" x14ac:dyDescent="0.35">
      <c r="A1562" s="12">
        <v>1561</v>
      </c>
      <c r="B1562" s="15" t="s">
        <v>299</v>
      </c>
      <c r="C1562" s="15" t="s">
        <v>838</v>
      </c>
      <c r="D1562" s="15" t="s">
        <v>838</v>
      </c>
      <c r="E1562" s="15" t="s">
        <v>68</v>
      </c>
      <c r="F1562" s="16" t="s">
        <v>50</v>
      </c>
      <c r="G1562" s="16" t="s">
        <v>51</v>
      </c>
      <c r="H1562" s="16" t="s">
        <v>108</v>
      </c>
      <c r="I1562" s="16" t="s">
        <v>156</v>
      </c>
      <c r="J1562" s="15">
        <v>72.13</v>
      </c>
      <c r="K1562" s="17"/>
      <c r="L1562" s="17" t="s">
        <v>813</v>
      </c>
      <c r="M1562" s="17" t="s">
        <v>618</v>
      </c>
      <c r="N1562" s="17" t="s">
        <v>288</v>
      </c>
      <c r="O1562" s="17" t="s">
        <v>101</v>
      </c>
      <c r="P1562" s="17"/>
      <c r="Q1562" s="17"/>
      <c r="R1562" s="17"/>
      <c r="S1562" s="17">
        <v>1.5853660000000001</v>
      </c>
      <c r="T1562" s="17">
        <v>1.5853660000000001</v>
      </c>
      <c r="U1562" s="20">
        <f t="shared" si="104"/>
        <v>1</v>
      </c>
      <c r="V1562" s="41">
        <f t="shared" si="107"/>
        <v>0</v>
      </c>
      <c r="W1562" s="17"/>
      <c r="X1562" s="17" t="s">
        <v>56</v>
      </c>
      <c r="Y1562" s="12"/>
      <c r="Z1562" s="17" t="s">
        <v>56</v>
      </c>
      <c r="AA1562" s="17"/>
      <c r="AB1562" s="17" t="s">
        <v>57</v>
      </c>
      <c r="AC1562" s="17">
        <v>1996</v>
      </c>
      <c r="AD1562" s="17">
        <v>13</v>
      </c>
      <c r="AE1562" s="17"/>
      <c r="AF1562" s="17"/>
      <c r="AG1562" s="17">
        <v>2006</v>
      </c>
      <c r="AH1562" s="14">
        <f t="shared" si="105"/>
        <v>-10</v>
      </c>
      <c r="AI1562" s="17">
        <f t="shared" si="106"/>
        <v>3</v>
      </c>
      <c r="AJ1562" s="17"/>
      <c r="AK1562" s="17" t="s">
        <v>58</v>
      </c>
      <c r="AL1562" s="16" t="s">
        <v>615</v>
      </c>
      <c r="AM1562" s="17">
        <v>2011</v>
      </c>
      <c r="AN1562" s="15" t="s">
        <v>685</v>
      </c>
      <c r="AO1562" s="15" t="s">
        <v>56</v>
      </c>
      <c r="AP1562" s="15"/>
      <c r="AQ1562" s="15" t="s">
        <v>56</v>
      </c>
      <c r="AR1562" s="15" t="s">
        <v>58</v>
      </c>
      <c r="AS1562" s="15" t="s">
        <v>62</v>
      </c>
      <c r="AT1562" s="15"/>
      <c r="AU1562" s="45" t="s">
        <v>2566</v>
      </c>
      <c r="AV1562" s="15"/>
      <c r="AW1562" s="12" t="str">
        <f>B1562&amp;C1562&amp;L1562&amp;M1562&amp;O1562&amp;U1562&amp;AL1562&amp;AM1562</f>
        <v>BelizeGlover’s Reef Marine ReserveAlismatalesseagrasscover1McClanahan2011</v>
      </c>
    </row>
    <row r="1563" spans="1:49" ht="14.5" x14ac:dyDescent="0.35">
      <c r="A1563" s="12">
        <v>1562</v>
      </c>
      <c r="B1563" s="15" t="s">
        <v>684</v>
      </c>
      <c r="C1563" s="15" t="s">
        <v>1265</v>
      </c>
      <c r="D1563" s="15" t="s">
        <v>2656</v>
      </c>
      <c r="E1563" s="15" t="s">
        <v>68</v>
      </c>
      <c r="F1563" s="13" t="s">
        <v>50</v>
      </c>
      <c r="G1563" s="13" t="s">
        <v>51</v>
      </c>
      <c r="H1563" s="16" t="s">
        <v>329</v>
      </c>
      <c r="I1563" s="16" t="s">
        <v>156</v>
      </c>
      <c r="J1563" s="17">
        <v>54</v>
      </c>
      <c r="K1563" s="17"/>
      <c r="L1563" s="17" t="s">
        <v>185</v>
      </c>
      <c r="M1563" s="17" t="s">
        <v>614</v>
      </c>
      <c r="N1563" s="17" t="s">
        <v>288</v>
      </c>
      <c r="O1563" s="17" t="s">
        <v>101</v>
      </c>
      <c r="P1563" s="17"/>
      <c r="Q1563" s="17"/>
      <c r="R1563" s="17"/>
      <c r="S1563" s="17">
        <v>21.71</v>
      </c>
      <c r="T1563" s="17">
        <v>28.92</v>
      </c>
      <c r="U1563" s="20">
        <f t="shared" si="104"/>
        <v>1.3321050207277751</v>
      </c>
      <c r="V1563" s="41">
        <f t="shared" si="107"/>
        <v>33.210502072777516</v>
      </c>
      <c r="W1563" s="17"/>
      <c r="X1563" s="17" t="s">
        <v>58</v>
      </c>
      <c r="Y1563" s="14">
        <v>250</v>
      </c>
      <c r="Z1563" s="17" t="s">
        <v>56</v>
      </c>
      <c r="AA1563" s="17"/>
      <c r="AB1563" s="17" t="s">
        <v>57</v>
      </c>
      <c r="AC1563" s="17">
        <v>2005</v>
      </c>
      <c r="AD1563" s="17">
        <v>1</v>
      </c>
      <c r="AE1563" s="17"/>
      <c r="AF1563" s="17"/>
      <c r="AG1563" s="17">
        <v>1970</v>
      </c>
      <c r="AH1563" s="14">
        <f t="shared" si="105"/>
        <v>35</v>
      </c>
      <c r="AI1563" s="17">
        <f t="shared" si="106"/>
        <v>36</v>
      </c>
      <c r="AJ1563" s="17"/>
      <c r="AK1563" s="17" t="s">
        <v>56</v>
      </c>
      <c r="AL1563" s="16" t="s">
        <v>615</v>
      </c>
      <c r="AM1563" s="17">
        <v>2011</v>
      </c>
      <c r="AN1563" s="15" t="s">
        <v>685</v>
      </c>
      <c r="AO1563" s="15" t="s">
        <v>56</v>
      </c>
      <c r="AP1563" s="15"/>
      <c r="AQ1563" s="15" t="s">
        <v>56</v>
      </c>
      <c r="AR1563" s="15" t="s">
        <v>58</v>
      </c>
      <c r="AS1563" s="15" t="s">
        <v>62</v>
      </c>
      <c r="AT1563" s="15"/>
      <c r="AU1563" s="45" t="s">
        <v>2657</v>
      </c>
      <c r="AV1563" s="15"/>
      <c r="AW1563" s="12" t="str">
        <f>B1563&amp;C1563&amp;L1563&amp;M1563&amp;O1563&amp;U1563&amp;AL1563&amp;AM1563</f>
        <v>KenyaMalindi, Watamu, Kisite, Mombasa Marine ParkScleractiniaHard coralcover1.33210502072778McClanahan2011</v>
      </c>
    </row>
    <row r="1564" spans="1:49" ht="14.5" x14ac:dyDescent="0.35">
      <c r="A1564" s="12">
        <v>1563</v>
      </c>
      <c r="B1564" s="15" t="s">
        <v>684</v>
      </c>
      <c r="C1564" s="15" t="s">
        <v>1265</v>
      </c>
      <c r="D1564" s="15" t="s">
        <v>2656</v>
      </c>
      <c r="E1564" s="15" t="s">
        <v>68</v>
      </c>
      <c r="F1564" s="13" t="s">
        <v>50</v>
      </c>
      <c r="G1564" s="13" t="s">
        <v>51</v>
      </c>
      <c r="H1564" s="16" t="s">
        <v>329</v>
      </c>
      <c r="I1564" s="16" t="s">
        <v>156</v>
      </c>
      <c r="J1564" s="17">
        <v>54</v>
      </c>
      <c r="K1564" s="17"/>
      <c r="L1564" s="17"/>
      <c r="M1564" s="17" t="s">
        <v>561</v>
      </c>
      <c r="N1564" s="53" t="s">
        <v>98</v>
      </c>
      <c r="O1564" s="17" t="s">
        <v>101</v>
      </c>
      <c r="P1564" s="17"/>
      <c r="Q1564" s="17"/>
      <c r="R1564" s="17"/>
      <c r="S1564" s="17">
        <v>42.95</v>
      </c>
      <c r="T1564" s="17">
        <v>32.909999999999997</v>
      </c>
      <c r="U1564" s="20">
        <f t="shared" si="104"/>
        <v>0.7662398137369032</v>
      </c>
      <c r="V1564" s="41">
        <f t="shared" si="107"/>
        <v>-23.37601862630968</v>
      </c>
      <c r="W1564" s="17"/>
      <c r="X1564" s="17" t="s">
        <v>58</v>
      </c>
      <c r="Y1564" s="14">
        <v>250</v>
      </c>
      <c r="Z1564" s="17" t="s">
        <v>56</v>
      </c>
      <c r="AA1564" s="17"/>
      <c r="AB1564" s="17" t="s">
        <v>57</v>
      </c>
      <c r="AC1564" s="17">
        <v>2005</v>
      </c>
      <c r="AD1564" s="17">
        <v>1</v>
      </c>
      <c r="AE1564" s="17"/>
      <c r="AF1564" s="17"/>
      <c r="AG1564" s="17">
        <v>1970</v>
      </c>
      <c r="AH1564" s="14">
        <f t="shared" si="105"/>
        <v>35</v>
      </c>
      <c r="AI1564" s="17">
        <f t="shared" si="106"/>
        <v>36</v>
      </c>
      <c r="AJ1564" s="17"/>
      <c r="AK1564" s="17" t="s">
        <v>56</v>
      </c>
      <c r="AL1564" s="16" t="s">
        <v>615</v>
      </c>
      <c r="AM1564" s="17">
        <v>2011</v>
      </c>
      <c r="AN1564" s="15" t="s">
        <v>685</v>
      </c>
      <c r="AO1564" s="15" t="s">
        <v>56</v>
      </c>
      <c r="AP1564" s="15"/>
      <c r="AQ1564" s="15" t="s">
        <v>56</v>
      </c>
      <c r="AR1564" s="15" t="s">
        <v>58</v>
      </c>
      <c r="AS1564" s="15" t="s">
        <v>62</v>
      </c>
      <c r="AT1564" s="15"/>
      <c r="AU1564" s="45" t="s">
        <v>2657</v>
      </c>
      <c r="AV1564" s="15"/>
      <c r="AW1564" s="12" t="str">
        <f>B1564&amp;C1564&amp;L1564&amp;M1564&amp;O1564&amp;U1564&amp;AL1564&amp;AM1564</f>
        <v>KenyaMalindi, Watamu, Kisite, Mombasa Marine ParkTurf algaecover0.766239813736903McClanahan2011</v>
      </c>
    </row>
    <row r="1565" spans="1:49" ht="14.5" x14ac:dyDescent="0.35">
      <c r="A1565" s="12">
        <v>1564</v>
      </c>
      <c r="B1565" s="15" t="s">
        <v>684</v>
      </c>
      <c r="C1565" s="15" t="s">
        <v>1265</v>
      </c>
      <c r="D1565" s="15" t="s">
        <v>2656</v>
      </c>
      <c r="E1565" s="12" t="s">
        <v>68</v>
      </c>
      <c r="F1565" s="13" t="s">
        <v>50</v>
      </c>
      <c r="G1565" s="13" t="s">
        <v>51</v>
      </c>
      <c r="H1565" s="16" t="s">
        <v>329</v>
      </c>
      <c r="I1565" s="16" t="s">
        <v>156</v>
      </c>
      <c r="J1565" s="17">
        <v>54</v>
      </c>
      <c r="K1565" s="17"/>
      <c r="L1565" s="17"/>
      <c r="M1565" s="17" t="s">
        <v>686</v>
      </c>
      <c r="N1565" s="53" t="s">
        <v>98</v>
      </c>
      <c r="O1565" s="17" t="s">
        <v>101</v>
      </c>
      <c r="P1565" s="17"/>
      <c r="Q1565" s="17"/>
      <c r="R1565" s="17"/>
      <c r="S1565" s="17">
        <v>0.09</v>
      </c>
      <c r="T1565" s="17">
        <v>6.92</v>
      </c>
      <c r="U1565" s="19">
        <f t="shared" si="104"/>
        <v>76.888888888888886</v>
      </c>
      <c r="V1565" s="41">
        <f t="shared" si="107"/>
        <v>7588.8888888888887</v>
      </c>
      <c r="W1565" s="14"/>
      <c r="X1565" s="17" t="s">
        <v>58</v>
      </c>
      <c r="Y1565" s="14">
        <v>250</v>
      </c>
      <c r="Z1565" s="17" t="s">
        <v>56</v>
      </c>
      <c r="AA1565" s="17"/>
      <c r="AB1565" s="17" t="s">
        <v>57</v>
      </c>
      <c r="AC1565" s="17">
        <v>2005</v>
      </c>
      <c r="AD1565" s="17">
        <v>1</v>
      </c>
      <c r="AE1565" s="17"/>
      <c r="AF1565" s="17"/>
      <c r="AG1565" s="17">
        <v>1970</v>
      </c>
      <c r="AH1565" s="14">
        <f t="shared" si="105"/>
        <v>35</v>
      </c>
      <c r="AI1565" s="17">
        <f t="shared" si="106"/>
        <v>36</v>
      </c>
      <c r="AJ1565" s="17"/>
      <c r="AK1565" s="17" t="s">
        <v>56</v>
      </c>
      <c r="AL1565" s="16" t="s">
        <v>615</v>
      </c>
      <c r="AM1565" s="17">
        <v>2011</v>
      </c>
      <c r="AN1565" s="15" t="s">
        <v>685</v>
      </c>
      <c r="AO1565" s="15" t="s">
        <v>56</v>
      </c>
      <c r="AP1565" s="15"/>
      <c r="AQ1565" s="15" t="s">
        <v>56</v>
      </c>
      <c r="AR1565" s="15" t="s">
        <v>58</v>
      </c>
      <c r="AS1565" s="15" t="s">
        <v>62</v>
      </c>
      <c r="AT1565" s="12"/>
      <c r="AU1565" s="45" t="s">
        <v>2657</v>
      </c>
      <c r="AV1565" s="15"/>
      <c r="AW1565" s="12" t="str">
        <f>B1565&amp;C1565&amp;L1565&amp;M1565&amp;O1565&amp;U1565&amp;AL1565&amp;AM1565</f>
        <v>KenyaMalindi, Watamu, Kisite, Mombasa Marine ParkCalcareous green algaecover76.8888888888889McClanahan2011</v>
      </c>
    </row>
    <row r="1566" spans="1:49" ht="14.5" x14ac:dyDescent="0.35">
      <c r="A1566" s="12">
        <v>1565</v>
      </c>
      <c r="B1566" s="15" t="s">
        <v>684</v>
      </c>
      <c r="C1566" s="15" t="s">
        <v>1265</v>
      </c>
      <c r="D1566" s="15" t="s">
        <v>2656</v>
      </c>
      <c r="E1566" s="15" t="s">
        <v>68</v>
      </c>
      <c r="F1566" s="13" t="s">
        <v>50</v>
      </c>
      <c r="G1566" s="13" t="s">
        <v>51</v>
      </c>
      <c r="H1566" s="16" t="s">
        <v>329</v>
      </c>
      <c r="I1566" s="16" t="s">
        <v>156</v>
      </c>
      <c r="J1566" s="17">
        <v>54</v>
      </c>
      <c r="K1566" s="17"/>
      <c r="L1566" s="17"/>
      <c r="M1566" s="17" t="s">
        <v>687</v>
      </c>
      <c r="N1566" s="53" t="s">
        <v>98</v>
      </c>
      <c r="O1566" s="17" t="s">
        <v>101</v>
      </c>
      <c r="P1566" s="17"/>
      <c r="Q1566" s="17"/>
      <c r="R1566" s="17"/>
      <c r="S1566" s="17">
        <v>6.97</v>
      </c>
      <c r="T1566" s="17">
        <v>5.12</v>
      </c>
      <c r="U1566" s="20">
        <f t="shared" si="104"/>
        <v>0.73457675753228124</v>
      </c>
      <c r="V1566" s="41">
        <f t="shared" si="107"/>
        <v>-26.542324246771877</v>
      </c>
      <c r="W1566" s="17"/>
      <c r="X1566" s="17" t="s">
        <v>58</v>
      </c>
      <c r="Y1566" s="14">
        <v>250</v>
      </c>
      <c r="Z1566" s="17" t="s">
        <v>56</v>
      </c>
      <c r="AA1566" s="17"/>
      <c r="AB1566" s="17" t="s">
        <v>57</v>
      </c>
      <c r="AC1566" s="17">
        <v>2005</v>
      </c>
      <c r="AD1566" s="17">
        <v>1</v>
      </c>
      <c r="AE1566" s="17"/>
      <c r="AF1566" s="17"/>
      <c r="AG1566" s="17">
        <v>1970</v>
      </c>
      <c r="AH1566" s="14">
        <f t="shared" si="105"/>
        <v>35</v>
      </c>
      <c r="AI1566" s="17">
        <f t="shared" si="106"/>
        <v>36</v>
      </c>
      <c r="AJ1566" s="17"/>
      <c r="AK1566" s="17" t="s">
        <v>56</v>
      </c>
      <c r="AL1566" s="16" t="s">
        <v>615</v>
      </c>
      <c r="AM1566" s="17">
        <v>2011</v>
      </c>
      <c r="AN1566" s="15" t="s">
        <v>685</v>
      </c>
      <c r="AO1566" s="15" t="s">
        <v>56</v>
      </c>
      <c r="AP1566" s="15"/>
      <c r="AQ1566" s="15" t="s">
        <v>56</v>
      </c>
      <c r="AR1566" s="15" t="s">
        <v>58</v>
      </c>
      <c r="AS1566" s="15" t="s">
        <v>62</v>
      </c>
      <c r="AT1566" s="15"/>
      <c r="AU1566" s="45" t="s">
        <v>2657</v>
      </c>
      <c r="AV1566" s="15"/>
      <c r="AW1566" s="12" t="str">
        <f>B1566&amp;C1566&amp;L1566&amp;M1566&amp;O1566&amp;U1566&amp;AL1566&amp;AM1566</f>
        <v>KenyaMalindi, Watamu, Kisite, Mombasa Marine ParkFleshy erect algaecover0.734576757532281McClanahan2011</v>
      </c>
    </row>
    <row r="1567" spans="1:49" ht="14.5" x14ac:dyDescent="0.35">
      <c r="A1567" s="12">
        <v>1566</v>
      </c>
      <c r="B1567" s="12" t="s">
        <v>684</v>
      </c>
      <c r="C1567" s="12" t="s">
        <v>1265</v>
      </c>
      <c r="D1567" s="15" t="s">
        <v>2656</v>
      </c>
      <c r="E1567" s="12" t="s">
        <v>68</v>
      </c>
      <c r="F1567" s="13" t="s">
        <v>50</v>
      </c>
      <c r="G1567" s="13" t="s">
        <v>51</v>
      </c>
      <c r="H1567" s="13" t="s">
        <v>329</v>
      </c>
      <c r="I1567" s="13" t="s">
        <v>156</v>
      </c>
      <c r="J1567" s="17">
        <v>54</v>
      </c>
      <c r="K1567" s="17"/>
      <c r="L1567" s="14"/>
      <c r="M1567" s="14" t="s">
        <v>688</v>
      </c>
      <c r="N1567" s="53" t="s">
        <v>98</v>
      </c>
      <c r="O1567" s="17" t="s">
        <v>101</v>
      </c>
      <c r="P1567" s="14"/>
      <c r="Q1567" s="14"/>
      <c r="R1567" s="14"/>
      <c r="S1567" s="14">
        <v>2.95</v>
      </c>
      <c r="T1567" s="14">
        <v>16.57</v>
      </c>
      <c r="U1567" s="19">
        <f t="shared" si="104"/>
        <v>5.6169491525423725</v>
      </c>
      <c r="V1567" s="41">
        <f t="shared" si="107"/>
        <v>461.69491525423723</v>
      </c>
      <c r="W1567" s="14"/>
      <c r="X1567" s="14" t="s">
        <v>58</v>
      </c>
      <c r="Y1567" s="14">
        <v>250</v>
      </c>
      <c r="Z1567" s="14" t="s">
        <v>56</v>
      </c>
      <c r="AA1567" s="17"/>
      <c r="AB1567" s="14" t="s">
        <v>57</v>
      </c>
      <c r="AC1567" s="14">
        <v>2005</v>
      </c>
      <c r="AD1567" s="14">
        <v>1</v>
      </c>
      <c r="AE1567" s="14"/>
      <c r="AF1567" s="14"/>
      <c r="AG1567" s="14">
        <v>1970</v>
      </c>
      <c r="AH1567" s="14">
        <f t="shared" si="105"/>
        <v>35</v>
      </c>
      <c r="AI1567" s="17">
        <f t="shared" si="106"/>
        <v>36</v>
      </c>
      <c r="AJ1567" s="14"/>
      <c r="AK1567" s="14" t="s">
        <v>56</v>
      </c>
      <c r="AL1567" s="13" t="s">
        <v>615</v>
      </c>
      <c r="AM1567" s="14">
        <v>2011</v>
      </c>
      <c r="AN1567" s="15" t="s">
        <v>685</v>
      </c>
      <c r="AO1567" s="12" t="s">
        <v>56</v>
      </c>
      <c r="AP1567" s="12"/>
      <c r="AQ1567" s="12" t="s">
        <v>56</v>
      </c>
      <c r="AR1567" s="12" t="s">
        <v>58</v>
      </c>
      <c r="AS1567" s="12" t="s">
        <v>62</v>
      </c>
      <c r="AT1567" s="12"/>
      <c r="AU1567" s="45" t="s">
        <v>2657</v>
      </c>
      <c r="AV1567" s="15"/>
      <c r="AW1567" s="12" t="str">
        <f>B1567&amp;C1567&amp;L1567&amp;M1567&amp;O1567&amp;U1567&amp;AL1567&amp;AM1567</f>
        <v>KenyaMalindi, Watamu, Kisite, Mombasa Marine ParkCoralline red algaecover5.61694915254237McClanahan2011</v>
      </c>
    </row>
    <row r="1568" spans="1:49" ht="14.5" x14ac:dyDescent="0.35">
      <c r="A1568" s="12">
        <v>1567</v>
      </c>
      <c r="B1568" s="12" t="s">
        <v>684</v>
      </c>
      <c r="C1568" s="12" t="s">
        <v>1265</v>
      </c>
      <c r="D1568" s="15" t="s">
        <v>2656</v>
      </c>
      <c r="E1568" s="12" t="s">
        <v>68</v>
      </c>
      <c r="F1568" s="13" t="s">
        <v>50</v>
      </c>
      <c r="G1568" s="13" t="s">
        <v>51</v>
      </c>
      <c r="H1568" s="13" t="s">
        <v>329</v>
      </c>
      <c r="I1568" s="13" t="s">
        <v>156</v>
      </c>
      <c r="J1568" s="17">
        <v>54</v>
      </c>
      <c r="K1568" s="17"/>
      <c r="L1568" s="14"/>
      <c r="M1568" s="14" t="s">
        <v>617</v>
      </c>
      <c r="N1568" s="53" t="s">
        <v>98</v>
      </c>
      <c r="O1568" s="17" t="s">
        <v>101</v>
      </c>
      <c r="P1568" s="14"/>
      <c r="Q1568" s="14"/>
      <c r="R1568" s="14"/>
      <c r="S1568" s="14">
        <v>3.45</v>
      </c>
      <c r="T1568" s="14">
        <v>3.2</v>
      </c>
      <c r="U1568" s="19">
        <f t="shared" si="104"/>
        <v>0.92753623188405798</v>
      </c>
      <c r="V1568" s="41">
        <f t="shared" si="107"/>
        <v>-7.2463768115942013</v>
      </c>
      <c r="W1568" s="14"/>
      <c r="X1568" s="14" t="s">
        <v>58</v>
      </c>
      <c r="Y1568" s="14">
        <v>250</v>
      </c>
      <c r="Z1568" s="14" t="s">
        <v>56</v>
      </c>
      <c r="AA1568" s="17"/>
      <c r="AB1568" s="14" t="s">
        <v>57</v>
      </c>
      <c r="AC1568" s="14">
        <v>2005</v>
      </c>
      <c r="AD1568" s="14">
        <v>1</v>
      </c>
      <c r="AE1568" s="14"/>
      <c r="AF1568" s="14"/>
      <c r="AG1568" s="14">
        <v>1970</v>
      </c>
      <c r="AH1568" s="14">
        <f t="shared" si="105"/>
        <v>35</v>
      </c>
      <c r="AI1568" s="17">
        <f t="shared" si="106"/>
        <v>36</v>
      </c>
      <c r="AJ1568" s="14"/>
      <c r="AK1568" s="14" t="s">
        <v>56</v>
      </c>
      <c r="AL1568" s="13" t="s">
        <v>615</v>
      </c>
      <c r="AM1568" s="14">
        <v>2011</v>
      </c>
      <c r="AN1568" s="15" t="s">
        <v>685</v>
      </c>
      <c r="AO1568" s="12" t="s">
        <v>56</v>
      </c>
      <c r="AP1568" s="12"/>
      <c r="AQ1568" s="12" t="s">
        <v>56</v>
      </c>
      <c r="AR1568" s="12" t="s">
        <v>58</v>
      </c>
      <c r="AS1568" s="12" t="s">
        <v>62</v>
      </c>
      <c r="AT1568" s="12"/>
      <c r="AU1568" s="45" t="s">
        <v>2657</v>
      </c>
      <c r="AV1568" s="15"/>
      <c r="AW1568" s="12" t="str">
        <f>B1568&amp;C1568&amp;L1568&amp;M1568&amp;O1568&amp;U1568&amp;AL1568&amp;AM1568</f>
        <v>KenyaMalindi, Watamu, Kisite, Mombasa Marine ParkSoft coralcover0.927536231884058McClanahan2011</v>
      </c>
    </row>
    <row r="1569" spans="1:49" ht="14.5" x14ac:dyDescent="0.35">
      <c r="A1569" s="12">
        <v>1568</v>
      </c>
      <c r="B1569" s="15" t="s">
        <v>684</v>
      </c>
      <c r="C1569" s="15" t="s">
        <v>1265</v>
      </c>
      <c r="D1569" s="15" t="s">
        <v>2656</v>
      </c>
      <c r="E1569" s="15" t="s">
        <v>68</v>
      </c>
      <c r="F1569" s="13" t="s">
        <v>50</v>
      </c>
      <c r="G1569" s="13" t="s">
        <v>51</v>
      </c>
      <c r="H1569" s="16" t="s">
        <v>329</v>
      </c>
      <c r="I1569" s="16" t="s">
        <v>156</v>
      </c>
      <c r="J1569" s="17">
        <v>54</v>
      </c>
      <c r="K1569" s="17"/>
      <c r="L1569" s="17"/>
      <c r="M1569" s="17" t="s">
        <v>689</v>
      </c>
      <c r="N1569" s="53" t="s">
        <v>98</v>
      </c>
      <c r="O1569" s="17" t="s">
        <v>101</v>
      </c>
      <c r="P1569" s="17"/>
      <c r="Q1569" s="17"/>
      <c r="R1569" s="17"/>
      <c r="S1569" s="17">
        <v>11.57</v>
      </c>
      <c r="T1569" s="17">
        <v>4.53</v>
      </c>
      <c r="U1569" s="20">
        <f t="shared" si="104"/>
        <v>0.39152981849611063</v>
      </c>
      <c r="V1569" s="41">
        <f t="shared" si="107"/>
        <v>-60.847018150388934</v>
      </c>
      <c r="W1569" s="17"/>
      <c r="X1569" s="17" t="s">
        <v>58</v>
      </c>
      <c r="Y1569" s="14">
        <v>250</v>
      </c>
      <c r="Z1569" s="17" t="s">
        <v>56</v>
      </c>
      <c r="AA1569" s="17"/>
      <c r="AB1569" s="17" t="s">
        <v>57</v>
      </c>
      <c r="AC1569" s="17">
        <v>2005</v>
      </c>
      <c r="AD1569" s="17">
        <v>1</v>
      </c>
      <c r="AE1569" s="17"/>
      <c r="AF1569" s="17"/>
      <c r="AG1569" s="14">
        <v>1970</v>
      </c>
      <c r="AH1569" s="14">
        <f t="shared" si="105"/>
        <v>35</v>
      </c>
      <c r="AI1569" s="17">
        <f t="shared" si="106"/>
        <v>36</v>
      </c>
      <c r="AJ1569" s="17"/>
      <c r="AK1569" s="17" t="s">
        <v>56</v>
      </c>
      <c r="AL1569" s="16" t="s">
        <v>615</v>
      </c>
      <c r="AM1569" s="17">
        <v>2011</v>
      </c>
      <c r="AN1569" s="15" t="s">
        <v>685</v>
      </c>
      <c r="AO1569" s="15" t="s">
        <v>56</v>
      </c>
      <c r="AP1569" s="15"/>
      <c r="AQ1569" s="15" t="s">
        <v>56</v>
      </c>
      <c r="AR1569" s="15" t="s">
        <v>58</v>
      </c>
      <c r="AS1569" s="15" t="s">
        <v>62</v>
      </c>
      <c r="AT1569" s="15"/>
      <c r="AU1569" s="45" t="s">
        <v>2657</v>
      </c>
      <c r="AV1569" s="15"/>
      <c r="AW1569" s="12" t="str">
        <f>B1569&amp;C1569&amp;L1569&amp;M1569&amp;O1569&amp;U1569&amp;AL1569&amp;AM1569</f>
        <v>KenyaMalindi, Watamu, Kisite, Mombasa Marine ParkSandcover0.391529818496111McClanahan2011</v>
      </c>
    </row>
    <row r="1570" spans="1:49" ht="14.5" x14ac:dyDescent="0.35">
      <c r="A1570" s="12">
        <v>1569</v>
      </c>
      <c r="B1570" s="15" t="s">
        <v>684</v>
      </c>
      <c r="C1570" s="15" t="s">
        <v>1265</v>
      </c>
      <c r="D1570" s="15" t="s">
        <v>2656</v>
      </c>
      <c r="E1570" s="15" t="s">
        <v>68</v>
      </c>
      <c r="F1570" s="13" t="s">
        <v>50</v>
      </c>
      <c r="G1570" s="13" t="s">
        <v>51</v>
      </c>
      <c r="H1570" s="16" t="s">
        <v>329</v>
      </c>
      <c r="I1570" s="16" t="s">
        <v>156</v>
      </c>
      <c r="J1570" s="17">
        <v>54</v>
      </c>
      <c r="K1570" s="17"/>
      <c r="L1570" s="17" t="s">
        <v>690</v>
      </c>
      <c r="M1570" s="17" t="s">
        <v>472</v>
      </c>
      <c r="N1570" s="17" t="s">
        <v>691</v>
      </c>
      <c r="O1570" s="17" t="s">
        <v>101</v>
      </c>
      <c r="P1570" s="17"/>
      <c r="Q1570" s="17"/>
      <c r="R1570" s="17"/>
      <c r="S1570" s="17">
        <v>0.95</v>
      </c>
      <c r="T1570" s="17">
        <v>0.57999999999999996</v>
      </c>
      <c r="U1570" s="20">
        <f t="shared" si="104"/>
        <v>0.61052631578947369</v>
      </c>
      <c r="V1570" s="41">
        <f t="shared" si="107"/>
        <v>-38.94736842105263</v>
      </c>
      <c r="W1570" s="17"/>
      <c r="X1570" s="17" t="s">
        <v>58</v>
      </c>
      <c r="Y1570" s="14">
        <v>250</v>
      </c>
      <c r="Z1570" s="17" t="s">
        <v>56</v>
      </c>
      <c r="AA1570" s="17"/>
      <c r="AB1570" s="17" t="s">
        <v>57</v>
      </c>
      <c r="AC1570" s="17">
        <v>2005</v>
      </c>
      <c r="AD1570" s="17">
        <v>1</v>
      </c>
      <c r="AE1570" s="17"/>
      <c r="AF1570" s="17"/>
      <c r="AG1570" s="17">
        <v>1970</v>
      </c>
      <c r="AH1570" s="14">
        <f t="shared" si="105"/>
        <v>35</v>
      </c>
      <c r="AI1570" s="17">
        <f t="shared" si="106"/>
        <v>36</v>
      </c>
      <c r="AJ1570" s="17"/>
      <c r="AK1570" s="17" t="s">
        <v>56</v>
      </c>
      <c r="AL1570" s="16" t="s">
        <v>615</v>
      </c>
      <c r="AM1570" s="17">
        <v>2011</v>
      </c>
      <c r="AN1570" s="12" t="s">
        <v>685</v>
      </c>
      <c r="AO1570" s="15" t="s">
        <v>56</v>
      </c>
      <c r="AP1570" s="15"/>
      <c r="AQ1570" s="15" t="s">
        <v>56</v>
      </c>
      <c r="AR1570" s="15" t="s">
        <v>58</v>
      </c>
      <c r="AS1570" s="15" t="s">
        <v>62</v>
      </c>
      <c r="AT1570" s="15"/>
      <c r="AU1570" s="45" t="s">
        <v>2657</v>
      </c>
      <c r="AV1570" s="15"/>
      <c r="AW1570" s="12" t="str">
        <f>B1570&amp;C1570&amp;L1570&amp;M1570&amp;O1570&amp;U1570&amp;AL1570&amp;AM1570</f>
        <v>KenyaMalindi, Watamu, Kisite, Mombasa Marine ParkPoriferaSpongecover0.610526315789474McClanahan2011</v>
      </c>
    </row>
    <row r="1571" spans="1:49" ht="14.5" x14ac:dyDescent="0.35">
      <c r="A1571" s="12">
        <v>1570</v>
      </c>
      <c r="B1571" s="15" t="s">
        <v>684</v>
      </c>
      <c r="C1571" s="15" t="s">
        <v>1265</v>
      </c>
      <c r="D1571" s="15" t="s">
        <v>2656</v>
      </c>
      <c r="E1571" s="15" t="s">
        <v>68</v>
      </c>
      <c r="F1571" s="13" t="s">
        <v>50</v>
      </c>
      <c r="G1571" s="13" t="s">
        <v>51</v>
      </c>
      <c r="H1571" s="16" t="s">
        <v>329</v>
      </c>
      <c r="I1571" s="16" t="s">
        <v>156</v>
      </c>
      <c r="J1571" s="17">
        <v>54</v>
      </c>
      <c r="K1571" s="17"/>
      <c r="L1571" s="17" t="s">
        <v>625</v>
      </c>
      <c r="M1571" s="17"/>
      <c r="N1571" s="17" t="s">
        <v>170</v>
      </c>
      <c r="O1571" s="17" t="s">
        <v>70</v>
      </c>
      <c r="P1571" s="17"/>
      <c r="Q1571" s="17"/>
      <c r="R1571" s="17"/>
      <c r="S1571" s="17">
        <v>1336</v>
      </c>
      <c r="T1571" s="17">
        <v>22241</v>
      </c>
      <c r="U1571" s="20">
        <f t="shared" si="104"/>
        <v>16.647455089820358</v>
      </c>
      <c r="V1571" s="41">
        <f t="shared" si="107"/>
        <v>1564.7455089820357</v>
      </c>
      <c r="W1571" s="17"/>
      <c r="X1571" s="17" t="s">
        <v>58</v>
      </c>
      <c r="Y1571" s="14">
        <v>250</v>
      </c>
      <c r="Z1571" s="17" t="s">
        <v>56</v>
      </c>
      <c r="AA1571" s="17"/>
      <c r="AB1571" s="17" t="s">
        <v>57</v>
      </c>
      <c r="AC1571" s="17">
        <v>2005</v>
      </c>
      <c r="AD1571" s="17">
        <v>1</v>
      </c>
      <c r="AE1571" s="17"/>
      <c r="AF1571" s="17"/>
      <c r="AG1571" s="17">
        <v>1970</v>
      </c>
      <c r="AH1571" s="14">
        <f t="shared" si="105"/>
        <v>35</v>
      </c>
      <c r="AI1571" s="17">
        <f t="shared" si="106"/>
        <v>36</v>
      </c>
      <c r="AJ1571" s="17"/>
      <c r="AK1571" s="17" t="s">
        <v>56</v>
      </c>
      <c r="AL1571" s="16" t="s">
        <v>615</v>
      </c>
      <c r="AM1571" s="17">
        <v>2011</v>
      </c>
      <c r="AN1571" s="12" t="s">
        <v>685</v>
      </c>
      <c r="AO1571" s="15" t="s">
        <v>56</v>
      </c>
      <c r="AP1571" s="15"/>
      <c r="AQ1571" s="15" t="s">
        <v>56</v>
      </c>
      <c r="AR1571" s="15" t="s">
        <v>58</v>
      </c>
      <c r="AS1571" s="15" t="s">
        <v>62</v>
      </c>
      <c r="AT1571" s="15"/>
      <c r="AU1571" s="45" t="s">
        <v>2657</v>
      </c>
      <c r="AV1571" s="15"/>
      <c r="AW1571" s="12" t="str">
        <f>B1571&amp;C1571&amp;L1571&amp;M1571&amp;O1571&amp;U1571&amp;AL1571&amp;AM1571</f>
        <v>KenyaMalindi, Watamu, Kisite, Mombasa Marine ParkAcanthuridaebiomassden16.6474550898204McClanahan2011</v>
      </c>
    </row>
    <row r="1572" spans="1:49" ht="14.5" x14ac:dyDescent="0.35">
      <c r="A1572" s="12">
        <v>1571</v>
      </c>
      <c r="B1572" s="15" t="s">
        <v>684</v>
      </c>
      <c r="C1572" s="15" t="s">
        <v>1265</v>
      </c>
      <c r="D1572" s="15" t="s">
        <v>2656</v>
      </c>
      <c r="E1572" s="15" t="s">
        <v>68</v>
      </c>
      <c r="F1572" s="13" t="s">
        <v>50</v>
      </c>
      <c r="G1572" s="13" t="s">
        <v>51</v>
      </c>
      <c r="H1572" s="16" t="s">
        <v>329</v>
      </c>
      <c r="I1572" s="16" t="s">
        <v>156</v>
      </c>
      <c r="J1572" s="17">
        <v>54</v>
      </c>
      <c r="K1572" s="17"/>
      <c r="L1572" s="17" t="s">
        <v>692</v>
      </c>
      <c r="M1572" s="17"/>
      <c r="N1572" s="17" t="s">
        <v>170</v>
      </c>
      <c r="O1572" s="17" t="s">
        <v>70</v>
      </c>
      <c r="P1572" s="17"/>
      <c r="Q1572" s="17"/>
      <c r="R1572" s="17"/>
      <c r="S1572" s="17">
        <v>54</v>
      </c>
      <c r="T1572" s="17">
        <v>1195</v>
      </c>
      <c r="U1572" s="20">
        <f t="shared" si="104"/>
        <v>22.12962962962963</v>
      </c>
      <c r="V1572" s="41">
        <f t="shared" si="107"/>
        <v>2112.962962962963</v>
      </c>
      <c r="W1572" s="17"/>
      <c r="X1572" s="17" t="s">
        <v>58</v>
      </c>
      <c r="Y1572" s="14">
        <v>250</v>
      </c>
      <c r="Z1572" s="17" t="s">
        <v>56</v>
      </c>
      <c r="AA1572" s="17"/>
      <c r="AB1572" s="17" t="s">
        <v>57</v>
      </c>
      <c r="AC1572" s="17">
        <v>2005</v>
      </c>
      <c r="AD1572" s="17">
        <v>1</v>
      </c>
      <c r="AE1572" s="17"/>
      <c r="AF1572" s="17"/>
      <c r="AG1572" s="17">
        <v>1970</v>
      </c>
      <c r="AH1572" s="14">
        <f t="shared" si="105"/>
        <v>35</v>
      </c>
      <c r="AI1572" s="17">
        <f t="shared" si="106"/>
        <v>36</v>
      </c>
      <c r="AJ1572" s="17"/>
      <c r="AK1572" s="17" t="s">
        <v>56</v>
      </c>
      <c r="AL1572" s="16" t="s">
        <v>615</v>
      </c>
      <c r="AM1572" s="17">
        <v>2011</v>
      </c>
      <c r="AN1572" s="12" t="s">
        <v>685</v>
      </c>
      <c r="AO1572" s="15" t="s">
        <v>56</v>
      </c>
      <c r="AP1572" s="15"/>
      <c r="AQ1572" s="15" t="s">
        <v>56</v>
      </c>
      <c r="AR1572" s="15" t="s">
        <v>58</v>
      </c>
      <c r="AS1572" s="15" t="s">
        <v>62</v>
      </c>
      <c r="AT1572" s="15"/>
      <c r="AU1572" s="45" t="s">
        <v>2657</v>
      </c>
      <c r="AV1572" s="15"/>
      <c r="AW1572" s="12" t="str">
        <f>B1572&amp;C1572&amp;L1572&amp;M1572&amp;O1572&amp;U1572&amp;AL1572&amp;AM1572</f>
        <v>KenyaMalindi, Watamu, Kisite, Mombasa Marine ParkAulostomidaebiomassden22.1296296296296McClanahan2011</v>
      </c>
    </row>
    <row r="1573" spans="1:49" ht="14.5" x14ac:dyDescent="0.35">
      <c r="A1573" s="12">
        <v>1572</v>
      </c>
      <c r="B1573" s="12" t="s">
        <v>684</v>
      </c>
      <c r="C1573" s="12" t="s">
        <v>1265</v>
      </c>
      <c r="D1573" s="15" t="s">
        <v>2656</v>
      </c>
      <c r="E1573" s="12" t="s">
        <v>68</v>
      </c>
      <c r="F1573" s="13" t="s">
        <v>50</v>
      </c>
      <c r="G1573" s="13" t="s">
        <v>51</v>
      </c>
      <c r="H1573" s="13" t="s">
        <v>329</v>
      </c>
      <c r="I1573" s="13" t="s">
        <v>156</v>
      </c>
      <c r="J1573" s="14">
        <v>54</v>
      </c>
      <c r="K1573" s="17"/>
      <c r="L1573" s="14" t="s">
        <v>626</v>
      </c>
      <c r="M1573" s="14"/>
      <c r="N1573" s="14" t="s">
        <v>170</v>
      </c>
      <c r="O1573" s="17" t="s">
        <v>70</v>
      </c>
      <c r="P1573" s="14"/>
      <c r="Q1573" s="14"/>
      <c r="R1573" s="14"/>
      <c r="S1573" s="14">
        <v>0</v>
      </c>
      <c r="T1573" s="14">
        <v>4082</v>
      </c>
      <c r="U1573" s="19" t="str">
        <f t="shared" si="104"/>
        <v>N/A</v>
      </c>
      <c r="V1573" s="41" t="str">
        <f t="shared" si="107"/>
        <v>N/A</v>
      </c>
      <c r="W1573" s="14"/>
      <c r="X1573" s="14" t="s">
        <v>58</v>
      </c>
      <c r="Y1573" s="14">
        <v>250</v>
      </c>
      <c r="Z1573" s="14" t="s">
        <v>56</v>
      </c>
      <c r="AA1573" s="17"/>
      <c r="AB1573" s="14" t="s">
        <v>57</v>
      </c>
      <c r="AC1573" s="14">
        <v>2005</v>
      </c>
      <c r="AD1573" s="14">
        <v>1</v>
      </c>
      <c r="AE1573" s="14"/>
      <c r="AF1573" s="14"/>
      <c r="AG1573" s="14">
        <v>1970</v>
      </c>
      <c r="AH1573" s="14">
        <f t="shared" si="105"/>
        <v>35</v>
      </c>
      <c r="AI1573" s="17">
        <f t="shared" si="106"/>
        <v>36</v>
      </c>
      <c r="AJ1573" s="14"/>
      <c r="AK1573" s="14" t="s">
        <v>56</v>
      </c>
      <c r="AL1573" s="13" t="s">
        <v>615</v>
      </c>
      <c r="AM1573" s="14">
        <v>2011</v>
      </c>
      <c r="AN1573" s="12" t="s">
        <v>685</v>
      </c>
      <c r="AO1573" s="12" t="s">
        <v>56</v>
      </c>
      <c r="AP1573" s="12"/>
      <c r="AQ1573" s="12" t="s">
        <v>56</v>
      </c>
      <c r="AR1573" s="12" t="s">
        <v>58</v>
      </c>
      <c r="AS1573" s="12" t="s">
        <v>62</v>
      </c>
      <c r="AT1573" s="12"/>
      <c r="AU1573" s="45" t="s">
        <v>2657</v>
      </c>
      <c r="AV1573" s="15"/>
      <c r="AW1573" s="12" t="str">
        <f>B1573&amp;C1573&amp;L1573&amp;M1573&amp;O1573&amp;U1573&amp;AL1573&amp;AM1573</f>
        <v>KenyaMalindi, Watamu, Kisite, Mombasa Marine ParkBalistidaebiomassdenN/AMcClanahan2011</v>
      </c>
    </row>
    <row r="1574" spans="1:49" ht="14.5" x14ac:dyDescent="0.35">
      <c r="A1574" s="12">
        <v>1573</v>
      </c>
      <c r="B1574" s="12" t="s">
        <v>684</v>
      </c>
      <c r="C1574" s="12" t="s">
        <v>1265</v>
      </c>
      <c r="D1574" s="15" t="s">
        <v>2656</v>
      </c>
      <c r="E1574" s="12" t="s">
        <v>68</v>
      </c>
      <c r="F1574" s="13" t="s">
        <v>50</v>
      </c>
      <c r="G1574" s="13" t="s">
        <v>51</v>
      </c>
      <c r="H1574" s="13" t="s">
        <v>329</v>
      </c>
      <c r="I1574" s="13" t="s">
        <v>156</v>
      </c>
      <c r="J1574" s="14">
        <v>54</v>
      </c>
      <c r="K1574" s="17"/>
      <c r="L1574" s="14" t="s">
        <v>693</v>
      </c>
      <c r="M1574" s="14"/>
      <c r="N1574" s="14" t="s">
        <v>170</v>
      </c>
      <c r="O1574" s="17" t="s">
        <v>70</v>
      </c>
      <c r="P1574" s="14"/>
      <c r="Q1574" s="14"/>
      <c r="R1574" s="14"/>
      <c r="S1574" s="14">
        <v>0</v>
      </c>
      <c r="T1574" s="14">
        <v>554</v>
      </c>
      <c r="U1574" s="19" t="str">
        <f t="shared" si="104"/>
        <v>N/A</v>
      </c>
      <c r="V1574" s="41" t="str">
        <f t="shared" si="107"/>
        <v>N/A</v>
      </c>
      <c r="W1574" s="14"/>
      <c r="X1574" s="14" t="s">
        <v>58</v>
      </c>
      <c r="Y1574" s="14">
        <v>250</v>
      </c>
      <c r="Z1574" s="14" t="s">
        <v>56</v>
      </c>
      <c r="AA1574" s="17"/>
      <c r="AB1574" s="14" t="s">
        <v>57</v>
      </c>
      <c r="AC1574" s="14">
        <v>2005</v>
      </c>
      <c r="AD1574" s="14">
        <v>1</v>
      </c>
      <c r="AE1574" s="14"/>
      <c r="AF1574" s="14"/>
      <c r="AG1574" s="14">
        <v>1970</v>
      </c>
      <c r="AH1574" s="14">
        <f t="shared" si="105"/>
        <v>35</v>
      </c>
      <c r="AI1574" s="17">
        <f t="shared" si="106"/>
        <v>36</v>
      </c>
      <c r="AJ1574" s="14"/>
      <c r="AK1574" s="14" t="s">
        <v>56</v>
      </c>
      <c r="AL1574" s="13" t="s">
        <v>615</v>
      </c>
      <c r="AM1574" s="14">
        <v>2011</v>
      </c>
      <c r="AN1574" s="12" t="s">
        <v>685</v>
      </c>
      <c r="AO1574" s="12" t="s">
        <v>56</v>
      </c>
      <c r="AP1574" s="12"/>
      <c r="AQ1574" s="12" t="s">
        <v>56</v>
      </c>
      <c r="AR1574" s="12" t="s">
        <v>58</v>
      </c>
      <c r="AS1574" s="12" t="s">
        <v>62</v>
      </c>
      <c r="AT1574" s="12"/>
      <c r="AU1574" s="45" t="s">
        <v>2657</v>
      </c>
      <c r="AV1574" s="15"/>
      <c r="AW1574" s="12" t="str">
        <f>B1574&amp;C1574&amp;L1574&amp;M1574&amp;O1574&amp;U1574&amp;AL1574&amp;AM1574</f>
        <v>KenyaMalindi, Watamu, Kisite, Mombasa Marine ParkCarangidaebiomassdenN/AMcClanahan2011</v>
      </c>
    </row>
    <row r="1575" spans="1:49" ht="14.5" x14ac:dyDescent="0.35">
      <c r="A1575" s="12">
        <v>1574</v>
      </c>
      <c r="B1575" s="12" t="s">
        <v>684</v>
      </c>
      <c r="C1575" s="12" t="s">
        <v>1265</v>
      </c>
      <c r="D1575" s="15" t="s">
        <v>2656</v>
      </c>
      <c r="E1575" s="12" t="s">
        <v>68</v>
      </c>
      <c r="F1575" s="13" t="s">
        <v>50</v>
      </c>
      <c r="G1575" s="13" t="s">
        <v>51</v>
      </c>
      <c r="H1575" s="13" t="s">
        <v>329</v>
      </c>
      <c r="I1575" s="13" t="s">
        <v>156</v>
      </c>
      <c r="J1575" s="14">
        <v>54</v>
      </c>
      <c r="K1575" s="17"/>
      <c r="L1575" s="14" t="s">
        <v>188</v>
      </c>
      <c r="M1575" s="14"/>
      <c r="N1575" s="14" t="s">
        <v>170</v>
      </c>
      <c r="O1575" s="17" t="s">
        <v>70</v>
      </c>
      <c r="P1575" s="14"/>
      <c r="Q1575" s="14"/>
      <c r="R1575" s="14"/>
      <c r="S1575" s="14">
        <v>870</v>
      </c>
      <c r="T1575" s="14">
        <v>895</v>
      </c>
      <c r="U1575" s="19">
        <f t="shared" si="104"/>
        <v>1.0287356321839081</v>
      </c>
      <c r="V1575" s="41">
        <f t="shared" si="107"/>
        <v>2.8735632183908066</v>
      </c>
      <c r="W1575" s="14"/>
      <c r="X1575" s="14" t="s">
        <v>58</v>
      </c>
      <c r="Y1575" s="14">
        <v>250</v>
      </c>
      <c r="Z1575" s="14" t="s">
        <v>56</v>
      </c>
      <c r="AA1575" s="17"/>
      <c r="AB1575" s="14" t="s">
        <v>57</v>
      </c>
      <c r="AC1575" s="14">
        <v>2005</v>
      </c>
      <c r="AD1575" s="14">
        <v>1</v>
      </c>
      <c r="AE1575" s="14"/>
      <c r="AF1575" s="14"/>
      <c r="AG1575" s="14">
        <v>1970</v>
      </c>
      <c r="AH1575" s="14">
        <f t="shared" si="105"/>
        <v>35</v>
      </c>
      <c r="AI1575" s="17">
        <f t="shared" si="106"/>
        <v>36</v>
      </c>
      <c r="AJ1575" s="14"/>
      <c r="AK1575" s="14" t="s">
        <v>56</v>
      </c>
      <c r="AL1575" s="13" t="s">
        <v>615</v>
      </c>
      <c r="AM1575" s="14">
        <v>2011</v>
      </c>
      <c r="AN1575" s="12" t="s">
        <v>685</v>
      </c>
      <c r="AO1575" s="12" t="s">
        <v>56</v>
      </c>
      <c r="AP1575" s="12"/>
      <c r="AQ1575" s="12" t="s">
        <v>56</v>
      </c>
      <c r="AR1575" s="12" t="s">
        <v>58</v>
      </c>
      <c r="AS1575" s="12" t="s">
        <v>62</v>
      </c>
      <c r="AT1575" s="12"/>
      <c r="AU1575" s="45" t="s">
        <v>2657</v>
      </c>
      <c r="AV1575" s="15"/>
      <c r="AW1575" s="12" t="str">
        <f>B1575&amp;C1575&amp;L1575&amp;M1575&amp;O1575&amp;U1575&amp;AL1575&amp;AM1575</f>
        <v>KenyaMalindi, Watamu, Kisite, Mombasa Marine ParkChaetodontidaebiomassden1.02873563218391McClanahan2011</v>
      </c>
    </row>
    <row r="1576" spans="1:49" ht="14.5" x14ac:dyDescent="0.35">
      <c r="A1576" s="12">
        <v>1575</v>
      </c>
      <c r="B1576" s="12" t="s">
        <v>684</v>
      </c>
      <c r="C1576" s="12" t="s">
        <v>1265</v>
      </c>
      <c r="D1576" s="15" t="s">
        <v>2656</v>
      </c>
      <c r="E1576" s="12" t="s">
        <v>68</v>
      </c>
      <c r="F1576" s="13" t="s">
        <v>50</v>
      </c>
      <c r="G1576" s="13" t="s">
        <v>51</v>
      </c>
      <c r="H1576" s="13" t="s">
        <v>329</v>
      </c>
      <c r="I1576" s="13" t="s">
        <v>156</v>
      </c>
      <c r="J1576" s="14">
        <v>54</v>
      </c>
      <c r="K1576" s="17"/>
      <c r="L1576" s="14" t="s">
        <v>632</v>
      </c>
      <c r="M1576" s="14"/>
      <c r="N1576" s="14" t="s">
        <v>170</v>
      </c>
      <c r="O1576" s="17" t="s">
        <v>70</v>
      </c>
      <c r="P1576" s="14"/>
      <c r="Q1576" s="14"/>
      <c r="R1576" s="14"/>
      <c r="S1576" s="14">
        <v>418</v>
      </c>
      <c r="T1576" s="14">
        <v>4151</v>
      </c>
      <c r="U1576" s="19">
        <f t="shared" si="104"/>
        <v>9.9306220095693778</v>
      </c>
      <c r="V1576" s="41">
        <f t="shared" si="107"/>
        <v>893.06220095693777</v>
      </c>
      <c r="W1576" s="14"/>
      <c r="X1576" s="14" t="s">
        <v>58</v>
      </c>
      <c r="Y1576" s="14">
        <v>250</v>
      </c>
      <c r="Z1576" s="14" t="s">
        <v>56</v>
      </c>
      <c r="AA1576" s="17"/>
      <c r="AB1576" s="14" t="s">
        <v>57</v>
      </c>
      <c r="AC1576" s="14">
        <v>2005</v>
      </c>
      <c r="AD1576" s="14">
        <v>1</v>
      </c>
      <c r="AE1576" s="14"/>
      <c r="AF1576" s="14"/>
      <c r="AG1576" s="14">
        <v>1970</v>
      </c>
      <c r="AH1576" s="14">
        <f t="shared" si="105"/>
        <v>35</v>
      </c>
      <c r="AI1576" s="17">
        <f t="shared" si="106"/>
        <v>36</v>
      </c>
      <c r="AJ1576" s="14"/>
      <c r="AK1576" s="14" t="s">
        <v>56</v>
      </c>
      <c r="AL1576" s="13" t="s">
        <v>615</v>
      </c>
      <c r="AM1576" s="14">
        <v>2011</v>
      </c>
      <c r="AN1576" s="12" t="s">
        <v>685</v>
      </c>
      <c r="AO1576" s="12" t="s">
        <v>56</v>
      </c>
      <c r="AP1576" s="12"/>
      <c r="AQ1576" s="12" t="s">
        <v>56</v>
      </c>
      <c r="AR1576" s="12" t="s">
        <v>58</v>
      </c>
      <c r="AS1576" s="12" t="s">
        <v>62</v>
      </c>
      <c r="AT1576" s="12"/>
      <c r="AU1576" s="45" t="s">
        <v>2657</v>
      </c>
      <c r="AV1576" s="15"/>
      <c r="AW1576" s="12" t="str">
        <f>B1576&amp;C1576&amp;L1576&amp;M1576&amp;O1576&amp;U1576&amp;AL1576&amp;AM1576</f>
        <v>KenyaMalindi, Watamu, Kisite, Mombasa Marine ParkDiodontidaebiomassden9.93062200956938McClanahan2011</v>
      </c>
    </row>
    <row r="1577" spans="1:49" ht="14.5" x14ac:dyDescent="0.35">
      <c r="A1577" s="12">
        <v>1576</v>
      </c>
      <c r="B1577" s="12" t="s">
        <v>684</v>
      </c>
      <c r="C1577" s="12" t="s">
        <v>1265</v>
      </c>
      <c r="D1577" s="15" t="s">
        <v>2656</v>
      </c>
      <c r="E1577" s="12" t="s">
        <v>68</v>
      </c>
      <c r="F1577" s="13" t="s">
        <v>50</v>
      </c>
      <c r="G1577" s="13" t="s">
        <v>51</v>
      </c>
      <c r="H1577" s="13" t="s">
        <v>329</v>
      </c>
      <c r="I1577" s="13" t="s">
        <v>156</v>
      </c>
      <c r="J1577" s="14">
        <v>54</v>
      </c>
      <c r="K1577" s="17"/>
      <c r="L1577" s="14" t="s">
        <v>694</v>
      </c>
      <c r="M1577" s="14"/>
      <c r="N1577" s="14" t="s">
        <v>170</v>
      </c>
      <c r="O1577" s="17" t="s">
        <v>70</v>
      </c>
      <c r="P1577" s="14"/>
      <c r="Q1577" s="14"/>
      <c r="R1577" s="14"/>
      <c r="S1577" s="14">
        <v>39</v>
      </c>
      <c r="T1577" s="14">
        <v>223</v>
      </c>
      <c r="U1577" s="19">
        <f t="shared" si="104"/>
        <v>5.7179487179487181</v>
      </c>
      <c r="V1577" s="41">
        <f t="shared" si="107"/>
        <v>471.79487179487182</v>
      </c>
      <c r="W1577" s="14"/>
      <c r="X1577" s="14" t="s">
        <v>58</v>
      </c>
      <c r="Y1577" s="14">
        <v>250</v>
      </c>
      <c r="Z1577" s="14" t="s">
        <v>56</v>
      </c>
      <c r="AA1577" s="17"/>
      <c r="AB1577" s="14" t="s">
        <v>57</v>
      </c>
      <c r="AC1577" s="14">
        <v>2005</v>
      </c>
      <c r="AD1577" s="14">
        <v>1</v>
      </c>
      <c r="AE1577" s="14"/>
      <c r="AF1577" s="14"/>
      <c r="AG1577" s="14">
        <v>1970</v>
      </c>
      <c r="AH1577" s="14">
        <f t="shared" si="105"/>
        <v>35</v>
      </c>
      <c r="AI1577" s="17">
        <f t="shared" si="106"/>
        <v>36</v>
      </c>
      <c r="AJ1577" s="14"/>
      <c r="AK1577" s="14" t="s">
        <v>56</v>
      </c>
      <c r="AL1577" s="13" t="s">
        <v>615</v>
      </c>
      <c r="AM1577" s="14">
        <v>2011</v>
      </c>
      <c r="AN1577" s="12" t="s">
        <v>685</v>
      </c>
      <c r="AO1577" s="12" t="s">
        <v>56</v>
      </c>
      <c r="AP1577" s="12"/>
      <c r="AQ1577" s="12" t="s">
        <v>56</v>
      </c>
      <c r="AR1577" s="12" t="s">
        <v>58</v>
      </c>
      <c r="AS1577" s="12" t="s">
        <v>62</v>
      </c>
      <c r="AT1577" s="12"/>
      <c r="AU1577" s="45" t="s">
        <v>2657</v>
      </c>
      <c r="AV1577" s="15"/>
      <c r="AW1577" s="12" t="str">
        <f>B1577&amp;C1577&amp;L1577&amp;M1577&amp;O1577&amp;U1577&amp;AL1577&amp;AM1577</f>
        <v>KenyaMalindi, Watamu, Kisite, Mombasa Marine ParkFistularidaebiomassden5.71794871794872McClanahan2011</v>
      </c>
    </row>
    <row r="1578" spans="1:49" ht="14.5" x14ac:dyDescent="0.35">
      <c r="A1578" s="12">
        <v>1577</v>
      </c>
      <c r="B1578" s="12" t="s">
        <v>684</v>
      </c>
      <c r="C1578" s="12" t="s">
        <v>1265</v>
      </c>
      <c r="D1578" s="15" t="s">
        <v>2656</v>
      </c>
      <c r="E1578" s="12" t="s">
        <v>68</v>
      </c>
      <c r="F1578" s="13" t="s">
        <v>50</v>
      </c>
      <c r="G1578" s="13" t="s">
        <v>51</v>
      </c>
      <c r="H1578" s="13" t="s">
        <v>329</v>
      </c>
      <c r="I1578" s="13" t="s">
        <v>156</v>
      </c>
      <c r="J1578" s="14">
        <v>54</v>
      </c>
      <c r="K1578" s="14"/>
      <c r="L1578" s="14" t="s">
        <v>695</v>
      </c>
      <c r="M1578" s="14"/>
      <c r="N1578" s="14" t="s">
        <v>170</v>
      </c>
      <c r="O1578" s="17" t="s">
        <v>70</v>
      </c>
      <c r="P1578" s="14"/>
      <c r="Q1578" s="14"/>
      <c r="R1578" s="14"/>
      <c r="S1578" s="14">
        <v>0</v>
      </c>
      <c r="T1578" s="14">
        <v>13658</v>
      </c>
      <c r="U1578" s="19" t="str">
        <f t="shared" si="104"/>
        <v>N/A</v>
      </c>
      <c r="V1578" s="41" t="str">
        <f t="shared" si="107"/>
        <v>N/A</v>
      </c>
      <c r="W1578" s="14"/>
      <c r="X1578" s="14" t="s">
        <v>58</v>
      </c>
      <c r="Y1578" s="14">
        <v>250</v>
      </c>
      <c r="Z1578" s="14" t="s">
        <v>56</v>
      </c>
      <c r="AA1578" s="17"/>
      <c r="AB1578" s="14" t="s">
        <v>57</v>
      </c>
      <c r="AC1578" s="14">
        <v>2005</v>
      </c>
      <c r="AD1578" s="14">
        <v>1</v>
      </c>
      <c r="AE1578" s="14"/>
      <c r="AF1578" s="14"/>
      <c r="AG1578" s="14">
        <v>1970</v>
      </c>
      <c r="AH1578" s="14">
        <f t="shared" si="105"/>
        <v>35</v>
      </c>
      <c r="AI1578" s="17">
        <f t="shared" si="106"/>
        <v>36</v>
      </c>
      <c r="AJ1578" s="14"/>
      <c r="AK1578" s="14" t="s">
        <v>56</v>
      </c>
      <c r="AL1578" s="13" t="s">
        <v>615</v>
      </c>
      <c r="AM1578" s="14">
        <v>2011</v>
      </c>
      <c r="AN1578" s="12" t="s">
        <v>685</v>
      </c>
      <c r="AO1578" s="12" t="s">
        <v>56</v>
      </c>
      <c r="AP1578" s="12"/>
      <c r="AQ1578" s="12" t="s">
        <v>56</v>
      </c>
      <c r="AR1578" s="12" t="s">
        <v>58</v>
      </c>
      <c r="AS1578" s="12" t="s">
        <v>62</v>
      </c>
      <c r="AT1578" s="12"/>
      <c r="AU1578" s="45" t="s">
        <v>2657</v>
      </c>
      <c r="AV1578" s="15"/>
      <c r="AW1578" s="12" t="str">
        <f>B1578&amp;C1578&amp;L1578&amp;M1578&amp;O1578&amp;U1578&amp;AL1578&amp;AM1578</f>
        <v>KenyaMalindi, Watamu, Kisite, Mombasa Marine ParkHaemulidaebiomassdenN/AMcClanahan2011</v>
      </c>
    </row>
    <row r="1579" spans="1:49" ht="14.5" x14ac:dyDescent="0.35">
      <c r="A1579" s="12">
        <v>1578</v>
      </c>
      <c r="B1579" s="12" t="s">
        <v>684</v>
      </c>
      <c r="C1579" s="12" t="s">
        <v>1265</v>
      </c>
      <c r="D1579" s="12" t="s">
        <v>2656</v>
      </c>
      <c r="E1579" s="12" t="s">
        <v>68</v>
      </c>
      <c r="F1579" s="13" t="s">
        <v>50</v>
      </c>
      <c r="G1579" s="13" t="s">
        <v>51</v>
      </c>
      <c r="H1579" s="13" t="s">
        <v>329</v>
      </c>
      <c r="I1579" s="13" t="s">
        <v>156</v>
      </c>
      <c r="J1579" s="14">
        <v>54</v>
      </c>
      <c r="K1579" s="14"/>
      <c r="L1579" s="14" t="s">
        <v>696</v>
      </c>
      <c r="M1579" s="14"/>
      <c r="N1579" s="14" t="s">
        <v>170</v>
      </c>
      <c r="O1579" s="17" t="s">
        <v>70</v>
      </c>
      <c r="P1579" s="14"/>
      <c r="Q1579" s="14"/>
      <c r="R1579" s="14"/>
      <c r="S1579" s="14">
        <v>222</v>
      </c>
      <c r="T1579" s="14">
        <v>4540</v>
      </c>
      <c r="U1579" s="19">
        <f t="shared" si="104"/>
        <v>20.45045045045045</v>
      </c>
      <c r="V1579" s="41">
        <f t="shared" si="107"/>
        <v>1945.0450450450451</v>
      </c>
      <c r="W1579" s="14"/>
      <c r="X1579" s="14" t="s">
        <v>58</v>
      </c>
      <c r="Y1579" s="14">
        <v>250</v>
      </c>
      <c r="Z1579" s="14" t="s">
        <v>56</v>
      </c>
      <c r="AA1579" s="17"/>
      <c r="AB1579" s="14" t="s">
        <v>57</v>
      </c>
      <c r="AC1579" s="14">
        <v>2005</v>
      </c>
      <c r="AD1579" s="14">
        <v>1</v>
      </c>
      <c r="AE1579" s="14"/>
      <c r="AF1579" s="14"/>
      <c r="AG1579" s="14">
        <v>1970</v>
      </c>
      <c r="AH1579" s="14">
        <f t="shared" si="105"/>
        <v>35</v>
      </c>
      <c r="AI1579" s="17">
        <f t="shared" si="106"/>
        <v>36</v>
      </c>
      <c r="AJ1579" s="14"/>
      <c r="AK1579" s="14" t="s">
        <v>56</v>
      </c>
      <c r="AL1579" s="13" t="s">
        <v>615</v>
      </c>
      <c r="AM1579" s="14">
        <v>2011</v>
      </c>
      <c r="AN1579" s="12" t="s">
        <v>685</v>
      </c>
      <c r="AO1579" s="12" t="s">
        <v>56</v>
      </c>
      <c r="AP1579" s="12"/>
      <c r="AQ1579" s="12" t="s">
        <v>56</v>
      </c>
      <c r="AR1579" s="12" t="s">
        <v>58</v>
      </c>
      <c r="AS1579" s="12" t="s">
        <v>62</v>
      </c>
      <c r="AT1579" s="12"/>
      <c r="AU1579" s="45" t="s">
        <v>2657</v>
      </c>
      <c r="AV1579" s="15"/>
      <c r="AW1579" s="12" t="str">
        <f>B1579&amp;C1579&amp;L1579&amp;M1579&amp;O1579&amp;U1579&amp;AL1579&amp;AM1579</f>
        <v>KenyaMalindi, Watamu, Kisite, Mombasa Marine ParkHolocentridaebiomassden20.4504504504505McClanahan2011</v>
      </c>
    </row>
    <row r="1580" spans="1:49" ht="14.5" x14ac:dyDescent="0.35">
      <c r="A1580" s="12">
        <v>1579</v>
      </c>
      <c r="B1580" s="12" t="s">
        <v>684</v>
      </c>
      <c r="C1580" s="12" t="s">
        <v>1265</v>
      </c>
      <c r="D1580" s="12" t="s">
        <v>2656</v>
      </c>
      <c r="E1580" s="12" t="s">
        <v>68</v>
      </c>
      <c r="F1580" s="13" t="s">
        <v>50</v>
      </c>
      <c r="G1580" s="13" t="s">
        <v>51</v>
      </c>
      <c r="H1580" s="13" t="s">
        <v>329</v>
      </c>
      <c r="I1580" s="13" t="s">
        <v>156</v>
      </c>
      <c r="J1580" s="14">
        <v>54</v>
      </c>
      <c r="K1580" s="14"/>
      <c r="L1580" s="14" t="s">
        <v>265</v>
      </c>
      <c r="M1580" s="14"/>
      <c r="N1580" s="14" t="s">
        <v>170</v>
      </c>
      <c r="O1580" s="17" t="s">
        <v>70</v>
      </c>
      <c r="P1580" s="14"/>
      <c r="Q1580" s="14"/>
      <c r="R1580" s="14"/>
      <c r="S1580" s="14">
        <v>3075</v>
      </c>
      <c r="T1580" s="14">
        <v>20943</v>
      </c>
      <c r="U1580" s="19">
        <f t="shared" si="104"/>
        <v>6.810731707317073</v>
      </c>
      <c r="V1580" s="41">
        <f t="shared" si="107"/>
        <v>581.07317073170725</v>
      </c>
      <c r="W1580" s="14"/>
      <c r="X1580" s="14" t="s">
        <v>58</v>
      </c>
      <c r="Y1580" s="14">
        <v>250</v>
      </c>
      <c r="Z1580" s="14" t="s">
        <v>56</v>
      </c>
      <c r="AA1580" s="17"/>
      <c r="AB1580" s="14" t="s">
        <v>57</v>
      </c>
      <c r="AC1580" s="14">
        <v>2005</v>
      </c>
      <c r="AD1580" s="14">
        <v>1</v>
      </c>
      <c r="AE1580" s="14"/>
      <c r="AF1580" s="14"/>
      <c r="AG1580" s="14">
        <v>1970</v>
      </c>
      <c r="AH1580" s="14">
        <f t="shared" si="105"/>
        <v>35</v>
      </c>
      <c r="AI1580" s="17">
        <f t="shared" si="106"/>
        <v>36</v>
      </c>
      <c r="AJ1580" s="14"/>
      <c r="AK1580" s="14" t="s">
        <v>56</v>
      </c>
      <c r="AL1580" s="13" t="s">
        <v>615</v>
      </c>
      <c r="AM1580" s="14">
        <v>2011</v>
      </c>
      <c r="AN1580" s="12" t="s">
        <v>685</v>
      </c>
      <c r="AO1580" s="12" t="s">
        <v>56</v>
      </c>
      <c r="AP1580" s="12"/>
      <c r="AQ1580" s="12" t="s">
        <v>56</v>
      </c>
      <c r="AR1580" s="12" t="s">
        <v>58</v>
      </c>
      <c r="AS1580" s="12" t="s">
        <v>62</v>
      </c>
      <c r="AT1580" s="12"/>
      <c r="AU1580" s="45" t="s">
        <v>2657</v>
      </c>
      <c r="AV1580" s="15"/>
      <c r="AW1580" s="12" t="str">
        <f>B1580&amp;C1580&amp;L1580&amp;M1580&amp;O1580&amp;U1580&amp;AL1580&amp;AM1580</f>
        <v>KenyaMalindi, Watamu, Kisite, Mombasa Marine ParkLabridaebiomassden6.81073170731707McClanahan2011</v>
      </c>
    </row>
    <row r="1581" spans="1:49" ht="14.5" x14ac:dyDescent="0.35">
      <c r="A1581" s="12">
        <v>1580</v>
      </c>
      <c r="B1581" s="15" t="s">
        <v>684</v>
      </c>
      <c r="C1581" s="12" t="s">
        <v>1265</v>
      </c>
      <c r="D1581" s="12" t="s">
        <v>2656</v>
      </c>
      <c r="E1581" s="15" t="s">
        <v>68</v>
      </c>
      <c r="F1581" s="16" t="s">
        <v>50</v>
      </c>
      <c r="G1581" s="16" t="s">
        <v>51</v>
      </c>
      <c r="H1581" s="16" t="s">
        <v>329</v>
      </c>
      <c r="I1581" s="16" t="s">
        <v>156</v>
      </c>
      <c r="J1581" s="14">
        <v>54</v>
      </c>
      <c r="K1581" s="17"/>
      <c r="L1581" s="17" t="s">
        <v>697</v>
      </c>
      <c r="M1581" s="17"/>
      <c r="N1581" s="17" t="s">
        <v>170</v>
      </c>
      <c r="O1581" s="17" t="s">
        <v>70</v>
      </c>
      <c r="P1581" s="17"/>
      <c r="Q1581" s="17"/>
      <c r="R1581" s="17"/>
      <c r="S1581" s="17">
        <v>80</v>
      </c>
      <c r="T1581" s="17">
        <v>291</v>
      </c>
      <c r="U1581" s="20">
        <f t="shared" si="104"/>
        <v>3.6375000000000002</v>
      </c>
      <c r="V1581" s="41">
        <f t="shared" si="107"/>
        <v>263.75</v>
      </c>
      <c r="W1581" s="17"/>
      <c r="X1581" s="17" t="s">
        <v>58</v>
      </c>
      <c r="Y1581" s="14">
        <v>250</v>
      </c>
      <c r="Z1581" s="17" t="s">
        <v>56</v>
      </c>
      <c r="AA1581" s="17"/>
      <c r="AB1581" s="17" t="s">
        <v>57</v>
      </c>
      <c r="AC1581" s="17">
        <v>2005</v>
      </c>
      <c r="AD1581" s="17">
        <v>1</v>
      </c>
      <c r="AE1581" s="17"/>
      <c r="AF1581" s="17"/>
      <c r="AG1581" s="17">
        <v>1970</v>
      </c>
      <c r="AH1581" s="14">
        <f t="shared" si="105"/>
        <v>35</v>
      </c>
      <c r="AI1581" s="17">
        <f t="shared" si="106"/>
        <v>36</v>
      </c>
      <c r="AJ1581" s="17"/>
      <c r="AK1581" s="17" t="s">
        <v>56</v>
      </c>
      <c r="AL1581" s="16" t="s">
        <v>615</v>
      </c>
      <c r="AM1581" s="17">
        <v>2011</v>
      </c>
      <c r="AN1581" s="15" t="s">
        <v>685</v>
      </c>
      <c r="AO1581" s="15" t="s">
        <v>56</v>
      </c>
      <c r="AP1581" s="15"/>
      <c r="AQ1581" s="15" t="s">
        <v>56</v>
      </c>
      <c r="AR1581" s="15" t="s">
        <v>58</v>
      </c>
      <c r="AS1581" s="15" t="s">
        <v>62</v>
      </c>
      <c r="AT1581" s="15"/>
      <c r="AU1581" s="45" t="s">
        <v>2657</v>
      </c>
      <c r="AV1581" s="15"/>
      <c r="AW1581" s="12" t="str">
        <f>B1581&amp;C1581&amp;L1581&amp;M1581&amp;O1581&amp;U1581&amp;AL1581&amp;AM1581</f>
        <v>KenyaMalindi, Watamu, Kisite, Mombasa Marine ParkLethrinidaebiomassden3.6375McClanahan2011</v>
      </c>
    </row>
    <row r="1582" spans="1:49" ht="14.5" x14ac:dyDescent="0.35">
      <c r="A1582" s="12">
        <v>1581</v>
      </c>
      <c r="B1582" s="15" t="s">
        <v>684</v>
      </c>
      <c r="C1582" s="15" t="s">
        <v>1265</v>
      </c>
      <c r="D1582" s="15" t="s">
        <v>2656</v>
      </c>
      <c r="E1582" s="15" t="s">
        <v>68</v>
      </c>
      <c r="F1582" s="16" t="s">
        <v>50</v>
      </c>
      <c r="G1582" s="16" t="s">
        <v>51</v>
      </c>
      <c r="H1582" s="16" t="s">
        <v>329</v>
      </c>
      <c r="I1582" s="16" t="s">
        <v>156</v>
      </c>
      <c r="J1582" s="17">
        <v>54</v>
      </c>
      <c r="K1582" s="17"/>
      <c r="L1582" s="17" t="s">
        <v>627</v>
      </c>
      <c r="M1582" s="17"/>
      <c r="N1582" s="17" t="s">
        <v>170</v>
      </c>
      <c r="O1582" s="17" t="s">
        <v>70</v>
      </c>
      <c r="P1582" s="17"/>
      <c r="Q1582" s="17"/>
      <c r="R1582" s="17"/>
      <c r="S1582" s="17">
        <v>365</v>
      </c>
      <c r="T1582" s="17">
        <v>2957</v>
      </c>
      <c r="U1582" s="20">
        <f t="shared" si="104"/>
        <v>8.1013698630136979</v>
      </c>
      <c r="V1582" s="41">
        <f t="shared" si="107"/>
        <v>710.1369863013698</v>
      </c>
      <c r="W1582" s="17"/>
      <c r="X1582" s="17" t="s">
        <v>58</v>
      </c>
      <c r="Y1582" s="14">
        <v>250</v>
      </c>
      <c r="Z1582" s="17" t="s">
        <v>56</v>
      </c>
      <c r="AA1582" s="17"/>
      <c r="AB1582" s="17" t="s">
        <v>57</v>
      </c>
      <c r="AC1582" s="17">
        <v>2005</v>
      </c>
      <c r="AD1582" s="17">
        <v>1</v>
      </c>
      <c r="AE1582" s="17"/>
      <c r="AF1582" s="17"/>
      <c r="AG1582" s="17">
        <v>1970</v>
      </c>
      <c r="AH1582" s="14">
        <f t="shared" si="105"/>
        <v>35</v>
      </c>
      <c r="AI1582" s="17">
        <f t="shared" si="106"/>
        <v>36</v>
      </c>
      <c r="AJ1582" s="17"/>
      <c r="AK1582" s="17" t="s">
        <v>56</v>
      </c>
      <c r="AL1582" s="16" t="s">
        <v>615</v>
      </c>
      <c r="AM1582" s="17">
        <v>2011</v>
      </c>
      <c r="AN1582" s="15" t="s">
        <v>685</v>
      </c>
      <c r="AO1582" s="15" t="s">
        <v>56</v>
      </c>
      <c r="AP1582" s="15"/>
      <c r="AQ1582" s="15" t="s">
        <v>56</v>
      </c>
      <c r="AR1582" s="15" t="s">
        <v>58</v>
      </c>
      <c r="AS1582" s="15" t="s">
        <v>62</v>
      </c>
      <c r="AT1582" s="15"/>
      <c r="AU1582" s="45" t="s">
        <v>2657</v>
      </c>
      <c r="AV1582" s="15"/>
      <c r="AW1582" s="12" t="str">
        <f>B1582&amp;C1582&amp;L1582&amp;M1582&amp;O1582&amp;U1582&amp;AL1582&amp;AM1582</f>
        <v>KenyaMalindi, Watamu, Kisite, Mombasa Marine ParkLutjanidaebiomassden8.1013698630137McClanahan2011</v>
      </c>
    </row>
    <row r="1583" spans="1:49" ht="14.5" x14ac:dyDescent="0.35">
      <c r="A1583" s="12">
        <v>1582</v>
      </c>
      <c r="B1583" s="15" t="s">
        <v>684</v>
      </c>
      <c r="C1583" s="12" t="s">
        <v>1265</v>
      </c>
      <c r="D1583" s="12" t="s">
        <v>2656</v>
      </c>
      <c r="E1583" s="15" t="s">
        <v>68</v>
      </c>
      <c r="F1583" s="16" t="s">
        <v>50</v>
      </c>
      <c r="G1583" s="16" t="s">
        <v>51</v>
      </c>
      <c r="H1583" s="16" t="s">
        <v>329</v>
      </c>
      <c r="I1583" s="16" t="s">
        <v>156</v>
      </c>
      <c r="J1583" s="14">
        <v>54</v>
      </c>
      <c r="K1583" s="17"/>
      <c r="L1583" s="17" t="s">
        <v>168</v>
      </c>
      <c r="M1583" s="17"/>
      <c r="N1583" s="17" t="s">
        <v>170</v>
      </c>
      <c r="O1583" s="17" t="s">
        <v>70</v>
      </c>
      <c r="P1583" s="17"/>
      <c r="Q1583" s="17"/>
      <c r="R1583" s="17"/>
      <c r="S1583" s="17">
        <v>346</v>
      </c>
      <c r="T1583" s="17">
        <v>1078</v>
      </c>
      <c r="U1583" s="20">
        <f t="shared" si="104"/>
        <v>3.1156069364161851</v>
      </c>
      <c r="V1583" s="41">
        <f t="shared" si="107"/>
        <v>211.56069364161851</v>
      </c>
      <c r="W1583" s="17"/>
      <c r="X1583" s="17" t="s">
        <v>58</v>
      </c>
      <c r="Y1583" s="14">
        <v>250</v>
      </c>
      <c r="Z1583" s="17" t="s">
        <v>56</v>
      </c>
      <c r="AA1583" s="17"/>
      <c r="AB1583" s="17" t="s">
        <v>57</v>
      </c>
      <c r="AC1583" s="17">
        <v>2005</v>
      </c>
      <c r="AD1583" s="17">
        <v>1</v>
      </c>
      <c r="AE1583" s="17"/>
      <c r="AF1583" s="17"/>
      <c r="AG1583" s="17">
        <v>1970</v>
      </c>
      <c r="AH1583" s="14">
        <f t="shared" si="105"/>
        <v>35</v>
      </c>
      <c r="AI1583" s="17">
        <f t="shared" si="106"/>
        <v>36</v>
      </c>
      <c r="AJ1583" s="17"/>
      <c r="AK1583" s="17" t="s">
        <v>56</v>
      </c>
      <c r="AL1583" s="16" t="s">
        <v>615</v>
      </c>
      <c r="AM1583" s="17">
        <v>2011</v>
      </c>
      <c r="AN1583" s="15" t="s">
        <v>685</v>
      </c>
      <c r="AO1583" s="15" t="s">
        <v>56</v>
      </c>
      <c r="AP1583" s="15"/>
      <c r="AQ1583" s="15" t="s">
        <v>56</v>
      </c>
      <c r="AR1583" s="15" t="s">
        <v>58</v>
      </c>
      <c r="AS1583" s="15" t="s">
        <v>62</v>
      </c>
      <c r="AT1583" s="15"/>
      <c r="AU1583" s="45" t="s">
        <v>2657</v>
      </c>
      <c r="AV1583" s="15"/>
      <c r="AW1583" s="12" t="str">
        <f>B1583&amp;C1583&amp;L1583&amp;M1583&amp;O1583&amp;U1583&amp;AL1583&amp;AM1583</f>
        <v>KenyaMalindi, Watamu, Kisite, Mombasa Marine ParkMullidaebiomassden3.11560693641619McClanahan2011</v>
      </c>
    </row>
    <row r="1584" spans="1:49" ht="14.5" x14ac:dyDescent="0.35">
      <c r="A1584" s="12">
        <v>1583</v>
      </c>
      <c r="B1584" s="15" t="s">
        <v>684</v>
      </c>
      <c r="C1584" s="12" t="s">
        <v>1265</v>
      </c>
      <c r="D1584" s="12" t="s">
        <v>2656</v>
      </c>
      <c r="E1584" s="15" t="s">
        <v>68</v>
      </c>
      <c r="F1584" s="16" t="s">
        <v>50</v>
      </c>
      <c r="G1584" s="16" t="s">
        <v>51</v>
      </c>
      <c r="H1584" s="16" t="s">
        <v>329</v>
      </c>
      <c r="I1584" s="16" t="s">
        <v>156</v>
      </c>
      <c r="J1584" s="14">
        <v>54</v>
      </c>
      <c r="K1584" s="17"/>
      <c r="L1584" s="17" t="s">
        <v>698</v>
      </c>
      <c r="M1584" s="17"/>
      <c r="N1584" s="17" t="s">
        <v>170</v>
      </c>
      <c r="O1584" s="17" t="s">
        <v>70</v>
      </c>
      <c r="P1584" s="17"/>
      <c r="Q1584" s="17"/>
      <c r="R1584" s="17"/>
      <c r="S1584" s="17">
        <v>138</v>
      </c>
      <c r="T1584" s="17">
        <v>886</v>
      </c>
      <c r="U1584" s="20">
        <f t="shared" si="104"/>
        <v>6.4202898550724639</v>
      </c>
      <c r="V1584" s="41">
        <f t="shared" si="107"/>
        <v>542.02898550724638</v>
      </c>
      <c r="W1584" s="17"/>
      <c r="X1584" s="17" t="s">
        <v>58</v>
      </c>
      <c r="Y1584" s="14">
        <v>250</v>
      </c>
      <c r="Z1584" s="17" t="s">
        <v>56</v>
      </c>
      <c r="AA1584" s="17"/>
      <c r="AB1584" s="17" t="s">
        <v>57</v>
      </c>
      <c r="AC1584" s="17">
        <v>2005</v>
      </c>
      <c r="AD1584" s="17">
        <v>1</v>
      </c>
      <c r="AE1584" s="17"/>
      <c r="AF1584" s="17"/>
      <c r="AG1584" s="17">
        <v>1970</v>
      </c>
      <c r="AH1584" s="14">
        <f t="shared" si="105"/>
        <v>35</v>
      </c>
      <c r="AI1584" s="17">
        <f t="shared" si="106"/>
        <v>36</v>
      </c>
      <c r="AJ1584" s="17"/>
      <c r="AK1584" s="17" t="s">
        <v>56</v>
      </c>
      <c r="AL1584" s="16" t="s">
        <v>615</v>
      </c>
      <c r="AM1584" s="17">
        <v>2011</v>
      </c>
      <c r="AN1584" s="15" t="s">
        <v>685</v>
      </c>
      <c r="AO1584" s="15" t="s">
        <v>56</v>
      </c>
      <c r="AP1584" s="15"/>
      <c r="AQ1584" s="15" t="s">
        <v>56</v>
      </c>
      <c r="AR1584" s="15" t="s">
        <v>58</v>
      </c>
      <c r="AS1584" s="15" t="s">
        <v>62</v>
      </c>
      <c r="AT1584" s="15"/>
      <c r="AU1584" s="45" t="s">
        <v>2657</v>
      </c>
      <c r="AV1584" s="15"/>
      <c r="AW1584" s="12" t="str">
        <f>B1584&amp;C1584&amp;L1584&amp;M1584&amp;O1584&amp;U1584&amp;AL1584&amp;AM1584</f>
        <v>KenyaMalindi, Watamu, Kisite, Mombasa Marine ParkMuraenidaebiomassden6.42028985507246McClanahan2011</v>
      </c>
    </row>
    <row r="1585" spans="1:49" ht="14.5" x14ac:dyDescent="0.35">
      <c r="A1585" s="12">
        <v>1584</v>
      </c>
      <c r="B1585" s="15" t="s">
        <v>684</v>
      </c>
      <c r="C1585" s="12" t="s">
        <v>1265</v>
      </c>
      <c r="D1585" s="12" t="s">
        <v>2656</v>
      </c>
      <c r="E1585" s="15" t="s">
        <v>68</v>
      </c>
      <c r="F1585" s="16" t="s">
        <v>50</v>
      </c>
      <c r="G1585" s="16" t="s">
        <v>51</v>
      </c>
      <c r="H1585" s="16" t="s">
        <v>329</v>
      </c>
      <c r="I1585" s="16" t="s">
        <v>156</v>
      </c>
      <c r="J1585" s="14">
        <v>54</v>
      </c>
      <c r="K1585" s="17"/>
      <c r="L1585" s="17" t="s">
        <v>699</v>
      </c>
      <c r="M1585" s="17"/>
      <c r="N1585" s="17" t="s">
        <v>170</v>
      </c>
      <c r="O1585" s="17" t="s">
        <v>70</v>
      </c>
      <c r="P1585" s="17"/>
      <c r="Q1585" s="17"/>
      <c r="R1585" s="17"/>
      <c r="S1585" s="17">
        <v>16</v>
      </c>
      <c r="T1585" s="17">
        <v>1686</v>
      </c>
      <c r="U1585" s="20">
        <f t="shared" si="104"/>
        <v>105.375</v>
      </c>
      <c r="V1585" s="41">
        <f t="shared" si="107"/>
        <v>10437.5</v>
      </c>
      <c r="W1585" s="17"/>
      <c r="X1585" s="17" t="s">
        <v>58</v>
      </c>
      <c r="Y1585" s="14">
        <v>250</v>
      </c>
      <c r="Z1585" s="17" t="s">
        <v>56</v>
      </c>
      <c r="AA1585" s="17"/>
      <c r="AB1585" s="17" t="s">
        <v>57</v>
      </c>
      <c r="AC1585" s="17">
        <v>2005</v>
      </c>
      <c r="AD1585" s="17">
        <v>1</v>
      </c>
      <c r="AE1585" s="17"/>
      <c r="AF1585" s="17"/>
      <c r="AG1585" s="17">
        <v>1970</v>
      </c>
      <c r="AH1585" s="14">
        <f t="shared" si="105"/>
        <v>35</v>
      </c>
      <c r="AI1585" s="17">
        <f t="shared" si="106"/>
        <v>36</v>
      </c>
      <c r="AJ1585" s="17"/>
      <c r="AK1585" s="17" t="s">
        <v>56</v>
      </c>
      <c r="AL1585" s="16" t="s">
        <v>615</v>
      </c>
      <c r="AM1585" s="17">
        <v>2011</v>
      </c>
      <c r="AN1585" s="15" t="s">
        <v>685</v>
      </c>
      <c r="AO1585" s="15" t="s">
        <v>56</v>
      </c>
      <c r="AP1585" s="15"/>
      <c r="AQ1585" s="15" t="s">
        <v>56</v>
      </c>
      <c r="AR1585" s="15" t="s">
        <v>58</v>
      </c>
      <c r="AS1585" s="15" t="s">
        <v>62</v>
      </c>
      <c r="AT1585" s="15"/>
      <c r="AU1585" s="45" t="s">
        <v>2849</v>
      </c>
      <c r="AV1585" s="15"/>
      <c r="AW1585" s="12" t="str">
        <f>B1585&amp;C1585&amp;L1585&amp;M1585&amp;O1585&amp;U1585&amp;AL1585&amp;AM1585</f>
        <v>KenyaMalindi, Watamu, Kisite, Mombasa Marine ParkPempheridaebiomassden105.375McClanahan2011</v>
      </c>
    </row>
    <row r="1586" spans="1:49" ht="14.5" x14ac:dyDescent="0.35">
      <c r="A1586" s="12">
        <v>1585</v>
      </c>
      <c r="B1586" s="15" t="s">
        <v>684</v>
      </c>
      <c r="C1586" s="12" t="s">
        <v>1265</v>
      </c>
      <c r="D1586" s="12" t="s">
        <v>2656</v>
      </c>
      <c r="E1586" s="15" t="s">
        <v>68</v>
      </c>
      <c r="F1586" s="16" t="s">
        <v>50</v>
      </c>
      <c r="G1586" s="16" t="s">
        <v>51</v>
      </c>
      <c r="H1586" s="16" t="s">
        <v>329</v>
      </c>
      <c r="I1586" s="16" t="s">
        <v>156</v>
      </c>
      <c r="J1586" s="14">
        <v>54</v>
      </c>
      <c r="K1586" s="17"/>
      <c r="L1586" s="17" t="s">
        <v>700</v>
      </c>
      <c r="M1586" s="17"/>
      <c r="N1586" s="17" t="s">
        <v>170</v>
      </c>
      <c r="O1586" s="17" t="s">
        <v>70</v>
      </c>
      <c r="P1586" s="17"/>
      <c r="Q1586" s="17"/>
      <c r="R1586" s="17"/>
      <c r="S1586" s="17">
        <v>9</v>
      </c>
      <c r="T1586" s="17">
        <v>223</v>
      </c>
      <c r="U1586" s="20">
        <f t="shared" si="104"/>
        <v>24.777777777777779</v>
      </c>
      <c r="V1586" s="41">
        <f t="shared" si="107"/>
        <v>2377.7777777777778</v>
      </c>
      <c r="W1586" s="17"/>
      <c r="X1586" s="17" t="s">
        <v>58</v>
      </c>
      <c r="Y1586" s="17">
        <v>250</v>
      </c>
      <c r="Z1586" s="17" t="s">
        <v>56</v>
      </c>
      <c r="AA1586" s="17"/>
      <c r="AB1586" s="17" t="s">
        <v>57</v>
      </c>
      <c r="AC1586" s="17">
        <v>2005</v>
      </c>
      <c r="AD1586" s="17">
        <v>1</v>
      </c>
      <c r="AE1586" s="17"/>
      <c r="AF1586" s="17"/>
      <c r="AG1586" s="17">
        <v>1970</v>
      </c>
      <c r="AH1586" s="14">
        <f t="shared" si="105"/>
        <v>35</v>
      </c>
      <c r="AI1586" s="17">
        <f t="shared" si="106"/>
        <v>36</v>
      </c>
      <c r="AJ1586" s="17"/>
      <c r="AK1586" s="17" t="s">
        <v>56</v>
      </c>
      <c r="AL1586" s="16" t="s">
        <v>615</v>
      </c>
      <c r="AM1586" s="17">
        <v>2011</v>
      </c>
      <c r="AN1586" s="15" t="s">
        <v>685</v>
      </c>
      <c r="AO1586" s="15" t="s">
        <v>56</v>
      </c>
      <c r="AP1586" s="15"/>
      <c r="AQ1586" s="15" t="s">
        <v>56</v>
      </c>
      <c r="AR1586" s="15" t="s">
        <v>58</v>
      </c>
      <c r="AS1586" s="15" t="s">
        <v>62</v>
      </c>
      <c r="AT1586" s="15"/>
      <c r="AU1586" s="45" t="s">
        <v>2657</v>
      </c>
      <c r="AV1586" s="15"/>
      <c r="AW1586" s="12" t="str">
        <f>B1586&amp;C1586&amp;L1586&amp;M1586&amp;O1586&amp;U1586&amp;AL1586&amp;AM1586</f>
        <v>KenyaMalindi, Watamu, Kisite, Mombasa Marine ParkPinguipedidaebiomassden24.7777777777778McClanahan2011</v>
      </c>
    </row>
    <row r="1587" spans="1:49" ht="14.5" x14ac:dyDescent="0.35">
      <c r="A1587" s="12">
        <v>1586</v>
      </c>
      <c r="B1587" s="12" t="s">
        <v>684</v>
      </c>
      <c r="C1587" s="12" t="s">
        <v>1265</v>
      </c>
      <c r="D1587" s="12" t="s">
        <v>2656</v>
      </c>
      <c r="E1587" s="12" t="s">
        <v>68</v>
      </c>
      <c r="F1587" s="13" t="s">
        <v>50</v>
      </c>
      <c r="G1587" s="13" t="s">
        <v>51</v>
      </c>
      <c r="H1587" s="13" t="s">
        <v>329</v>
      </c>
      <c r="I1587" s="13" t="s">
        <v>156</v>
      </c>
      <c r="J1587" s="14">
        <v>54</v>
      </c>
      <c r="K1587" s="17"/>
      <c r="L1587" s="14" t="s">
        <v>629</v>
      </c>
      <c r="M1587" s="14"/>
      <c r="N1587" s="14" t="s">
        <v>170</v>
      </c>
      <c r="O1587" s="17" t="s">
        <v>70</v>
      </c>
      <c r="P1587" s="14"/>
      <c r="Q1587" s="14"/>
      <c r="R1587" s="14"/>
      <c r="S1587" s="14">
        <v>720</v>
      </c>
      <c r="T1587" s="14">
        <v>1481</v>
      </c>
      <c r="U1587" s="19">
        <f t="shared" si="104"/>
        <v>2.0569444444444445</v>
      </c>
      <c r="V1587" s="41">
        <f t="shared" si="107"/>
        <v>105.69444444444444</v>
      </c>
      <c r="W1587" s="14"/>
      <c r="X1587" s="14" t="s">
        <v>58</v>
      </c>
      <c r="Y1587" s="14">
        <v>250</v>
      </c>
      <c r="Z1587" s="14" t="s">
        <v>56</v>
      </c>
      <c r="AA1587" s="17"/>
      <c r="AB1587" s="14" t="s">
        <v>57</v>
      </c>
      <c r="AC1587" s="14">
        <v>2005</v>
      </c>
      <c r="AD1587" s="14">
        <v>1</v>
      </c>
      <c r="AE1587" s="14"/>
      <c r="AF1587" s="14"/>
      <c r="AG1587" s="14">
        <v>1970</v>
      </c>
      <c r="AH1587" s="14">
        <f t="shared" si="105"/>
        <v>35</v>
      </c>
      <c r="AI1587" s="17">
        <f t="shared" si="106"/>
        <v>36</v>
      </c>
      <c r="AJ1587" s="14"/>
      <c r="AK1587" s="14" t="s">
        <v>56</v>
      </c>
      <c r="AL1587" s="13" t="s">
        <v>615</v>
      </c>
      <c r="AM1587" s="14">
        <v>2011</v>
      </c>
      <c r="AN1587" s="12" t="s">
        <v>685</v>
      </c>
      <c r="AO1587" s="12" t="s">
        <v>56</v>
      </c>
      <c r="AP1587" s="12"/>
      <c r="AQ1587" s="12" t="s">
        <v>56</v>
      </c>
      <c r="AR1587" s="12" t="s">
        <v>58</v>
      </c>
      <c r="AS1587" s="12" t="s">
        <v>62</v>
      </c>
      <c r="AT1587" s="12"/>
      <c r="AU1587" s="45" t="s">
        <v>2657</v>
      </c>
      <c r="AV1587" s="15"/>
      <c r="AW1587" s="12" t="str">
        <f>B1587&amp;C1587&amp;L1587&amp;M1587&amp;O1587&amp;U1587&amp;AL1587&amp;AM1587</f>
        <v>KenyaMalindi, Watamu, Kisite, Mombasa Marine ParkPomacanthidaebiomassden2.05694444444444McClanahan2011</v>
      </c>
    </row>
    <row r="1588" spans="1:49" ht="14.5" x14ac:dyDescent="0.35">
      <c r="A1588" s="12">
        <v>1587</v>
      </c>
      <c r="B1588" s="12" t="s">
        <v>684</v>
      </c>
      <c r="C1588" s="12" t="s">
        <v>1265</v>
      </c>
      <c r="D1588" s="12" t="s">
        <v>2656</v>
      </c>
      <c r="E1588" s="12" t="s">
        <v>68</v>
      </c>
      <c r="F1588" s="13" t="s">
        <v>50</v>
      </c>
      <c r="G1588" s="13" t="s">
        <v>51</v>
      </c>
      <c r="H1588" s="13" t="s">
        <v>329</v>
      </c>
      <c r="I1588" s="13" t="s">
        <v>156</v>
      </c>
      <c r="J1588" s="14">
        <v>54</v>
      </c>
      <c r="K1588" s="17"/>
      <c r="L1588" s="14" t="s">
        <v>269</v>
      </c>
      <c r="M1588" s="14"/>
      <c r="N1588" s="14" t="s">
        <v>170</v>
      </c>
      <c r="O1588" s="17" t="s">
        <v>70</v>
      </c>
      <c r="P1588" s="14"/>
      <c r="Q1588" s="14"/>
      <c r="R1588" s="14"/>
      <c r="S1588" s="14">
        <v>2691</v>
      </c>
      <c r="T1588" s="14">
        <v>10070</v>
      </c>
      <c r="U1588" s="19">
        <f t="shared" si="104"/>
        <v>3.7421033073206988</v>
      </c>
      <c r="V1588" s="41">
        <f t="shared" si="107"/>
        <v>274.21033073206991</v>
      </c>
      <c r="W1588" s="14"/>
      <c r="X1588" s="14" t="s">
        <v>58</v>
      </c>
      <c r="Y1588" s="14">
        <v>250</v>
      </c>
      <c r="Z1588" s="14" t="s">
        <v>56</v>
      </c>
      <c r="AA1588" s="17"/>
      <c r="AB1588" s="14" t="s">
        <v>57</v>
      </c>
      <c r="AC1588" s="14">
        <v>2005</v>
      </c>
      <c r="AD1588" s="14">
        <v>1</v>
      </c>
      <c r="AE1588" s="14"/>
      <c r="AF1588" s="14"/>
      <c r="AG1588" s="14">
        <v>1970</v>
      </c>
      <c r="AH1588" s="14">
        <f t="shared" si="105"/>
        <v>35</v>
      </c>
      <c r="AI1588" s="17">
        <f t="shared" si="106"/>
        <v>36</v>
      </c>
      <c r="AJ1588" s="14"/>
      <c r="AK1588" s="14" t="s">
        <v>56</v>
      </c>
      <c r="AL1588" s="13" t="s">
        <v>615</v>
      </c>
      <c r="AM1588" s="14">
        <v>2011</v>
      </c>
      <c r="AN1588" s="12" t="s">
        <v>685</v>
      </c>
      <c r="AO1588" s="12" t="s">
        <v>56</v>
      </c>
      <c r="AP1588" s="12"/>
      <c r="AQ1588" s="12" t="s">
        <v>56</v>
      </c>
      <c r="AR1588" s="12" t="s">
        <v>58</v>
      </c>
      <c r="AS1588" s="12" t="s">
        <v>62</v>
      </c>
      <c r="AT1588" s="12"/>
      <c r="AU1588" s="45" t="s">
        <v>2657</v>
      </c>
      <c r="AV1588" s="15"/>
      <c r="AW1588" s="12" t="str">
        <f>B1588&amp;C1588&amp;L1588&amp;M1588&amp;O1588&amp;U1588&amp;AL1588&amp;AM1588</f>
        <v>KenyaMalindi, Watamu, Kisite, Mombasa Marine ParkPomacentridaebiomassden3.7421033073207McClanahan2011</v>
      </c>
    </row>
    <row r="1589" spans="1:49" ht="14.5" x14ac:dyDescent="0.35">
      <c r="A1589" s="12">
        <v>1588</v>
      </c>
      <c r="B1589" s="12" t="s">
        <v>684</v>
      </c>
      <c r="C1589" s="12" t="s">
        <v>1265</v>
      </c>
      <c r="D1589" s="12" t="s">
        <v>2656</v>
      </c>
      <c r="E1589" s="12" t="s">
        <v>68</v>
      </c>
      <c r="F1589" s="13" t="s">
        <v>50</v>
      </c>
      <c r="G1589" s="13" t="s">
        <v>51</v>
      </c>
      <c r="H1589" s="13" t="s">
        <v>329</v>
      </c>
      <c r="I1589" s="13" t="s">
        <v>156</v>
      </c>
      <c r="J1589" s="14">
        <v>54</v>
      </c>
      <c r="K1589" s="17"/>
      <c r="L1589" s="14" t="s">
        <v>267</v>
      </c>
      <c r="M1589" s="14"/>
      <c r="N1589" s="14" t="s">
        <v>170</v>
      </c>
      <c r="O1589" s="17" t="s">
        <v>70</v>
      </c>
      <c r="P1589" s="14"/>
      <c r="Q1589" s="14"/>
      <c r="R1589" s="14"/>
      <c r="S1589" s="14">
        <v>142</v>
      </c>
      <c r="T1589" s="14">
        <v>18987</v>
      </c>
      <c r="U1589" s="19">
        <f t="shared" si="104"/>
        <v>133.71126760563379</v>
      </c>
      <c r="V1589" s="41">
        <f t="shared" si="107"/>
        <v>13271.12676056338</v>
      </c>
      <c r="W1589" s="14"/>
      <c r="X1589" s="14" t="s">
        <v>58</v>
      </c>
      <c r="Y1589" s="14">
        <v>250</v>
      </c>
      <c r="Z1589" s="14" t="s">
        <v>56</v>
      </c>
      <c r="AA1589" s="14"/>
      <c r="AB1589" s="14" t="s">
        <v>57</v>
      </c>
      <c r="AC1589" s="14">
        <v>2005</v>
      </c>
      <c r="AD1589" s="14">
        <v>1</v>
      </c>
      <c r="AE1589" s="14"/>
      <c r="AF1589" s="14"/>
      <c r="AG1589" s="14">
        <v>1970</v>
      </c>
      <c r="AH1589" s="14">
        <f t="shared" si="105"/>
        <v>35</v>
      </c>
      <c r="AI1589" s="17">
        <f t="shared" si="106"/>
        <v>36</v>
      </c>
      <c r="AJ1589" s="14"/>
      <c r="AK1589" s="14" t="s">
        <v>56</v>
      </c>
      <c r="AL1589" s="13" t="s">
        <v>615</v>
      </c>
      <c r="AM1589" s="14">
        <v>2011</v>
      </c>
      <c r="AN1589" s="12" t="s">
        <v>685</v>
      </c>
      <c r="AO1589" s="12" t="s">
        <v>56</v>
      </c>
      <c r="AP1589" s="12"/>
      <c r="AQ1589" s="12" t="s">
        <v>56</v>
      </c>
      <c r="AR1589" s="12" t="s">
        <v>58</v>
      </c>
      <c r="AS1589" s="12" t="s">
        <v>62</v>
      </c>
      <c r="AT1589" s="12"/>
      <c r="AU1589" s="45" t="s">
        <v>2849</v>
      </c>
      <c r="AV1589" s="15"/>
      <c r="AW1589" s="12" t="str">
        <f>B1589&amp;C1589&amp;L1589&amp;M1589&amp;O1589&amp;U1589&amp;AL1589&amp;AM1589</f>
        <v>KenyaMalindi, Watamu, Kisite, Mombasa Marine ParkScaridaebiomassden133.711267605634McClanahan2011</v>
      </c>
    </row>
    <row r="1590" spans="1:49" ht="14.5" x14ac:dyDescent="0.35">
      <c r="A1590" s="12">
        <v>1589</v>
      </c>
      <c r="B1590" s="15" t="s">
        <v>684</v>
      </c>
      <c r="C1590" s="12" t="s">
        <v>1265</v>
      </c>
      <c r="D1590" s="12" t="s">
        <v>2656</v>
      </c>
      <c r="E1590" s="15" t="s">
        <v>68</v>
      </c>
      <c r="F1590" s="13" t="s">
        <v>50</v>
      </c>
      <c r="G1590" s="13" t="s">
        <v>51</v>
      </c>
      <c r="H1590" s="16" t="s">
        <v>329</v>
      </c>
      <c r="I1590" s="16" t="s">
        <v>156</v>
      </c>
      <c r="J1590" s="17">
        <v>54</v>
      </c>
      <c r="K1590" s="17"/>
      <c r="L1590" s="14" t="s">
        <v>547</v>
      </c>
      <c r="M1590" s="17"/>
      <c r="N1590" s="17" t="s">
        <v>170</v>
      </c>
      <c r="O1590" s="17" t="s">
        <v>70</v>
      </c>
      <c r="P1590" s="17"/>
      <c r="Q1590" s="17"/>
      <c r="R1590" s="17"/>
      <c r="S1590" s="17">
        <v>1</v>
      </c>
      <c r="T1590" s="17">
        <v>19</v>
      </c>
      <c r="U1590" s="20">
        <f t="shared" si="104"/>
        <v>19</v>
      </c>
      <c r="V1590" s="41">
        <f t="shared" si="107"/>
        <v>1800</v>
      </c>
      <c r="W1590" s="17"/>
      <c r="X1590" s="17" t="s">
        <v>58</v>
      </c>
      <c r="Y1590" s="14">
        <v>250</v>
      </c>
      <c r="Z1590" s="17" t="s">
        <v>56</v>
      </c>
      <c r="AA1590" s="17"/>
      <c r="AB1590" s="17" t="s">
        <v>57</v>
      </c>
      <c r="AC1590" s="17">
        <v>2005</v>
      </c>
      <c r="AD1590" s="17">
        <v>1</v>
      </c>
      <c r="AE1590" s="17"/>
      <c r="AF1590" s="17"/>
      <c r="AG1590" s="14">
        <v>1970</v>
      </c>
      <c r="AH1590" s="14">
        <f t="shared" si="105"/>
        <v>35</v>
      </c>
      <c r="AI1590" s="17">
        <f t="shared" si="106"/>
        <v>36</v>
      </c>
      <c r="AJ1590" s="17"/>
      <c r="AK1590" s="17" t="s">
        <v>56</v>
      </c>
      <c r="AL1590" s="16" t="s">
        <v>615</v>
      </c>
      <c r="AM1590" s="17">
        <v>2011</v>
      </c>
      <c r="AN1590" s="15" t="s">
        <v>685</v>
      </c>
      <c r="AO1590" s="15" t="s">
        <v>56</v>
      </c>
      <c r="AP1590" s="15"/>
      <c r="AQ1590" s="15" t="s">
        <v>56</v>
      </c>
      <c r="AR1590" s="15" t="s">
        <v>58</v>
      </c>
      <c r="AS1590" s="15" t="s">
        <v>62</v>
      </c>
      <c r="AT1590" s="15"/>
      <c r="AU1590" s="45" t="s">
        <v>2657</v>
      </c>
      <c r="AV1590" s="15"/>
      <c r="AW1590" s="12" t="str">
        <f>B1590&amp;C1590&amp;L1590&amp;M1590&amp;O1590&amp;U1590&amp;AL1590&amp;AM1590</f>
        <v>KenyaMalindi, Watamu, Kisite, Mombasa Marine ParkScorpaenidaebiomassden19McClanahan2011</v>
      </c>
    </row>
    <row r="1591" spans="1:49" ht="14.5" x14ac:dyDescent="0.35">
      <c r="A1591" s="12">
        <v>1590</v>
      </c>
      <c r="B1591" s="15" t="s">
        <v>684</v>
      </c>
      <c r="C1591" s="12" t="s">
        <v>1265</v>
      </c>
      <c r="D1591" s="12" t="s">
        <v>2656</v>
      </c>
      <c r="E1591" s="15" t="s">
        <v>68</v>
      </c>
      <c r="F1591" s="16" t="s">
        <v>50</v>
      </c>
      <c r="G1591" s="16" t="s">
        <v>51</v>
      </c>
      <c r="H1591" s="16" t="s">
        <v>329</v>
      </c>
      <c r="I1591" s="16" t="s">
        <v>156</v>
      </c>
      <c r="J1591" s="17">
        <v>54</v>
      </c>
      <c r="K1591" s="17"/>
      <c r="L1591" s="17" t="s">
        <v>543</v>
      </c>
      <c r="M1591" s="17"/>
      <c r="N1591" s="17" t="s">
        <v>170</v>
      </c>
      <c r="O1591" s="17" t="s">
        <v>70</v>
      </c>
      <c r="P1591" s="17"/>
      <c r="Q1591" s="17"/>
      <c r="R1591" s="17"/>
      <c r="S1591" s="17">
        <v>117</v>
      </c>
      <c r="T1591" s="17">
        <v>3384</v>
      </c>
      <c r="U1591" s="20">
        <f t="shared" si="104"/>
        <v>28.923076923076923</v>
      </c>
      <c r="V1591" s="41">
        <f t="shared" si="107"/>
        <v>2792.3076923076924</v>
      </c>
      <c r="W1591" s="17"/>
      <c r="X1591" s="17" t="s">
        <v>58</v>
      </c>
      <c r="Y1591" s="14">
        <v>250</v>
      </c>
      <c r="Z1591" s="17" t="s">
        <v>56</v>
      </c>
      <c r="AA1591" s="17"/>
      <c r="AB1591" s="17" t="s">
        <v>57</v>
      </c>
      <c r="AC1591" s="17">
        <v>2005</v>
      </c>
      <c r="AD1591" s="17">
        <v>1</v>
      </c>
      <c r="AE1591" s="17"/>
      <c r="AF1591" s="17"/>
      <c r="AG1591" s="14">
        <v>1970</v>
      </c>
      <c r="AH1591" s="14">
        <f t="shared" si="105"/>
        <v>35</v>
      </c>
      <c r="AI1591" s="17">
        <f t="shared" si="106"/>
        <v>36</v>
      </c>
      <c r="AJ1591" s="17"/>
      <c r="AK1591" s="17" t="s">
        <v>56</v>
      </c>
      <c r="AL1591" s="16" t="s">
        <v>615</v>
      </c>
      <c r="AM1591" s="17">
        <v>2011</v>
      </c>
      <c r="AN1591" s="15" t="s">
        <v>685</v>
      </c>
      <c r="AO1591" s="15" t="s">
        <v>56</v>
      </c>
      <c r="AP1591" s="15"/>
      <c r="AQ1591" s="15" t="s">
        <v>56</v>
      </c>
      <c r="AR1591" s="15" t="s">
        <v>58</v>
      </c>
      <c r="AS1591" s="15" t="s">
        <v>62</v>
      </c>
      <c r="AT1591" s="15"/>
      <c r="AU1591" s="45" t="s">
        <v>2657</v>
      </c>
      <c r="AV1591" s="15"/>
      <c r="AW1591" s="12" t="str">
        <f>B1591&amp;C1591&amp;L1591&amp;M1591&amp;O1591&amp;U1591&amp;AL1591&amp;AM1591</f>
        <v>KenyaMalindi, Watamu, Kisite, Mombasa Marine ParkSerranidaebiomassden28.9230769230769McClanahan2011</v>
      </c>
    </row>
    <row r="1592" spans="1:49" ht="14.5" x14ac:dyDescent="0.35">
      <c r="A1592" s="12">
        <v>1591</v>
      </c>
      <c r="B1592" s="15" t="s">
        <v>684</v>
      </c>
      <c r="C1592" s="12" t="s">
        <v>1265</v>
      </c>
      <c r="D1592" s="12" t="s">
        <v>2656</v>
      </c>
      <c r="E1592" s="15" t="s">
        <v>68</v>
      </c>
      <c r="F1592" s="16" t="s">
        <v>50</v>
      </c>
      <c r="G1592" s="16" t="s">
        <v>51</v>
      </c>
      <c r="H1592" s="16" t="s">
        <v>329</v>
      </c>
      <c r="I1592" s="16" t="s">
        <v>156</v>
      </c>
      <c r="J1592" s="17">
        <v>54</v>
      </c>
      <c r="K1592" s="17"/>
      <c r="L1592" s="17" t="s">
        <v>631</v>
      </c>
      <c r="M1592" s="17" t="s">
        <v>1411</v>
      </c>
      <c r="N1592" s="17" t="s">
        <v>170</v>
      </c>
      <c r="O1592" s="17" t="s">
        <v>70</v>
      </c>
      <c r="P1592" s="17"/>
      <c r="Q1592" s="17"/>
      <c r="R1592" s="17"/>
      <c r="S1592" s="17">
        <v>0</v>
      </c>
      <c r="T1592" s="17">
        <v>2227</v>
      </c>
      <c r="U1592" s="20" t="str">
        <f t="shared" si="104"/>
        <v>N/A</v>
      </c>
      <c r="V1592" s="41" t="str">
        <f t="shared" si="107"/>
        <v>N/A</v>
      </c>
      <c r="W1592" s="17"/>
      <c r="X1592" s="17" t="s">
        <v>58</v>
      </c>
      <c r="Y1592" s="17">
        <v>250</v>
      </c>
      <c r="Z1592" s="17" t="s">
        <v>56</v>
      </c>
      <c r="AA1592" s="17"/>
      <c r="AB1592" s="17" t="s">
        <v>57</v>
      </c>
      <c r="AC1592" s="17">
        <v>2005</v>
      </c>
      <c r="AD1592" s="17">
        <v>1</v>
      </c>
      <c r="AE1592" s="17"/>
      <c r="AF1592" s="17"/>
      <c r="AG1592" s="14">
        <v>1970</v>
      </c>
      <c r="AH1592" s="14">
        <f t="shared" si="105"/>
        <v>35</v>
      </c>
      <c r="AI1592" s="17">
        <f t="shared" si="106"/>
        <v>36</v>
      </c>
      <c r="AJ1592" s="17"/>
      <c r="AK1592" s="17" t="s">
        <v>56</v>
      </c>
      <c r="AL1592" s="16" t="s">
        <v>615</v>
      </c>
      <c r="AM1592" s="17">
        <v>2011</v>
      </c>
      <c r="AN1592" s="15" t="s">
        <v>685</v>
      </c>
      <c r="AO1592" s="15" t="s">
        <v>56</v>
      </c>
      <c r="AP1592" s="15"/>
      <c r="AQ1592" s="15" t="s">
        <v>56</v>
      </c>
      <c r="AR1592" s="15" t="s">
        <v>58</v>
      </c>
      <c r="AS1592" s="15" t="s">
        <v>62</v>
      </c>
      <c r="AT1592" s="15"/>
      <c r="AU1592" s="45" t="s">
        <v>2657</v>
      </c>
      <c r="AV1592" s="15"/>
      <c r="AW1592" s="12" t="str">
        <f>B1592&amp;C1592&amp;L1592&amp;M1592&amp;O1592&amp;U1592&amp;AL1592&amp;AM1592</f>
        <v>KenyaMalindi, Watamu, Kisite, Mombasa Marine ParkSiganidaerabbitfishbiomassdenN/AMcClanahan2011</v>
      </c>
    </row>
    <row r="1593" spans="1:49" ht="14.5" x14ac:dyDescent="0.35">
      <c r="A1593" s="12">
        <v>1592</v>
      </c>
      <c r="B1593" s="15" t="s">
        <v>684</v>
      </c>
      <c r="C1593" s="12" t="s">
        <v>1265</v>
      </c>
      <c r="D1593" s="12" t="s">
        <v>2656</v>
      </c>
      <c r="E1593" s="15" t="s">
        <v>68</v>
      </c>
      <c r="F1593" s="16" t="s">
        <v>50</v>
      </c>
      <c r="G1593" s="16" t="s">
        <v>51</v>
      </c>
      <c r="H1593" s="16" t="s">
        <v>329</v>
      </c>
      <c r="I1593" s="16" t="s">
        <v>156</v>
      </c>
      <c r="J1593" s="17">
        <v>54</v>
      </c>
      <c r="K1593" s="17"/>
      <c r="L1593" s="17" t="s">
        <v>625</v>
      </c>
      <c r="M1593" s="17"/>
      <c r="N1593" s="17" t="s">
        <v>170</v>
      </c>
      <c r="O1593" s="17" t="s">
        <v>86</v>
      </c>
      <c r="P1593" s="17"/>
      <c r="Q1593" s="17"/>
      <c r="R1593" s="17"/>
      <c r="S1593" s="17">
        <v>15.24</v>
      </c>
      <c r="T1593" s="17">
        <v>119</v>
      </c>
      <c r="U1593" s="20">
        <f t="shared" si="104"/>
        <v>7.8083989501312336</v>
      </c>
      <c r="V1593" s="41">
        <f t="shared" si="107"/>
        <v>680.8398950131234</v>
      </c>
      <c r="W1593" s="17"/>
      <c r="X1593" s="17" t="s">
        <v>58</v>
      </c>
      <c r="Y1593" s="14">
        <v>250</v>
      </c>
      <c r="Z1593" s="17" t="s">
        <v>56</v>
      </c>
      <c r="AA1593" s="17"/>
      <c r="AB1593" s="17" t="s">
        <v>57</v>
      </c>
      <c r="AC1593" s="17">
        <v>2005</v>
      </c>
      <c r="AD1593" s="17">
        <v>1</v>
      </c>
      <c r="AE1593" s="17"/>
      <c r="AF1593" s="17"/>
      <c r="AG1593" s="14">
        <v>1970</v>
      </c>
      <c r="AH1593" s="14">
        <f t="shared" si="105"/>
        <v>35</v>
      </c>
      <c r="AI1593" s="17">
        <f t="shared" si="106"/>
        <v>36</v>
      </c>
      <c r="AJ1593" s="17"/>
      <c r="AK1593" s="17" t="s">
        <v>56</v>
      </c>
      <c r="AL1593" s="16" t="s">
        <v>615</v>
      </c>
      <c r="AM1593" s="17">
        <v>2011</v>
      </c>
      <c r="AN1593" s="15" t="s">
        <v>685</v>
      </c>
      <c r="AO1593" s="15" t="s">
        <v>56</v>
      </c>
      <c r="AP1593" s="15"/>
      <c r="AQ1593" s="15" t="s">
        <v>56</v>
      </c>
      <c r="AR1593" s="15" t="s">
        <v>58</v>
      </c>
      <c r="AS1593" s="15" t="s">
        <v>62</v>
      </c>
      <c r="AT1593" s="15"/>
      <c r="AU1593" s="45" t="s">
        <v>2657</v>
      </c>
      <c r="AV1593" s="15"/>
      <c r="AW1593" s="12" t="str">
        <f>B1593&amp;C1593&amp;L1593&amp;M1593&amp;O1593&amp;U1593&amp;AL1593&amp;AM1593</f>
        <v>KenyaMalindi, Watamu, Kisite, Mombasa Marine ParkAcanthuridaedensity7.80839895013123McClanahan2011</v>
      </c>
    </row>
    <row r="1594" spans="1:49" ht="14.5" x14ac:dyDescent="0.35">
      <c r="A1594" s="12">
        <v>1593</v>
      </c>
      <c r="B1594" s="15" t="s">
        <v>684</v>
      </c>
      <c r="C1594" s="12" t="s">
        <v>1265</v>
      </c>
      <c r="D1594" s="12" t="s">
        <v>2656</v>
      </c>
      <c r="E1594" s="15" t="s">
        <v>68</v>
      </c>
      <c r="F1594" s="16" t="s">
        <v>50</v>
      </c>
      <c r="G1594" s="16" t="s">
        <v>51</v>
      </c>
      <c r="H1594" s="16" t="s">
        <v>329</v>
      </c>
      <c r="I1594" s="16" t="s">
        <v>156</v>
      </c>
      <c r="J1594" s="17">
        <v>54</v>
      </c>
      <c r="K1594" s="17"/>
      <c r="L1594" s="17" t="s">
        <v>626</v>
      </c>
      <c r="M1594" s="17"/>
      <c r="N1594" s="17" t="s">
        <v>170</v>
      </c>
      <c r="O1594" s="17" t="s">
        <v>86</v>
      </c>
      <c r="P1594" s="17"/>
      <c r="Q1594" s="17"/>
      <c r="R1594" s="17"/>
      <c r="S1594" s="17">
        <v>2</v>
      </c>
      <c r="T1594" s="17">
        <v>8.14</v>
      </c>
      <c r="U1594" s="20">
        <f t="shared" si="104"/>
        <v>4.07</v>
      </c>
      <c r="V1594" s="41">
        <f t="shared" si="107"/>
        <v>307</v>
      </c>
      <c r="W1594" s="17"/>
      <c r="X1594" s="17" t="s">
        <v>58</v>
      </c>
      <c r="Y1594" s="14">
        <v>250</v>
      </c>
      <c r="Z1594" s="17" t="s">
        <v>56</v>
      </c>
      <c r="AA1594" s="17"/>
      <c r="AB1594" s="17" t="s">
        <v>57</v>
      </c>
      <c r="AC1594" s="17">
        <v>2005</v>
      </c>
      <c r="AD1594" s="17">
        <v>1</v>
      </c>
      <c r="AE1594" s="17"/>
      <c r="AF1594" s="17"/>
      <c r="AG1594" s="14">
        <v>1970</v>
      </c>
      <c r="AH1594" s="14">
        <f t="shared" si="105"/>
        <v>35</v>
      </c>
      <c r="AI1594" s="17">
        <f t="shared" si="106"/>
        <v>36</v>
      </c>
      <c r="AJ1594" s="17"/>
      <c r="AK1594" s="17" t="s">
        <v>56</v>
      </c>
      <c r="AL1594" s="16" t="s">
        <v>615</v>
      </c>
      <c r="AM1594" s="17">
        <v>2011</v>
      </c>
      <c r="AN1594" s="15" t="s">
        <v>685</v>
      </c>
      <c r="AO1594" s="15" t="s">
        <v>56</v>
      </c>
      <c r="AP1594" s="15"/>
      <c r="AQ1594" s="15" t="s">
        <v>56</v>
      </c>
      <c r="AR1594" s="15" t="s">
        <v>58</v>
      </c>
      <c r="AS1594" s="15" t="s">
        <v>62</v>
      </c>
      <c r="AT1594" s="15"/>
      <c r="AU1594" s="45" t="s">
        <v>2657</v>
      </c>
      <c r="AV1594" s="15"/>
      <c r="AW1594" s="12" t="str">
        <f>B1594&amp;C1594&amp;L1594&amp;M1594&amp;O1594&amp;U1594&amp;AL1594&amp;AM1594</f>
        <v>KenyaMalindi, Watamu, Kisite, Mombasa Marine ParkBalistidaedensity4.07McClanahan2011</v>
      </c>
    </row>
    <row r="1595" spans="1:49" ht="14.5" x14ac:dyDescent="0.35">
      <c r="A1595" s="12">
        <v>1594</v>
      </c>
      <c r="B1595" s="15" t="s">
        <v>684</v>
      </c>
      <c r="C1595" s="12" t="s">
        <v>1265</v>
      </c>
      <c r="D1595" s="12" t="s">
        <v>2656</v>
      </c>
      <c r="E1595" s="15" t="s">
        <v>68</v>
      </c>
      <c r="F1595" s="13" t="s">
        <v>50</v>
      </c>
      <c r="G1595" s="13" t="s">
        <v>51</v>
      </c>
      <c r="H1595" s="16" t="s">
        <v>329</v>
      </c>
      <c r="I1595" s="16" t="s">
        <v>156</v>
      </c>
      <c r="J1595" s="17">
        <v>54</v>
      </c>
      <c r="K1595" s="17"/>
      <c r="L1595" s="17" t="s">
        <v>188</v>
      </c>
      <c r="M1595" s="17"/>
      <c r="N1595" s="17" t="s">
        <v>170</v>
      </c>
      <c r="O1595" s="17" t="s">
        <v>86</v>
      </c>
      <c r="P1595" s="17"/>
      <c r="Q1595" s="17"/>
      <c r="R1595" s="17"/>
      <c r="S1595" s="17">
        <v>14.72</v>
      </c>
      <c r="T1595" s="17">
        <v>13.12</v>
      </c>
      <c r="U1595" s="20">
        <f t="shared" si="104"/>
        <v>0.89130434782608692</v>
      </c>
      <c r="V1595" s="41">
        <f t="shared" si="107"/>
        <v>-10.869565217391308</v>
      </c>
      <c r="W1595" s="17"/>
      <c r="X1595" s="17" t="s">
        <v>58</v>
      </c>
      <c r="Y1595" s="14">
        <v>250</v>
      </c>
      <c r="Z1595" s="17" t="s">
        <v>56</v>
      </c>
      <c r="AA1595" s="17"/>
      <c r="AB1595" s="17" t="s">
        <v>57</v>
      </c>
      <c r="AC1595" s="17">
        <v>2005</v>
      </c>
      <c r="AD1595" s="17">
        <v>1</v>
      </c>
      <c r="AE1595" s="17"/>
      <c r="AF1595" s="17"/>
      <c r="AG1595" s="14">
        <v>1970</v>
      </c>
      <c r="AH1595" s="14">
        <f t="shared" si="105"/>
        <v>35</v>
      </c>
      <c r="AI1595" s="17">
        <f t="shared" si="106"/>
        <v>36</v>
      </c>
      <c r="AJ1595" s="17"/>
      <c r="AK1595" s="17" t="s">
        <v>56</v>
      </c>
      <c r="AL1595" s="16" t="s">
        <v>615</v>
      </c>
      <c r="AM1595" s="17">
        <v>2011</v>
      </c>
      <c r="AN1595" s="15" t="s">
        <v>685</v>
      </c>
      <c r="AO1595" s="15" t="s">
        <v>56</v>
      </c>
      <c r="AP1595" s="15"/>
      <c r="AQ1595" s="15" t="s">
        <v>56</v>
      </c>
      <c r="AR1595" s="15" t="s">
        <v>58</v>
      </c>
      <c r="AS1595" s="15" t="s">
        <v>62</v>
      </c>
      <c r="AT1595" s="15"/>
      <c r="AU1595" s="45" t="s">
        <v>2657</v>
      </c>
      <c r="AV1595" s="15"/>
      <c r="AW1595" s="12" t="str">
        <f>B1595&amp;C1595&amp;L1595&amp;M1595&amp;O1595&amp;U1595&amp;AL1595&amp;AM1595</f>
        <v>KenyaMalindi, Watamu, Kisite, Mombasa Marine ParkChaetodontidaedensity0.891304347826087McClanahan2011</v>
      </c>
    </row>
    <row r="1596" spans="1:49" ht="14.5" x14ac:dyDescent="0.35">
      <c r="A1596" s="12">
        <v>1595</v>
      </c>
      <c r="B1596" s="15" t="s">
        <v>684</v>
      </c>
      <c r="C1596" s="12" t="s">
        <v>1265</v>
      </c>
      <c r="D1596" s="12" t="s">
        <v>2656</v>
      </c>
      <c r="E1596" s="15" t="s">
        <v>68</v>
      </c>
      <c r="F1596" s="16" t="s">
        <v>50</v>
      </c>
      <c r="G1596" s="16" t="s">
        <v>51</v>
      </c>
      <c r="H1596" s="16" t="s">
        <v>329</v>
      </c>
      <c r="I1596" s="16" t="s">
        <v>156</v>
      </c>
      <c r="J1596" s="17">
        <v>54</v>
      </c>
      <c r="K1596" s="17"/>
      <c r="L1596" s="17" t="s">
        <v>632</v>
      </c>
      <c r="M1596" s="17"/>
      <c r="N1596" s="17" t="s">
        <v>170</v>
      </c>
      <c r="O1596" s="17" t="s">
        <v>86</v>
      </c>
      <c r="P1596" s="17"/>
      <c r="Q1596" s="17"/>
      <c r="R1596" s="17"/>
      <c r="S1596" s="17">
        <v>2</v>
      </c>
      <c r="T1596" s="17">
        <v>2.5</v>
      </c>
      <c r="U1596" s="20">
        <f t="shared" si="104"/>
        <v>1.25</v>
      </c>
      <c r="V1596" s="41">
        <f t="shared" si="107"/>
        <v>25</v>
      </c>
      <c r="W1596" s="17"/>
      <c r="X1596" s="17" t="s">
        <v>58</v>
      </c>
      <c r="Y1596" s="14">
        <v>250</v>
      </c>
      <c r="Z1596" s="17" t="s">
        <v>56</v>
      </c>
      <c r="AA1596" s="17"/>
      <c r="AB1596" s="17" t="s">
        <v>57</v>
      </c>
      <c r="AC1596" s="17">
        <v>2005</v>
      </c>
      <c r="AD1596" s="17">
        <v>1</v>
      </c>
      <c r="AE1596" s="17"/>
      <c r="AF1596" s="17"/>
      <c r="AG1596" s="14">
        <v>1970</v>
      </c>
      <c r="AH1596" s="14">
        <f t="shared" si="105"/>
        <v>35</v>
      </c>
      <c r="AI1596" s="17">
        <f t="shared" si="106"/>
        <v>36</v>
      </c>
      <c r="AJ1596" s="17"/>
      <c r="AK1596" s="17" t="s">
        <v>56</v>
      </c>
      <c r="AL1596" s="16" t="s">
        <v>615</v>
      </c>
      <c r="AM1596" s="17">
        <v>2011</v>
      </c>
      <c r="AN1596" s="15" t="s">
        <v>685</v>
      </c>
      <c r="AO1596" s="15" t="s">
        <v>56</v>
      </c>
      <c r="AP1596" s="15"/>
      <c r="AQ1596" s="15" t="s">
        <v>56</v>
      </c>
      <c r="AR1596" s="15" t="s">
        <v>58</v>
      </c>
      <c r="AS1596" s="15" t="s">
        <v>62</v>
      </c>
      <c r="AT1596" s="15"/>
      <c r="AU1596" s="45" t="s">
        <v>2657</v>
      </c>
      <c r="AV1596" s="15"/>
      <c r="AW1596" s="12" t="str">
        <f>B1596&amp;C1596&amp;L1596&amp;M1596&amp;O1596&amp;U1596&amp;AL1596&amp;AM1596</f>
        <v>KenyaMalindi, Watamu, Kisite, Mombasa Marine ParkDiodontidaedensity1.25McClanahan2011</v>
      </c>
    </row>
    <row r="1597" spans="1:49" ht="14.5" x14ac:dyDescent="0.35">
      <c r="A1597" s="12">
        <v>1596</v>
      </c>
      <c r="B1597" s="12" t="s">
        <v>684</v>
      </c>
      <c r="C1597" s="12" t="s">
        <v>1265</v>
      </c>
      <c r="D1597" s="12" t="s">
        <v>2656</v>
      </c>
      <c r="E1597" s="12" t="s">
        <v>68</v>
      </c>
      <c r="F1597" s="13" t="s">
        <v>50</v>
      </c>
      <c r="G1597" s="13" t="s">
        <v>51</v>
      </c>
      <c r="H1597" s="13" t="s">
        <v>329</v>
      </c>
      <c r="I1597" s="13" t="s">
        <v>156</v>
      </c>
      <c r="J1597" s="14">
        <v>54</v>
      </c>
      <c r="K1597" s="17"/>
      <c r="L1597" s="14" t="s">
        <v>265</v>
      </c>
      <c r="M1597" s="14"/>
      <c r="N1597" s="14" t="s">
        <v>170</v>
      </c>
      <c r="O1597" s="17" t="s">
        <v>86</v>
      </c>
      <c r="P1597" s="14"/>
      <c r="Q1597" s="14"/>
      <c r="R1597" s="14"/>
      <c r="S1597" s="14">
        <v>73.5</v>
      </c>
      <c r="T1597" s="14">
        <v>124.12</v>
      </c>
      <c r="U1597" s="19">
        <f t="shared" si="104"/>
        <v>1.6887074829931974</v>
      </c>
      <c r="V1597" s="41">
        <f t="shared" si="107"/>
        <v>68.870748299319743</v>
      </c>
      <c r="W1597" s="14"/>
      <c r="X1597" s="14" t="s">
        <v>58</v>
      </c>
      <c r="Y1597" s="14">
        <v>250</v>
      </c>
      <c r="Z1597" s="14" t="s">
        <v>56</v>
      </c>
      <c r="AA1597" s="14"/>
      <c r="AB1597" s="14" t="s">
        <v>57</v>
      </c>
      <c r="AC1597" s="14">
        <v>2005</v>
      </c>
      <c r="AD1597" s="14">
        <v>1</v>
      </c>
      <c r="AE1597" s="14"/>
      <c r="AF1597" s="14"/>
      <c r="AG1597" s="14">
        <v>1970</v>
      </c>
      <c r="AH1597" s="14">
        <f t="shared" si="105"/>
        <v>35</v>
      </c>
      <c r="AI1597" s="17">
        <f t="shared" si="106"/>
        <v>36</v>
      </c>
      <c r="AJ1597" s="14"/>
      <c r="AK1597" s="14" t="s">
        <v>56</v>
      </c>
      <c r="AL1597" s="13" t="s">
        <v>615</v>
      </c>
      <c r="AM1597" s="14">
        <v>2011</v>
      </c>
      <c r="AN1597" s="12" t="s">
        <v>685</v>
      </c>
      <c r="AO1597" s="12" t="s">
        <v>56</v>
      </c>
      <c r="AP1597" s="12"/>
      <c r="AQ1597" s="12" t="s">
        <v>56</v>
      </c>
      <c r="AR1597" s="12" t="s">
        <v>58</v>
      </c>
      <c r="AS1597" s="12" t="s">
        <v>62</v>
      </c>
      <c r="AT1597" s="12"/>
      <c r="AU1597" s="45" t="s">
        <v>2657</v>
      </c>
      <c r="AV1597" s="15"/>
      <c r="AW1597" s="12" t="str">
        <f>B1597&amp;C1597&amp;L1597&amp;M1597&amp;O1597&amp;U1597&amp;AL1597&amp;AM1597</f>
        <v>KenyaMalindi, Watamu, Kisite, Mombasa Marine ParkLabridaedensity1.6887074829932McClanahan2011</v>
      </c>
    </row>
    <row r="1598" spans="1:49" ht="14.5" x14ac:dyDescent="0.35">
      <c r="A1598" s="12">
        <v>1597</v>
      </c>
      <c r="B1598" s="12" t="s">
        <v>684</v>
      </c>
      <c r="C1598" s="12" t="s">
        <v>1265</v>
      </c>
      <c r="D1598" s="12" t="s">
        <v>2656</v>
      </c>
      <c r="E1598" s="12" t="s">
        <v>68</v>
      </c>
      <c r="F1598" s="16" t="s">
        <v>50</v>
      </c>
      <c r="G1598" s="16" t="s">
        <v>51</v>
      </c>
      <c r="H1598" s="13" t="s">
        <v>329</v>
      </c>
      <c r="I1598" s="13" t="s">
        <v>156</v>
      </c>
      <c r="J1598" s="14">
        <v>54</v>
      </c>
      <c r="K1598" s="17"/>
      <c r="L1598" s="14" t="s">
        <v>629</v>
      </c>
      <c r="M1598" s="14"/>
      <c r="N1598" s="14" t="s">
        <v>170</v>
      </c>
      <c r="O1598" s="17" t="s">
        <v>86</v>
      </c>
      <c r="P1598" s="14"/>
      <c r="Q1598" s="14"/>
      <c r="R1598" s="14"/>
      <c r="S1598" s="14">
        <v>3.6</v>
      </c>
      <c r="T1598" s="14">
        <v>12.76</v>
      </c>
      <c r="U1598" s="19">
        <f t="shared" si="104"/>
        <v>3.5444444444444443</v>
      </c>
      <c r="V1598" s="41">
        <f t="shared" si="107"/>
        <v>254.44444444444443</v>
      </c>
      <c r="W1598" s="14"/>
      <c r="X1598" s="14" t="s">
        <v>58</v>
      </c>
      <c r="Y1598" s="14">
        <v>250</v>
      </c>
      <c r="Z1598" s="14" t="s">
        <v>56</v>
      </c>
      <c r="AA1598" s="14"/>
      <c r="AB1598" s="14" t="s">
        <v>57</v>
      </c>
      <c r="AC1598" s="14">
        <v>2005</v>
      </c>
      <c r="AD1598" s="14">
        <v>1</v>
      </c>
      <c r="AE1598" s="14"/>
      <c r="AF1598" s="14"/>
      <c r="AG1598" s="14">
        <v>1970</v>
      </c>
      <c r="AH1598" s="14">
        <f t="shared" si="105"/>
        <v>35</v>
      </c>
      <c r="AI1598" s="17">
        <f t="shared" si="106"/>
        <v>36</v>
      </c>
      <c r="AJ1598" s="14"/>
      <c r="AK1598" s="14" t="s">
        <v>56</v>
      </c>
      <c r="AL1598" s="13" t="s">
        <v>615</v>
      </c>
      <c r="AM1598" s="14">
        <v>2011</v>
      </c>
      <c r="AN1598" s="12" t="s">
        <v>685</v>
      </c>
      <c r="AO1598" s="12" t="s">
        <v>56</v>
      </c>
      <c r="AP1598" s="12"/>
      <c r="AQ1598" s="12" t="s">
        <v>56</v>
      </c>
      <c r="AR1598" s="12" t="s">
        <v>58</v>
      </c>
      <c r="AS1598" s="12" t="s">
        <v>62</v>
      </c>
      <c r="AT1598" s="12"/>
      <c r="AU1598" s="45" t="s">
        <v>2657</v>
      </c>
      <c r="AV1598" s="15"/>
      <c r="AW1598" s="12" t="str">
        <f>B1598&amp;C1598&amp;L1598&amp;M1598&amp;O1598&amp;U1598&amp;AL1598&amp;AM1598</f>
        <v>KenyaMalindi, Watamu, Kisite, Mombasa Marine ParkPomacanthidaedensity3.54444444444444McClanahan2011</v>
      </c>
    </row>
    <row r="1599" spans="1:49" ht="14.5" x14ac:dyDescent="0.35">
      <c r="A1599" s="12">
        <v>1598</v>
      </c>
      <c r="B1599" s="12" t="s">
        <v>684</v>
      </c>
      <c r="C1599" s="12" t="s">
        <v>1265</v>
      </c>
      <c r="D1599" s="12" t="s">
        <v>2656</v>
      </c>
      <c r="E1599" s="12" t="s">
        <v>68</v>
      </c>
      <c r="F1599" s="16" t="s">
        <v>50</v>
      </c>
      <c r="G1599" s="16" t="s">
        <v>51</v>
      </c>
      <c r="H1599" s="13" t="s">
        <v>329</v>
      </c>
      <c r="I1599" s="13" t="s">
        <v>156</v>
      </c>
      <c r="J1599" s="14">
        <v>54</v>
      </c>
      <c r="K1599" s="17"/>
      <c r="L1599" s="14" t="s">
        <v>269</v>
      </c>
      <c r="M1599" s="14"/>
      <c r="N1599" s="14" t="s">
        <v>170</v>
      </c>
      <c r="O1599" s="17" t="s">
        <v>86</v>
      </c>
      <c r="P1599" s="14"/>
      <c r="Q1599" s="14"/>
      <c r="R1599" s="14"/>
      <c r="S1599" s="14">
        <v>289.38</v>
      </c>
      <c r="T1599" s="14">
        <v>601.26</v>
      </c>
      <c r="U1599" s="19">
        <f t="shared" ref="U1599:U1662" si="108">IFERROR(IF(AND(Q1599="",R1599="",S1599="",T1599=""),"",IF(AND(Q1599&lt;&gt;"",R1599&lt;&gt;"",S1599&lt;&gt;"",T1599&lt;&gt;""),(T1599/R1599)/(S1599/Q1599),IF(AND(Q1599&lt;&gt;"",R1599&lt;&gt;""),R1599/Q1599,IF(AND(S1599&lt;&gt;"",T1599&lt;&gt;""),T1599/S1599,IF(AND(Q1599&lt;&gt;"",S1599&lt;&gt;""),Q1599/S1599,IF(AND(R1599&lt;&gt;"",T1599&lt;&gt;""),T1599/R1599)))))), "N/A")</f>
        <v>2.0777524362430024</v>
      </c>
      <c r="V1599" s="41">
        <f t="shared" si="107"/>
        <v>107.77524362430024</v>
      </c>
      <c r="W1599" s="14"/>
      <c r="X1599" s="14" t="s">
        <v>58</v>
      </c>
      <c r="Y1599" s="14">
        <v>250</v>
      </c>
      <c r="Z1599" s="14" t="s">
        <v>56</v>
      </c>
      <c r="AA1599" s="14"/>
      <c r="AB1599" s="14" t="s">
        <v>57</v>
      </c>
      <c r="AC1599" s="14">
        <v>2005</v>
      </c>
      <c r="AD1599" s="14">
        <v>1</v>
      </c>
      <c r="AE1599" s="14"/>
      <c r="AF1599" s="14"/>
      <c r="AG1599" s="14">
        <v>1970</v>
      </c>
      <c r="AH1599" s="14">
        <f t="shared" si="105"/>
        <v>35</v>
      </c>
      <c r="AI1599" s="17">
        <f t="shared" si="106"/>
        <v>36</v>
      </c>
      <c r="AJ1599" s="14"/>
      <c r="AK1599" s="14" t="s">
        <v>56</v>
      </c>
      <c r="AL1599" s="13" t="s">
        <v>615</v>
      </c>
      <c r="AM1599" s="14">
        <v>2011</v>
      </c>
      <c r="AN1599" s="12" t="s">
        <v>685</v>
      </c>
      <c r="AO1599" s="12" t="s">
        <v>56</v>
      </c>
      <c r="AP1599" s="12"/>
      <c r="AQ1599" s="12" t="s">
        <v>56</v>
      </c>
      <c r="AR1599" s="12" t="s">
        <v>58</v>
      </c>
      <c r="AS1599" s="12" t="s">
        <v>62</v>
      </c>
      <c r="AT1599" s="12"/>
      <c r="AU1599" s="45" t="s">
        <v>2657</v>
      </c>
      <c r="AV1599" s="15"/>
      <c r="AW1599" s="12" t="str">
        <f>B1599&amp;C1599&amp;L1599&amp;M1599&amp;O1599&amp;U1599&amp;AL1599&amp;AM1599</f>
        <v>KenyaMalindi, Watamu, Kisite, Mombasa Marine ParkPomacentridaedensity2.077752436243McClanahan2011</v>
      </c>
    </row>
    <row r="1600" spans="1:49" ht="14.5" x14ac:dyDescent="0.35">
      <c r="A1600" s="12">
        <v>1599</v>
      </c>
      <c r="B1600" s="15" t="s">
        <v>684</v>
      </c>
      <c r="C1600" s="12" t="s">
        <v>1265</v>
      </c>
      <c r="D1600" s="12" t="s">
        <v>2656</v>
      </c>
      <c r="E1600" s="15" t="s">
        <v>68</v>
      </c>
      <c r="F1600" s="16" t="s">
        <v>50</v>
      </c>
      <c r="G1600" s="16" t="s">
        <v>51</v>
      </c>
      <c r="H1600" s="16" t="s">
        <v>329</v>
      </c>
      <c r="I1600" s="16" t="s">
        <v>156</v>
      </c>
      <c r="J1600" s="17">
        <v>54</v>
      </c>
      <c r="K1600" s="17"/>
      <c r="L1600" s="17" t="s">
        <v>267</v>
      </c>
      <c r="M1600" s="17"/>
      <c r="N1600" s="17" t="s">
        <v>170</v>
      </c>
      <c r="O1600" s="17" t="s">
        <v>86</v>
      </c>
      <c r="P1600" s="17"/>
      <c r="Q1600" s="17"/>
      <c r="R1600" s="17"/>
      <c r="S1600" s="17">
        <v>3.6</v>
      </c>
      <c r="T1600" s="17">
        <v>45.62</v>
      </c>
      <c r="U1600" s="20">
        <f t="shared" si="108"/>
        <v>12.672222222222221</v>
      </c>
      <c r="V1600" s="41">
        <f t="shared" si="107"/>
        <v>1167.2222222222222</v>
      </c>
      <c r="W1600" s="17"/>
      <c r="X1600" s="17" t="s">
        <v>58</v>
      </c>
      <c r="Y1600" s="14">
        <v>250</v>
      </c>
      <c r="Z1600" s="17" t="s">
        <v>56</v>
      </c>
      <c r="AA1600" s="14"/>
      <c r="AB1600" s="17" t="s">
        <v>57</v>
      </c>
      <c r="AC1600" s="17">
        <v>2005</v>
      </c>
      <c r="AD1600" s="17">
        <v>1</v>
      </c>
      <c r="AE1600" s="17"/>
      <c r="AF1600" s="17"/>
      <c r="AG1600" s="14">
        <v>1970</v>
      </c>
      <c r="AH1600" s="14">
        <f t="shared" ref="AH1600:AH1663" si="109">IF(OR(AG1600="NA",AC1600="NA"),"NA",IF(OR(AC1600="",AG1600=""), "", AC1600-AG1600))</f>
        <v>35</v>
      </c>
      <c r="AI1600" s="17">
        <f t="shared" ref="AI1600:AI1663" si="110">IF(AH1600="NA", "NA",IF(OR(AH1600="",AND(AD1600="",AE1600="")), "",AH1600+AD1600+AE1600/12))</f>
        <v>36</v>
      </c>
      <c r="AJ1600" s="17"/>
      <c r="AK1600" s="17" t="s">
        <v>56</v>
      </c>
      <c r="AL1600" s="16" t="s">
        <v>615</v>
      </c>
      <c r="AM1600" s="17">
        <v>2011</v>
      </c>
      <c r="AN1600" s="15" t="s">
        <v>685</v>
      </c>
      <c r="AO1600" s="15" t="s">
        <v>56</v>
      </c>
      <c r="AP1600" s="15"/>
      <c r="AQ1600" s="15" t="s">
        <v>56</v>
      </c>
      <c r="AR1600" s="15" t="s">
        <v>58</v>
      </c>
      <c r="AS1600" s="15" t="s">
        <v>62</v>
      </c>
      <c r="AT1600" s="15"/>
      <c r="AU1600" s="45" t="s">
        <v>2657</v>
      </c>
      <c r="AV1600" s="15"/>
      <c r="AW1600" s="12" t="str">
        <f>B1600&amp;C1600&amp;L1600&amp;M1600&amp;O1600&amp;U1600&amp;AL1600&amp;AM1600</f>
        <v>KenyaMalindi, Watamu, Kisite, Mombasa Marine ParkScaridaedensity12.6722222222222McClanahan2011</v>
      </c>
    </row>
    <row r="1601" spans="1:49" ht="14.5" x14ac:dyDescent="0.35">
      <c r="A1601" s="12">
        <v>1600</v>
      </c>
      <c r="B1601" s="12" t="s">
        <v>684</v>
      </c>
      <c r="C1601" s="12" t="s">
        <v>1265</v>
      </c>
      <c r="D1601" s="12" t="s">
        <v>2656</v>
      </c>
      <c r="E1601" s="12" t="s">
        <v>68</v>
      </c>
      <c r="F1601" s="13" t="s">
        <v>50</v>
      </c>
      <c r="G1601" s="16" t="s">
        <v>51</v>
      </c>
      <c r="H1601" s="13" t="s">
        <v>329</v>
      </c>
      <c r="I1601" s="13" t="s">
        <v>156</v>
      </c>
      <c r="J1601" s="14">
        <v>54</v>
      </c>
      <c r="K1601" s="17"/>
      <c r="L1601" s="14" t="s">
        <v>625</v>
      </c>
      <c r="M1601" s="14"/>
      <c r="N1601" s="14" t="s">
        <v>170</v>
      </c>
      <c r="O1601" s="17" t="s">
        <v>55</v>
      </c>
      <c r="P1601" s="14"/>
      <c r="Q1601" s="14"/>
      <c r="R1601" s="14"/>
      <c r="S1601" s="14">
        <v>2.31</v>
      </c>
      <c r="T1601" s="14">
        <v>6.38</v>
      </c>
      <c r="U1601" s="19">
        <f t="shared" si="108"/>
        <v>2.7619047619047619</v>
      </c>
      <c r="V1601" s="41">
        <f t="shared" si="107"/>
        <v>176.19047619047618</v>
      </c>
      <c r="W1601" s="14"/>
      <c r="X1601" s="14" t="s">
        <v>58</v>
      </c>
      <c r="Y1601" s="14">
        <v>250</v>
      </c>
      <c r="Z1601" s="14" t="s">
        <v>56</v>
      </c>
      <c r="AA1601" s="14"/>
      <c r="AB1601" s="14" t="s">
        <v>57</v>
      </c>
      <c r="AC1601" s="14">
        <v>2005</v>
      </c>
      <c r="AD1601" s="14">
        <v>1</v>
      </c>
      <c r="AE1601" s="14"/>
      <c r="AF1601" s="14"/>
      <c r="AG1601" s="14">
        <v>1970</v>
      </c>
      <c r="AH1601" s="14">
        <f t="shared" si="109"/>
        <v>35</v>
      </c>
      <c r="AI1601" s="17">
        <f t="shared" si="110"/>
        <v>36</v>
      </c>
      <c r="AJ1601" s="14"/>
      <c r="AK1601" s="14" t="s">
        <v>56</v>
      </c>
      <c r="AL1601" s="13" t="s">
        <v>615</v>
      </c>
      <c r="AM1601" s="14">
        <v>2011</v>
      </c>
      <c r="AN1601" s="12" t="s">
        <v>685</v>
      </c>
      <c r="AO1601" s="12" t="s">
        <v>56</v>
      </c>
      <c r="AP1601" s="12"/>
      <c r="AQ1601" s="12" t="s">
        <v>56</v>
      </c>
      <c r="AR1601" s="12" t="s">
        <v>58</v>
      </c>
      <c r="AS1601" s="12" t="s">
        <v>62</v>
      </c>
      <c r="AT1601" s="12"/>
      <c r="AU1601" s="45" t="s">
        <v>2657</v>
      </c>
      <c r="AV1601" s="15"/>
      <c r="AW1601" s="12" t="str">
        <f>B1601&amp;C1601&amp;L1601&amp;M1601&amp;O1601&amp;U1601&amp;AL1601&amp;AM1601</f>
        <v>KenyaMalindi, Watamu, Kisite, Mombasa Marine ParkAcanthuridaerichness2.76190476190476McClanahan2011</v>
      </c>
    </row>
    <row r="1602" spans="1:49" ht="14.5" x14ac:dyDescent="0.35">
      <c r="A1602" s="12">
        <v>1601</v>
      </c>
      <c r="B1602" s="15" t="s">
        <v>684</v>
      </c>
      <c r="C1602" s="12" t="s">
        <v>1265</v>
      </c>
      <c r="D1602" s="12" t="s">
        <v>2656</v>
      </c>
      <c r="E1602" s="15" t="s">
        <v>68</v>
      </c>
      <c r="F1602" s="16" t="s">
        <v>50</v>
      </c>
      <c r="G1602" s="16" t="s">
        <v>51</v>
      </c>
      <c r="H1602" s="16" t="s">
        <v>329</v>
      </c>
      <c r="I1602" s="16" t="s">
        <v>156</v>
      </c>
      <c r="J1602" s="17">
        <v>54</v>
      </c>
      <c r="K1602" s="17"/>
      <c r="L1602" s="17" t="s">
        <v>626</v>
      </c>
      <c r="M1602" s="17"/>
      <c r="N1602" s="17" t="s">
        <v>170</v>
      </c>
      <c r="O1602" s="17" t="s">
        <v>55</v>
      </c>
      <c r="P1602" s="17"/>
      <c r="Q1602" s="17"/>
      <c r="R1602" s="17"/>
      <c r="S1602" s="17">
        <v>1</v>
      </c>
      <c r="T1602" s="17">
        <v>2.0699999999999998</v>
      </c>
      <c r="U1602" s="20">
        <f t="shared" si="108"/>
        <v>2.0699999999999998</v>
      </c>
      <c r="V1602" s="41">
        <f t="shared" ref="V1602:V1665" si="111">IFERROR(IF(U1602 = "", "",(U1602-1)*100),"N/A")</f>
        <v>106.99999999999999</v>
      </c>
      <c r="W1602" s="17"/>
      <c r="X1602" s="17" t="s">
        <v>58</v>
      </c>
      <c r="Y1602" s="14">
        <v>250</v>
      </c>
      <c r="Z1602" s="17" t="s">
        <v>56</v>
      </c>
      <c r="AA1602" s="17"/>
      <c r="AB1602" s="17" t="s">
        <v>57</v>
      </c>
      <c r="AC1602" s="17">
        <v>2005</v>
      </c>
      <c r="AD1602" s="17">
        <v>1</v>
      </c>
      <c r="AE1602" s="17"/>
      <c r="AF1602" s="17"/>
      <c r="AG1602" s="14">
        <v>1970</v>
      </c>
      <c r="AH1602" s="14">
        <f t="shared" si="109"/>
        <v>35</v>
      </c>
      <c r="AI1602" s="17">
        <f t="shared" si="110"/>
        <v>36</v>
      </c>
      <c r="AJ1602" s="17"/>
      <c r="AK1602" s="17" t="s">
        <v>56</v>
      </c>
      <c r="AL1602" s="16" t="s">
        <v>615</v>
      </c>
      <c r="AM1602" s="17">
        <v>2011</v>
      </c>
      <c r="AN1602" s="15" t="s">
        <v>685</v>
      </c>
      <c r="AO1602" s="15" t="s">
        <v>56</v>
      </c>
      <c r="AP1602" s="15"/>
      <c r="AQ1602" s="15" t="s">
        <v>56</v>
      </c>
      <c r="AR1602" s="15" t="s">
        <v>58</v>
      </c>
      <c r="AS1602" s="15" t="s">
        <v>62</v>
      </c>
      <c r="AT1602" s="15"/>
      <c r="AU1602" s="45" t="s">
        <v>2657</v>
      </c>
      <c r="AV1602" s="15"/>
      <c r="AW1602" s="12" t="str">
        <f>B1602&amp;C1602&amp;L1602&amp;M1602&amp;O1602&amp;U1602&amp;AL1602&amp;AM1602</f>
        <v>KenyaMalindi, Watamu, Kisite, Mombasa Marine ParkBalistidaerichness2.07McClanahan2011</v>
      </c>
    </row>
    <row r="1603" spans="1:49" ht="14.5" x14ac:dyDescent="0.35">
      <c r="A1603" s="12">
        <v>1602</v>
      </c>
      <c r="B1603" s="12" t="s">
        <v>684</v>
      </c>
      <c r="C1603" s="15" t="s">
        <v>1265</v>
      </c>
      <c r="D1603" s="12" t="s">
        <v>2656</v>
      </c>
      <c r="E1603" s="12" t="s">
        <v>68</v>
      </c>
      <c r="F1603" s="13" t="s">
        <v>50</v>
      </c>
      <c r="G1603" s="13" t="s">
        <v>51</v>
      </c>
      <c r="H1603" s="13" t="s">
        <v>329</v>
      </c>
      <c r="I1603" s="13" t="s">
        <v>156</v>
      </c>
      <c r="J1603" s="14">
        <v>54</v>
      </c>
      <c r="K1603" s="17"/>
      <c r="L1603" s="14" t="s">
        <v>188</v>
      </c>
      <c r="M1603" s="14"/>
      <c r="N1603" s="14" t="s">
        <v>170</v>
      </c>
      <c r="O1603" s="17" t="s">
        <v>55</v>
      </c>
      <c r="P1603" s="14"/>
      <c r="Q1603" s="14"/>
      <c r="R1603" s="14"/>
      <c r="S1603" s="14">
        <v>2.64</v>
      </c>
      <c r="T1603" s="14">
        <v>2.63</v>
      </c>
      <c r="U1603" s="19">
        <f t="shared" si="108"/>
        <v>0.9962121212121211</v>
      </c>
      <c r="V1603" s="41">
        <f t="shared" si="111"/>
        <v>-0.37878787878788955</v>
      </c>
      <c r="W1603" s="14"/>
      <c r="X1603" s="14" t="s">
        <v>58</v>
      </c>
      <c r="Y1603" s="14">
        <v>250</v>
      </c>
      <c r="Z1603" s="14" t="s">
        <v>56</v>
      </c>
      <c r="AA1603" s="14"/>
      <c r="AB1603" s="14" t="s">
        <v>57</v>
      </c>
      <c r="AC1603" s="14">
        <v>2005</v>
      </c>
      <c r="AD1603" s="14">
        <v>1</v>
      </c>
      <c r="AE1603" s="14"/>
      <c r="AF1603" s="14"/>
      <c r="AG1603" s="17">
        <v>1970</v>
      </c>
      <c r="AH1603" s="14">
        <f t="shared" si="109"/>
        <v>35</v>
      </c>
      <c r="AI1603" s="17">
        <f t="shared" si="110"/>
        <v>36</v>
      </c>
      <c r="AJ1603" s="14"/>
      <c r="AK1603" s="14" t="s">
        <v>56</v>
      </c>
      <c r="AL1603" s="13" t="s">
        <v>615</v>
      </c>
      <c r="AM1603" s="14">
        <v>2011</v>
      </c>
      <c r="AN1603" s="12" t="s">
        <v>685</v>
      </c>
      <c r="AO1603" s="12" t="s">
        <v>56</v>
      </c>
      <c r="AP1603" s="12"/>
      <c r="AQ1603" s="12" t="s">
        <v>56</v>
      </c>
      <c r="AR1603" s="12" t="s">
        <v>58</v>
      </c>
      <c r="AS1603" s="12" t="s">
        <v>62</v>
      </c>
      <c r="AT1603" s="12"/>
      <c r="AU1603" s="45" t="s">
        <v>2657</v>
      </c>
      <c r="AV1603" s="15"/>
      <c r="AW1603" s="12" t="str">
        <f>B1603&amp;C1603&amp;L1603&amp;M1603&amp;O1603&amp;U1603&amp;AL1603&amp;AM1603</f>
        <v>KenyaMalindi, Watamu, Kisite, Mombasa Marine ParkChaetodontidaerichness0.996212121212121McClanahan2011</v>
      </c>
    </row>
    <row r="1604" spans="1:49" ht="14.5" x14ac:dyDescent="0.35">
      <c r="A1604" s="12">
        <v>1603</v>
      </c>
      <c r="B1604" s="12" t="s">
        <v>684</v>
      </c>
      <c r="C1604" s="12" t="s">
        <v>1265</v>
      </c>
      <c r="D1604" s="12" t="s">
        <v>2656</v>
      </c>
      <c r="E1604" s="12" t="s">
        <v>68</v>
      </c>
      <c r="F1604" s="13" t="s">
        <v>50</v>
      </c>
      <c r="G1604" s="13" t="s">
        <v>51</v>
      </c>
      <c r="H1604" s="13" t="s">
        <v>329</v>
      </c>
      <c r="I1604" s="13" t="s">
        <v>156</v>
      </c>
      <c r="J1604" s="17">
        <v>54</v>
      </c>
      <c r="K1604" s="17"/>
      <c r="L1604" s="14" t="s">
        <v>632</v>
      </c>
      <c r="M1604" s="14"/>
      <c r="N1604" s="14" t="s">
        <v>170</v>
      </c>
      <c r="O1604" s="17" t="s">
        <v>55</v>
      </c>
      <c r="P1604" s="14"/>
      <c r="Q1604" s="14"/>
      <c r="R1604" s="14"/>
      <c r="S1604" s="14">
        <v>1</v>
      </c>
      <c r="T1604" s="14">
        <v>1</v>
      </c>
      <c r="U1604" s="19">
        <f t="shared" si="108"/>
        <v>1</v>
      </c>
      <c r="V1604" s="41">
        <f t="shared" si="111"/>
        <v>0</v>
      </c>
      <c r="W1604" s="14"/>
      <c r="X1604" s="14" t="s">
        <v>58</v>
      </c>
      <c r="Y1604" s="14">
        <v>250</v>
      </c>
      <c r="Z1604" s="14" t="s">
        <v>56</v>
      </c>
      <c r="AA1604" s="14"/>
      <c r="AB1604" s="14" t="s">
        <v>57</v>
      </c>
      <c r="AC1604" s="14">
        <v>2005</v>
      </c>
      <c r="AD1604" s="14">
        <v>1</v>
      </c>
      <c r="AE1604" s="14"/>
      <c r="AF1604" s="14"/>
      <c r="AG1604" s="14">
        <v>1970</v>
      </c>
      <c r="AH1604" s="14">
        <f t="shared" si="109"/>
        <v>35</v>
      </c>
      <c r="AI1604" s="17">
        <f t="shared" si="110"/>
        <v>36</v>
      </c>
      <c r="AJ1604" s="14"/>
      <c r="AK1604" s="14" t="s">
        <v>56</v>
      </c>
      <c r="AL1604" s="13" t="s">
        <v>615</v>
      </c>
      <c r="AM1604" s="14">
        <v>2011</v>
      </c>
      <c r="AN1604" s="12" t="s">
        <v>685</v>
      </c>
      <c r="AO1604" s="12" t="s">
        <v>56</v>
      </c>
      <c r="AP1604" s="12"/>
      <c r="AQ1604" s="12" t="s">
        <v>56</v>
      </c>
      <c r="AR1604" s="12" t="s">
        <v>58</v>
      </c>
      <c r="AS1604" s="12" t="s">
        <v>62</v>
      </c>
      <c r="AT1604" s="12"/>
      <c r="AU1604" s="45" t="s">
        <v>2657</v>
      </c>
      <c r="AV1604" s="15"/>
      <c r="AW1604" s="12" t="str">
        <f>B1604&amp;C1604&amp;L1604&amp;M1604&amp;O1604&amp;U1604&amp;AL1604&amp;AM1604</f>
        <v>KenyaMalindi, Watamu, Kisite, Mombasa Marine ParkDiodontidaerichness1McClanahan2011</v>
      </c>
    </row>
    <row r="1605" spans="1:49" ht="14.5" x14ac:dyDescent="0.35">
      <c r="A1605" s="12">
        <v>1604</v>
      </c>
      <c r="B1605" s="12" t="s">
        <v>684</v>
      </c>
      <c r="C1605" s="12" t="s">
        <v>1265</v>
      </c>
      <c r="D1605" s="12" t="s">
        <v>2656</v>
      </c>
      <c r="E1605" s="12" t="s">
        <v>68</v>
      </c>
      <c r="F1605" s="13" t="s">
        <v>50</v>
      </c>
      <c r="G1605" s="13" t="s">
        <v>51</v>
      </c>
      <c r="H1605" s="13" t="s">
        <v>329</v>
      </c>
      <c r="I1605" s="13" t="s">
        <v>156</v>
      </c>
      <c r="J1605" s="14">
        <v>54</v>
      </c>
      <c r="K1605" s="17"/>
      <c r="L1605" s="14" t="s">
        <v>265</v>
      </c>
      <c r="M1605" s="14"/>
      <c r="N1605" s="14" t="s">
        <v>170</v>
      </c>
      <c r="O1605" s="17" t="s">
        <v>55</v>
      </c>
      <c r="P1605" s="14"/>
      <c r="Q1605" s="14"/>
      <c r="R1605" s="14"/>
      <c r="S1605" s="14">
        <v>7.31</v>
      </c>
      <c r="T1605" s="14">
        <v>13.56</v>
      </c>
      <c r="U1605" s="19">
        <f t="shared" si="108"/>
        <v>1.8549931600547198</v>
      </c>
      <c r="V1605" s="41">
        <f t="shared" si="111"/>
        <v>85.499316005471982</v>
      </c>
      <c r="W1605" s="14"/>
      <c r="X1605" s="14" t="s">
        <v>58</v>
      </c>
      <c r="Y1605" s="14">
        <v>250</v>
      </c>
      <c r="Z1605" s="14" t="s">
        <v>56</v>
      </c>
      <c r="AA1605" s="14"/>
      <c r="AB1605" s="14" t="s">
        <v>57</v>
      </c>
      <c r="AC1605" s="14">
        <v>2005</v>
      </c>
      <c r="AD1605" s="14">
        <v>1</v>
      </c>
      <c r="AE1605" s="14"/>
      <c r="AF1605" s="14"/>
      <c r="AG1605" s="14">
        <v>1970</v>
      </c>
      <c r="AH1605" s="14">
        <f t="shared" si="109"/>
        <v>35</v>
      </c>
      <c r="AI1605" s="17">
        <f t="shared" si="110"/>
        <v>36</v>
      </c>
      <c r="AJ1605" s="14"/>
      <c r="AK1605" s="14" t="s">
        <v>56</v>
      </c>
      <c r="AL1605" s="13" t="s">
        <v>615</v>
      </c>
      <c r="AM1605" s="14">
        <v>2011</v>
      </c>
      <c r="AN1605" s="12" t="s">
        <v>685</v>
      </c>
      <c r="AO1605" s="12" t="s">
        <v>56</v>
      </c>
      <c r="AP1605" s="12"/>
      <c r="AQ1605" s="12" t="s">
        <v>56</v>
      </c>
      <c r="AR1605" s="12" t="s">
        <v>58</v>
      </c>
      <c r="AS1605" s="12" t="s">
        <v>62</v>
      </c>
      <c r="AT1605" s="12"/>
      <c r="AU1605" s="45" t="s">
        <v>2657</v>
      </c>
      <c r="AV1605" s="15"/>
      <c r="AW1605" s="12" t="str">
        <f>B1605&amp;C1605&amp;L1605&amp;M1605&amp;O1605&amp;U1605&amp;AL1605&amp;AM1605</f>
        <v>KenyaMalindi, Watamu, Kisite, Mombasa Marine ParkLabridaerichness1.85499316005472McClanahan2011</v>
      </c>
    </row>
    <row r="1606" spans="1:49" ht="14.5" x14ac:dyDescent="0.35">
      <c r="A1606" s="12">
        <v>1605</v>
      </c>
      <c r="B1606" s="15" t="s">
        <v>684</v>
      </c>
      <c r="C1606" s="12" t="s">
        <v>1265</v>
      </c>
      <c r="D1606" s="12" t="s">
        <v>2656</v>
      </c>
      <c r="E1606" s="15" t="s">
        <v>68</v>
      </c>
      <c r="F1606" s="16" t="s">
        <v>50</v>
      </c>
      <c r="G1606" s="16" t="s">
        <v>51</v>
      </c>
      <c r="H1606" s="16" t="s">
        <v>329</v>
      </c>
      <c r="I1606" s="16" t="s">
        <v>156</v>
      </c>
      <c r="J1606" s="17">
        <v>54</v>
      </c>
      <c r="K1606" s="17"/>
      <c r="L1606" s="17" t="s">
        <v>629</v>
      </c>
      <c r="M1606" s="17"/>
      <c r="N1606" s="17" t="s">
        <v>170</v>
      </c>
      <c r="O1606" s="17" t="s">
        <v>55</v>
      </c>
      <c r="P1606" s="17"/>
      <c r="Q1606" s="17"/>
      <c r="R1606" s="17"/>
      <c r="S1606" s="17">
        <v>1.4</v>
      </c>
      <c r="T1606" s="17">
        <v>1.81</v>
      </c>
      <c r="U1606" s="20">
        <f t="shared" si="108"/>
        <v>1.2928571428571429</v>
      </c>
      <c r="V1606" s="41">
        <f t="shared" si="111"/>
        <v>29.285714285714292</v>
      </c>
      <c r="W1606" s="17"/>
      <c r="X1606" s="17" t="s">
        <v>58</v>
      </c>
      <c r="Y1606" s="14">
        <v>250</v>
      </c>
      <c r="Z1606" s="17" t="s">
        <v>56</v>
      </c>
      <c r="AA1606" s="14"/>
      <c r="AB1606" s="17" t="s">
        <v>57</v>
      </c>
      <c r="AC1606" s="17">
        <v>2005</v>
      </c>
      <c r="AD1606" s="17">
        <v>1</v>
      </c>
      <c r="AE1606" s="17"/>
      <c r="AF1606" s="17"/>
      <c r="AG1606" s="14">
        <v>1970</v>
      </c>
      <c r="AH1606" s="14">
        <f t="shared" si="109"/>
        <v>35</v>
      </c>
      <c r="AI1606" s="17">
        <f t="shared" si="110"/>
        <v>36</v>
      </c>
      <c r="AJ1606" s="17"/>
      <c r="AK1606" s="17" t="s">
        <v>56</v>
      </c>
      <c r="AL1606" s="16" t="s">
        <v>615</v>
      </c>
      <c r="AM1606" s="17">
        <v>2011</v>
      </c>
      <c r="AN1606" s="15" t="s">
        <v>685</v>
      </c>
      <c r="AO1606" s="15" t="s">
        <v>56</v>
      </c>
      <c r="AP1606" s="15"/>
      <c r="AQ1606" s="15" t="s">
        <v>56</v>
      </c>
      <c r="AR1606" s="15" t="s">
        <v>58</v>
      </c>
      <c r="AS1606" s="15" t="s">
        <v>62</v>
      </c>
      <c r="AT1606" s="15"/>
      <c r="AU1606" s="45" t="s">
        <v>2657</v>
      </c>
      <c r="AV1606" s="15"/>
      <c r="AW1606" s="12" t="str">
        <f>B1606&amp;C1606&amp;L1606&amp;M1606&amp;O1606&amp;U1606&amp;AL1606&amp;AM1606</f>
        <v>KenyaMalindi, Watamu, Kisite, Mombasa Marine ParkPomacanthidaerichness1.29285714285714McClanahan2011</v>
      </c>
    </row>
    <row r="1607" spans="1:49" ht="14.5" x14ac:dyDescent="0.35">
      <c r="A1607" s="12">
        <v>1606</v>
      </c>
      <c r="B1607" s="15" t="s">
        <v>684</v>
      </c>
      <c r="C1607" s="12" t="s">
        <v>1265</v>
      </c>
      <c r="D1607" s="12" t="s">
        <v>2656</v>
      </c>
      <c r="E1607" s="15" t="s">
        <v>68</v>
      </c>
      <c r="F1607" s="16" t="s">
        <v>50</v>
      </c>
      <c r="G1607" s="16" t="s">
        <v>51</v>
      </c>
      <c r="H1607" s="16" t="s">
        <v>329</v>
      </c>
      <c r="I1607" s="16" t="s">
        <v>156</v>
      </c>
      <c r="J1607" s="17">
        <v>54</v>
      </c>
      <c r="K1607" s="17"/>
      <c r="L1607" s="17" t="s">
        <v>269</v>
      </c>
      <c r="M1607" s="17"/>
      <c r="N1607" s="17" t="s">
        <v>170</v>
      </c>
      <c r="O1607" s="17" t="s">
        <v>55</v>
      </c>
      <c r="P1607" s="17"/>
      <c r="Q1607" s="17"/>
      <c r="R1607" s="17"/>
      <c r="S1607" s="17">
        <v>8.56</v>
      </c>
      <c r="T1607" s="17">
        <v>12.13</v>
      </c>
      <c r="U1607" s="20">
        <f t="shared" si="108"/>
        <v>1.4170560747663552</v>
      </c>
      <c r="V1607" s="41">
        <f t="shared" si="111"/>
        <v>41.705607476635521</v>
      </c>
      <c r="W1607" s="17"/>
      <c r="X1607" s="17" t="s">
        <v>58</v>
      </c>
      <c r="Y1607" s="14">
        <v>250</v>
      </c>
      <c r="Z1607" s="17" t="s">
        <v>56</v>
      </c>
      <c r="AA1607" s="14"/>
      <c r="AB1607" s="17" t="s">
        <v>57</v>
      </c>
      <c r="AC1607" s="17">
        <v>2005</v>
      </c>
      <c r="AD1607" s="17">
        <v>1</v>
      </c>
      <c r="AE1607" s="17"/>
      <c r="AF1607" s="17"/>
      <c r="AG1607" s="14">
        <v>1970</v>
      </c>
      <c r="AH1607" s="14">
        <f t="shared" si="109"/>
        <v>35</v>
      </c>
      <c r="AI1607" s="17">
        <f t="shared" si="110"/>
        <v>36</v>
      </c>
      <c r="AJ1607" s="17"/>
      <c r="AK1607" s="17" t="s">
        <v>56</v>
      </c>
      <c r="AL1607" s="16" t="s">
        <v>615</v>
      </c>
      <c r="AM1607" s="17">
        <v>2011</v>
      </c>
      <c r="AN1607" s="15" t="s">
        <v>685</v>
      </c>
      <c r="AO1607" s="15" t="s">
        <v>56</v>
      </c>
      <c r="AP1607" s="15"/>
      <c r="AQ1607" s="15" t="s">
        <v>56</v>
      </c>
      <c r="AR1607" s="15" t="s">
        <v>58</v>
      </c>
      <c r="AS1607" s="15" t="s">
        <v>62</v>
      </c>
      <c r="AT1607" s="15"/>
      <c r="AU1607" s="45" t="s">
        <v>2657</v>
      </c>
      <c r="AV1607" s="15"/>
      <c r="AW1607" s="12" t="str">
        <f>B1607&amp;C1607&amp;L1607&amp;M1607&amp;O1607&amp;U1607&amp;AL1607&amp;AM1607</f>
        <v>KenyaMalindi, Watamu, Kisite, Mombasa Marine ParkPomacentridaerichness1.41705607476636McClanahan2011</v>
      </c>
    </row>
    <row r="1608" spans="1:49" ht="14.5" x14ac:dyDescent="0.35">
      <c r="A1608" s="12">
        <v>1607</v>
      </c>
      <c r="B1608" s="15" t="s">
        <v>684</v>
      </c>
      <c r="C1608" s="12" t="s">
        <v>1265</v>
      </c>
      <c r="D1608" s="12" t="s">
        <v>2656</v>
      </c>
      <c r="E1608" s="15" t="s">
        <v>68</v>
      </c>
      <c r="F1608" s="16" t="s">
        <v>50</v>
      </c>
      <c r="G1608" s="16" t="s">
        <v>51</v>
      </c>
      <c r="H1608" s="16" t="s">
        <v>329</v>
      </c>
      <c r="I1608" s="16" t="s">
        <v>156</v>
      </c>
      <c r="J1608" s="17">
        <v>54</v>
      </c>
      <c r="K1608" s="17"/>
      <c r="L1608" s="17" t="s">
        <v>267</v>
      </c>
      <c r="M1608" s="17"/>
      <c r="N1608" s="17" t="s">
        <v>170</v>
      </c>
      <c r="O1608" s="17" t="s">
        <v>55</v>
      </c>
      <c r="P1608" s="17"/>
      <c r="Q1608" s="17"/>
      <c r="R1608" s="17"/>
      <c r="S1608" s="17">
        <v>1.4</v>
      </c>
      <c r="T1608" s="17">
        <v>5.13</v>
      </c>
      <c r="U1608" s="20">
        <f t="shared" si="108"/>
        <v>3.6642857142857146</v>
      </c>
      <c r="V1608" s="41">
        <f t="shared" si="111"/>
        <v>266.42857142857144</v>
      </c>
      <c r="W1608" s="17"/>
      <c r="X1608" s="17" t="s">
        <v>58</v>
      </c>
      <c r="Y1608" s="14">
        <v>250</v>
      </c>
      <c r="Z1608" s="17" t="s">
        <v>56</v>
      </c>
      <c r="AA1608" s="17"/>
      <c r="AB1608" s="17" t="s">
        <v>57</v>
      </c>
      <c r="AC1608" s="17">
        <v>2005</v>
      </c>
      <c r="AD1608" s="17">
        <v>1</v>
      </c>
      <c r="AE1608" s="17"/>
      <c r="AF1608" s="17"/>
      <c r="AG1608" s="14">
        <v>1970</v>
      </c>
      <c r="AH1608" s="14">
        <f t="shared" si="109"/>
        <v>35</v>
      </c>
      <c r="AI1608" s="17">
        <f t="shared" si="110"/>
        <v>36</v>
      </c>
      <c r="AJ1608" s="17"/>
      <c r="AK1608" s="17" t="s">
        <v>56</v>
      </c>
      <c r="AL1608" s="16" t="s">
        <v>615</v>
      </c>
      <c r="AM1608" s="17">
        <v>2011</v>
      </c>
      <c r="AN1608" s="15" t="s">
        <v>685</v>
      </c>
      <c r="AO1608" s="15" t="s">
        <v>56</v>
      </c>
      <c r="AP1608" s="15"/>
      <c r="AQ1608" s="15" t="s">
        <v>56</v>
      </c>
      <c r="AR1608" s="15" t="s">
        <v>58</v>
      </c>
      <c r="AS1608" s="15" t="s">
        <v>62</v>
      </c>
      <c r="AT1608" s="15"/>
      <c r="AU1608" s="45" t="s">
        <v>2657</v>
      </c>
      <c r="AV1608" s="15"/>
      <c r="AW1608" s="12" t="str">
        <f>B1608&amp;C1608&amp;L1608&amp;M1608&amp;O1608&amp;U1608&amp;AL1608&amp;AM1608</f>
        <v>KenyaMalindi, Watamu, Kisite, Mombasa Marine ParkScaridaerichness3.66428571428571McClanahan2011</v>
      </c>
    </row>
    <row r="1609" spans="1:49" ht="14.5" x14ac:dyDescent="0.35">
      <c r="A1609" s="12">
        <v>1608</v>
      </c>
      <c r="B1609" s="15" t="s">
        <v>684</v>
      </c>
      <c r="C1609" s="12" t="s">
        <v>1265</v>
      </c>
      <c r="D1609" s="12" t="s">
        <v>2656</v>
      </c>
      <c r="E1609" s="15" t="s">
        <v>68</v>
      </c>
      <c r="F1609" s="16" t="s">
        <v>50</v>
      </c>
      <c r="G1609" s="16" t="s">
        <v>51</v>
      </c>
      <c r="H1609" s="16" t="s">
        <v>329</v>
      </c>
      <c r="I1609" s="16" t="s">
        <v>156</v>
      </c>
      <c r="J1609" s="17">
        <v>54</v>
      </c>
      <c r="K1609" s="17"/>
      <c r="L1609" s="17"/>
      <c r="M1609" s="17" t="s">
        <v>69</v>
      </c>
      <c r="N1609" s="17" t="s">
        <v>1070</v>
      </c>
      <c r="O1609" s="17" t="s">
        <v>104</v>
      </c>
      <c r="P1609" s="17" t="s">
        <v>568</v>
      </c>
      <c r="Q1609" s="17"/>
      <c r="R1609" s="17"/>
      <c r="S1609" s="17">
        <v>7.3197970000000003</v>
      </c>
      <c r="T1609" s="17">
        <v>10.845039999999999</v>
      </c>
      <c r="U1609" s="20">
        <f t="shared" si="108"/>
        <v>1.4816039297264663</v>
      </c>
      <c r="V1609" s="41">
        <f t="shared" si="111"/>
        <v>48.160392972646626</v>
      </c>
      <c r="W1609" s="17"/>
      <c r="X1609" s="17" t="s">
        <v>58</v>
      </c>
      <c r="Y1609" s="14">
        <v>250</v>
      </c>
      <c r="Z1609" s="17" t="s">
        <v>56</v>
      </c>
      <c r="AA1609" s="17"/>
      <c r="AB1609" s="17" t="s">
        <v>57</v>
      </c>
      <c r="AC1609" s="17">
        <v>2005</v>
      </c>
      <c r="AD1609" s="17">
        <v>1</v>
      </c>
      <c r="AE1609" s="17"/>
      <c r="AF1609" s="17"/>
      <c r="AG1609" s="14">
        <v>1991</v>
      </c>
      <c r="AH1609" s="14">
        <f t="shared" si="109"/>
        <v>14</v>
      </c>
      <c r="AI1609" s="17">
        <f t="shared" si="110"/>
        <v>15</v>
      </c>
      <c r="AJ1609" s="17"/>
      <c r="AK1609" s="17" t="s">
        <v>56</v>
      </c>
      <c r="AL1609" s="16" t="s">
        <v>615</v>
      </c>
      <c r="AM1609" s="17">
        <v>2011</v>
      </c>
      <c r="AN1609" s="15" t="s">
        <v>685</v>
      </c>
      <c r="AO1609" s="15" t="s">
        <v>56</v>
      </c>
      <c r="AP1609" s="15"/>
      <c r="AQ1609" s="15" t="s">
        <v>56</v>
      </c>
      <c r="AR1609" s="15" t="s">
        <v>58</v>
      </c>
      <c r="AS1609" s="15" t="s">
        <v>62</v>
      </c>
      <c r="AT1609" s="15"/>
      <c r="AU1609" s="45" t="s">
        <v>2658</v>
      </c>
      <c r="AV1609" s="15"/>
      <c r="AW1609" s="12" t="str">
        <f>B1609&amp;C1609&amp;L1609&amp;M1609&amp;O1609&amp;U1609&amp;AL1609&amp;AM1609</f>
        <v>KenyaMalindi, Watamu, Kisite, Mombasa Marine Parkfishsize1.48160392972647McClanahan2011</v>
      </c>
    </row>
    <row r="1610" spans="1:49" ht="14.5" x14ac:dyDescent="0.35">
      <c r="A1610" s="12">
        <v>1609</v>
      </c>
      <c r="B1610" s="15" t="s">
        <v>2672</v>
      </c>
      <c r="C1610" s="12" t="s">
        <v>1413</v>
      </c>
      <c r="D1610" s="12" t="s">
        <v>1419</v>
      </c>
      <c r="E1610" s="15" t="s">
        <v>68</v>
      </c>
      <c r="F1610" s="16" t="s">
        <v>50</v>
      </c>
      <c r="G1610" s="16" t="s">
        <v>51</v>
      </c>
      <c r="H1610" s="16" t="s">
        <v>108</v>
      </c>
      <c r="I1610" s="16" t="s">
        <v>156</v>
      </c>
      <c r="J1610" s="17">
        <v>81</v>
      </c>
      <c r="K1610" s="17"/>
      <c r="L1610" s="17"/>
      <c r="M1610" s="17" t="s">
        <v>1420</v>
      </c>
      <c r="N1610" s="53" t="s">
        <v>98</v>
      </c>
      <c r="O1610" s="17" t="s">
        <v>86</v>
      </c>
      <c r="P1610" s="17"/>
      <c r="Q1610" s="17"/>
      <c r="R1610" s="17"/>
      <c r="S1610" s="17">
        <v>94.135800000000003</v>
      </c>
      <c r="T1610" s="17">
        <f>(96.60494+91.66667)/2</f>
        <v>94.135805000000005</v>
      </c>
      <c r="U1610" s="20">
        <f t="shared" si="108"/>
        <v>1.0000000531147555</v>
      </c>
      <c r="V1610" s="41">
        <f t="shared" si="111"/>
        <v>5.3114755482752685E-6</v>
      </c>
      <c r="W1610" s="17"/>
      <c r="X1610" s="17" t="s">
        <v>56</v>
      </c>
      <c r="Z1610" s="17" t="s">
        <v>56</v>
      </c>
      <c r="AA1610" s="17"/>
      <c r="AB1610" s="17" t="s">
        <v>57</v>
      </c>
      <c r="AC1610" s="17">
        <v>2005</v>
      </c>
      <c r="AD1610" s="17">
        <v>5</v>
      </c>
      <c r="AE1610" s="17"/>
      <c r="AF1610" s="17"/>
      <c r="AG1610" s="14">
        <v>2004</v>
      </c>
      <c r="AH1610" s="14">
        <f t="shared" si="109"/>
        <v>1</v>
      </c>
      <c r="AI1610" s="17">
        <f t="shared" si="110"/>
        <v>6</v>
      </c>
      <c r="AJ1610" s="17"/>
      <c r="AK1610" s="17" t="s">
        <v>58</v>
      </c>
      <c r="AL1610" s="16" t="s">
        <v>1421</v>
      </c>
      <c r="AM1610" s="17">
        <v>2014</v>
      </c>
      <c r="AN1610" s="15" t="s">
        <v>706</v>
      </c>
      <c r="AO1610" s="15" t="s">
        <v>56</v>
      </c>
      <c r="AP1610" s="15"/>
      <c r="AQ1610" s="15" t="s">
        <v>56</v>
      </c>
      <c r="AR1610" s="15" t="s">
        <v>58</v>
      </c>
      <c r="AS1610" s="15" t="s">
        <v>62</v>
      </c>
      <c r="AT1610" s="15"/>
      <c r="AU1610" s="45" t="s">
        <v>2673</v>
      </c>
      <c r="AV1610" s="15"/>
      <c r="AW1610" s="12" t="str">
        <f>B1610&amp;C1610&amp;L1610&amp;M1610&amp;O1610&amp;U1610&amp;AL1610&amp;AM1610</f>
        <v>Puerto Rico (US territory)Mona and Monito Island no-take zonesmall fishdensity1.00000005311476Mateos-Molina2014</v>
      </c>
    </row>
    <row r="1611" spans="1:49" ht="14.5" x14ac:dyDescent="0.35">
      <c r="A1611" s="12">
        <v>1610</v>
      </c>
      <c r="B1611" s="15" t="s">
        <v>2672</v>
      </c>
      <c r="C1611" s="12" t="s">
        <v>1413</v>
      </c>
      <c r="D1611" s="12" t="s">
        <v>1419</v>
      </c>
      <c r="E1611" s="15" t="s">
        <v>68</v>
      </c>
      <c r="F1611" s="16" t="s">
        <v>50</v>
      </c>
      <c r="G1611" s="16" t="s">
        <v>51</v>
      </c>
      <c r="H1611" s="16" t="s">
        <v>108</v>
      </c>
      <c r="I1611" s="16" t="s">
        <v>156</v>
      </c>
      <c r="J1611" s="17">
        <v>81</v>
      </c>
      <c r="K1611" s="17"/>
      <c r="L1611" s="17"/>
      <c r="M1611" s="17" t="s">
        <v>1422</v>
      </c>
      <c r="N1611" s="53" t="s">
        <v>98</v>
      </c>
      <c r="O1611" s="17" t="s">
        <v>86</v>
      </c>
      <c r="P1611" s="17"/>
      <c r="Q1611" s="17"/>
      <c r="R1611" s="17"/>
      <c r="S1611" s="17">
        <v>23.456790000000002</v>
      </c>
      <c r="T1611" s="17">
        <f>(31.48148+56.17284)/2</f>
        <v>43.827159999999999</v>
      </c>
      <c r="U1611" s="20">
        <f t="shared" si="108"/>
        <v>1.8684210414127422</v>
      </c>
      <c r="V1611" s="41">
        <f t="shared" si="111"/>
        <v>86.84210414127422</v>
      </c>
      <c r="W1611" s="17"/>
      <c r="X1611" s="17" t="s">
        <v>56</v>
      </c>
      <c r="Z1611" s="17" t="s">
        <v>56</v>
      </c>
      <c r="AA1611" s="14"/>
      <c r="AB1611" s="17" t="s">
        <v>57</v>
      </c>
      <c r="AC1611" s="17">
        <v>2005</v>
      </c>
      <c r="AD1611" s="17">
        <v>5</v>
      </c>
      <c r="AE1611" s="17"/>
      <c r="AF1611" s="17"/>
      <c r="AG1611" s="14">
        <v>2004</v>
      </c>
      <c r="AH1611" s="14">
        <f t="shared" si="109"/>
        <v>1</v>
      </c>
      <c r="AI1611" s="17">
        <f t="shared" si="110"/>
        <v>6</v>
      </c>
      <c r="AJ1611" s="17"/>
      <c r="AK1611" s="17" t="s">
        <v>58</v>
      </c>
      <c r="AL1611" s="16" t="s">
        <v>1421</v>
      </c>
      <c r="AM1611" s="17">
        <v>2014</v>
      </c>
      <c r="AN1611" s="15" t="s">
        <v>706</v>
      </c>
      <c r="AO1611" s="15" t="s">
        <v>56</v>
      </c>
      <c r="AP1611" s="15"/>
      <c r="AQ1611" s="15" t="s">
        <v>56</v>
      </c>
      <c r="AR1611" s="15" t="s">
        <v>58</v>
      </c>
      <c r="AS1611" s="15" t="s">
        <v>62</v>
      </c>
      <c r="AT1611" s="15"/>
      <c r="AU1611" s="45"/>
      <c r="AV1611" s="15"/>
      <c r="AW1611" s="12" t="str">
        <f>B1611&amp;C1611&amp;L1611&amp;M1611&amp;O1611&amp;U1611&amp;AL1611&amp;AM1611</f>
        <v>Puerto Rico (US territory)Mona and Monito Island no-take zonemedium fishdensity1.86842104141274Mateos-Molina2014</v>
      </c>
    </row>
    <row r="1612" spans="1:49" ht="14.5" x14ac:dyDescent="0.35">
      <c r="A1612" s="12">
        <v>1611</v>
      </c>
      <c r="B1612" s="15" t="s">
        <v>2672</v>
      </c>
      <c r="C1612" s="12" t="s">
        <v>1413</v>
      </c>
      <c r="D1612" s="12" t="s">
        <v>1419</v>
      </c>
      <c r="E1612" s="15" t="s">
        <v>68</v>
      </c>
      <c r="F1612" s="13" t="s">
        <v>50</v>
      </c>
      <c r="G1612" s="13" t="s">
        <v>51</v>
      </c>
      <c r="H1612" s="16" t="s">
        <v>108</v>
      </c>
      <c r="I1612" s="16" t="s">
        <v>156</v>
      </c>
      <c r="J1612" s="17">
        <v>81</v>
      </c>
      <c r="K1612" s="17"/>
      <c r="L1612" s="17"/>
      <c r="M1612" s="17" t="s">
        <v>1354</v>
      </c>
      <c r="N1612" s="53" t="s">
        <v>98</v>
      </c>
      <c r="O1612" s="17" t="s">
        <v>86</v>
      </c>
      <c r="P1612" s="17"/>
      <c r="Q1612" s="17"/>
      <c r="R1612" s="17"/>
      <c r="S1612" s="17">
        <v>4.3209879999999998</v>
      </c>
      <c r="T1612" s="17">
        <f>(10.80247+7.098765)/2</f>
        <v>8.9506174999999999</v>
      </c>
      <c r="U1612" s="20">
        <f t="shared" si="108"/>
        <v>2.0714284557142952</v>
      </c>
      <c r="V1612" s="41">
        <f t="shared" si="111"/>
        <v>107.14284557142952</v>
      </c>
      <c r="W1612" s="17"/>
      <c r="X1612" s="17" t="s">
        <v>56</v>
      </c>
      <c r="Z1612" s="17" t="s">
        <v>56</v>
      </c>
      <c r="AA1612" s="17"/>
      <c r="AB1612" s="17" t="s">
        <v>57</v>
      </c>
      <c r="AC1612" s="17">
        <v>2005</v>
      </c>
      <c r="AD1612" s="17">
        <v>5</v>
      </c>
      <c r="AE1612" s="17"/>
      <c r="AF1612" s="17"/>
      <c r="AG1612" s="14">
        <v>2004</v>
      </c>
      <c r="AH1612" s="14">
        <f t="shared" si="109"/>
        <v>1</v>
      </c>
      <c r="AI1612" s="17">
        <f t="shared" si="110"/>
        <v>6</v>
      </c>
      <c r="AJ1612" s="17"/>
      <c r="AK1612" s="17" t="s">
        <v>58</v>
      </c>
      <c r="AL1612" s="16" t="s">
        <v>1421</v>
      </c>
      <c r="AM1612" s="17">
        <v>2014</v>
      </c>
      <c r="AN1612" s="15" t="s">
        <v>706</v>
      </c>
      <c r="AO1612" s="15" t="s">
        <v>56</v>
      </c>
      <c r="AP1612" s="15"/>
      <c r="AQ1612" s="15" t="s">
        <v>56</v>
      </c>
      <c r="AR1612" s="15" t="s">
        <v>58</v>
      </c>
      <c r="AS1612" s="15" t="s">
        <v>62</v>
      </c>
      <c r="AT1612" s="15"/>
      <c r="AU1612" s="45"/>
      <c r="AV1612" s="15"/>
      <c r="AW1612" s="12" t="str">
        <f>B1612&amp;C1612&amp;L1612&amp;M1612&amp;O1612&amp;U1612&amp;AL1612&amp;AM1612</f>
        <v>Puerto Rico (US territory)Mona and Monito Island no-take zonelarge fishdensity2.0714284557143Mateos-Molina2014</v>
      </c>
    </row>
    <row r="1613" spans="1:49" ht="14.5" x14ac:dyDescent="0.35">
      <c r="A1613" s="12">
        <v>1612</v>
      </c>
      <c r="B1613" s="15" t="s">
        <v>2672</v>
      </c>
      <c r="C1613" s="12" t="s">
        <v>1413</v>
      </c>
      <c r="D1613" s="12" t="s">
        <v>1419</v>
      </c>
      <c r="E1613" s="15" t="s">
        <v>68</v>
      </c>
      <c r="F1613" s="13" t="s">
        <v>50</v>
      </c>
      <c r="G1613" s="13" t="s">
        <v>51</v>
      </c>
      <c r="H1613" s="16" t="s">
        <v>108</v>
      </c>
      <c r="I1613" s="16" t="s">
        <v>156</v>
      </c>
      <c r="J1613" s="17">
        <v>81</v>
      </c>
      <c r="K1613" s="17"/>
      <c r="L1613" s="17"/>
      <c r="M1613" s="17" t="s">
        <v>1420</v>
      </c>
      <c r="N1613" s="53" t="s">
        <v>98</v>
      </c>
      <c r="O1613" s="17" t="s">
        <v>70</v>
      </c>
      <c r="P1613" s="17"/>
      <c r="Q1613" s="17"/>
      <c r="R1613" s="17"/>
      <c r="S1613" s="17">
        <v>3896.7139999999999</v>
      </c>
      <c r="T1613" s="17">
        <f>(11549.3+4882.629)/2</f>
        <v>8215.9645</v>
      </c>
      <c r="U1613" s="20">
        <f t="shared" si="108"/>
        <v>2.1084340549498886</v>
      </c>
      <c r="V1613" s="41">
        <f t="shared" si="111"/>
        <v>110.84340549498886</v>
      </c>
      <c r="W1613" s="17"/>
      <c r="X1613" s="17" t="s">
        <v>56</v>
      </c>
      <c r="Z1613" s="17" t="s">
        <v>56</v>
      </c>
      <c r="AA1613" s="14"/>
      <c r="AB1613" s="17" t="s">
        <v>57</v>
      </c>
      <c r="AC1613" s="17">
        <v>2005</v>
      </c>
      <c r="AD1613" s="17">
        <v>5</v>
      </c>
      <c r="AE1613" s="17"/>
      <c r="AF1613" s="17"/>
      <c r="AG1613" s="14">
        <v>2004</v>
      </c>
      <c r="AH1613" s="14">
        <f t="shared" si="109"/>
        <v>1</v>
      </c>
      <c r="AI1613" s="17">
        <f t="shared" si="110"/>
        <v>6</v>
      </c>
      <c r="AJ1613" s="17"/>
      <c r="AK1613" s="17" t="s">
        <v>58</v>
      </c>
      <c r="AL1613" s="16" t="s">
        <v>1421</v>
      </c>
      <c r="AM1613" s="17">
        <v>2014</v>
      </c>
      <c r="AN1613" s="15" t="s">
        <v>706</v>
      </c>
      <c r="AO1613" s="15" t="s">
        <v>56</v>
      </c>
      <c r="AP1613" s="15"/>
      <c r="AQ1613" s="15" t="s">
        <v>56</v>
      </c>
      <c r="AR1613" s="15" t="s">
        <v>58</v>
      </c>
      <c r="AS1613" s="15" t="s">
        <v>62</v>
      </c>
      <c r="AT1613" s="15"/>
      <c r="AU1613" s="45"/>
      <c r="AV1613" s="15"/>
      <c r="AW1613" s="12" t="str">
        <f>B1613&amp;C1613&amp;L1613&amp;M1613&amp;O1613&amp;U1613&amp;AL1613&amp;AM1613</f>
        <v>Puerto Rico (US territory)Mona and Monito Island no-take zonesmall fishbiomassden2.10843405494989Mateos-Molina2014</v>
      </c>
    </row>
    <row r="1614" spans="1:49" ht="14.5" x14ac:dyDescent="0.35">
      <c r="A1614" s="12">
        <v>1613</v>
      </c>
      <c r="B1614" s="15" t="s">
        <v>2672</v>
      </c>
      <c r="C1614" s="12" t="s">
        <v>1413</v>
      </c>
      <c r="D1614" s="12" t="s">
        <v>1419</v>
      </c>
      <c r="E1614" s="15" t="s">
        <v>68</v>
      </c>
      <c r="F1614" s="16" t="s">
        <v>50</v>
      </c>
      <c r="G1614" s="16" t="s">
        <v>51</v>
      </c>
      <c r="H1614" s="16" t="s">
        <v>108</v>
      </c>
      <c r="I1614" s="16" t="s">
        <v>156</v>
      </c>
      <c r="J1614" s="17">
        <v>81</v>
      </c>
      <c r="K1614" s="17"/>
      <c r="L1614" s="17"/>
      <c r="M1614" s="17" t="s">
        <v>1422</v>
      </c>
      <c r="N1614" s="53" t="s">
        <v>98</v>
      </c>
      <c r="O1614" s="17" t="s">
        <v>70</v>
      </c>
      <c r="P1614" s="17"/>
      <c r="Q1614" s="17"/>
      <c r="R1614" s="17"/>
      <c r="S1614" s="17">
        <v>5586.8540000000003</v>
      </c>
      <c r="T1614" s="17">
        <f>(6995.305+13239.44)/2</f>
        <v>10117.372500000001</v>
      </c>
      <c r="U1614" s="20">
        <f t="shared" si="108"/>
        <v>1.8109248066980095</v>
      </c>
      <c r="V1614" s="41">
        <f t="shared" si="111"/>
        <v>81.092480669800949</v>
      </c>
      <c r="W1614" s="17"/>
      <c r="X1614" s="17" t="s">
        <v>56</v>
      </c>
      <c r="Z1614" s="17" t="s">
        <v>56</v>
      </c>
      <c r="AA1614" s="14"/>
      <c r="AB1614" s="17" t="s">
        <v>57</v>
      </c>
      <c r="AC1614" s="17">
        <v>2005</v>
      </c>
      <c r="AD1614" s="17">
        <v>5</v>
      </c>
      <c r="AE1614" s="17"/>
      <c r="AF1614" s="17"/>
      <c r="AG1614" s="14">
        <v>2004</v>
      </c>
      <c r="AH1614" s="14">
        <f t="shared" si="109"/>
        <v>1</v>
      </c>
      <c r="AI1614" s="17">
        <f t="shared" si="110"/>
        <v>6</v>
      </c>
      <c r="AJ1614" s="17"/>
      <c r="AK1614" s="17" t="s">
        <v>58</v>
      </c>
      <c r="AL1614" s="16" t="s">
        <v>1421</v>
      </c>
      <c r="AM1614" s="17">
        <v>2014</v>
      </c>
      <c r="AN1614" s="15" t="s">
        <v>706</v>
      </c>
      <c r="AO1614" s="15" t="s">
        <v>56</v>
      </c>
      <c r="AP1614" s="15"/>
      <c r="AQ1614" s="15" t="s">
        <v>56</v>
      </c>
      <c r="AR1614" s="15" t="s">
        <v>58</v>
      </c>
      <c r="AS1614" s="15" t="s">
        <v>62</v>
      </c>
      <c r="AT1614" s="15"/>
      <c r="AU1614" s="45"/>
      <c r="AV1614" s="15"/>
      <c r="AW1614" s="12" t="str">
        <f>B1614&amp;C1614&amp;L1614&amp;M1614&amp;O1614&amp;U1614&amp;AL1614&amp;AM1614</f>
        <v>Puerto Rico (US territory)Mona and Monito Island no-take zonemedium fishbiomassden1.81092480669801Mateos-Molina2014</v>
      </c>
    </row>
    <row r="1615" spans="1:49" ht="14.5" x14ac:dyDescent="0.35">
      <c r="A1615" s="12">
        <v>1614</v>
      </c>
      <c r="B1615" s="15" t="s">
        <v>1278</v>
      </c>
      <c r="C1615" s="12" t="s">
        <v>1288</v>
      </c>
      <c r="D1615" s="12" t="s">
        <v>1289</v>
      </c>
      <c r="E1615" s="15" t="s">
        <v>49</v>
      </c>
      <c r="F1615" s="16" t="s">
        <v>50</v>
      </c>
      <c r="G1615" s="16" t="s">
        <v>51</v>
      </c>
      <c r="H1615" s="16" t="s">
        <v>329</v>
      </c>
      <c r="I1615" s="16" t="s">
        <v>156</v>
      </c>
      <c r="J1615" s="17"/>
      <c r="K1615" s="17">
        <v>3.5</v>
      </c>
      <c r="L1615" s="17"/>
      <c r="M1615" s="17" t="s">
        <v>1290</v>
      </c>
      <c r="N1615" s="53" t="s">
        <v>98</v>
      </c>
      <c r="O1615" s="17" t="s">
        <v>101</v>
      </c>
      <c r="P1615" s="17"/>
      <c r="Q1615" s="17"/>
      <c r="R1615" s="17"/>
      <c r="S1615" s="17">
        <v>0.66666700000000001</v>
      </c>
      <c r="T1615" s="17">
        <v>77.333330000000004</v>
      </c>
      <c r="U1615" s="20">
        <f t="shared" si="108"/>
        <v>115.99993700003151</v>
      </c>
      <c r="V1615" s="41">
        <f t="shared" si="111"/>
        <v>11499.993700003151</v>
      </c>
      <c r="W1615" s="17"/>
      <c r="X1615" s="17" t="s">
        <v>56</v>
      </c>
      <c r="Z1615" s="17" t="s">
        <v>56</v>
      </c>
      <c r="AA1615" s="14"/>
      <c r="AB1615" s="17" t="s">
        <v>57</v>
      </c>
      <c r="AC1615" s="17">
        <v>2012</v>
      </c>
      <c r="AD1615" s="17">
        <v>0</v>
      </c>
      <c r="AE1615" s="17"/>
      <c r="AF1615" s="17"/>
      <c r="AG1615" s="14">
        <v>1986</v>
      </c>
      <c r="AH1615" s="14">
        <f t="shared" si="109"/>
        <v>26</v>
      </c>
      <c r="AI1615" s="17">
        <f t="shared" si="110"/>
        <v>26</v>
      </c>
      <c r="AJ1615" s="17"/>
      <c r="AK1615" s="17" t="s">
        <v>56</v>
      </c>
      <c r="AL1615" s="16" t="s">
        <v>1291</v>
      </c>
      <c r="AM1615" s="17">
        <v>2014</v>
      </c>
      <c r="AN1615" s="15" t="s">
        <v>1292</v>
      </c>
      <c r="AO1615" s="15" t="s">
        <v>56</v>
      </c>
      <c r="AP1615" s="15"/>
      <c r="AQ1615" s="15" t="s">
        <v>56</v>
      </c>
      <c r="AR1615" s="15" t="s">
        <v>58</v>
      </c>
      <c r="AS1615" s="15" t="s">
        <v>62</v>
      </c>
      <c r="AT1615" s="15"/>
      <c r="AU1615" s="45" t="s">
        <v>2851</v>
      </c>
      <c r="AV1615" s="15"/>
      <c r="AW1615" s="12" t="str">
        <f>B1615&amp;C1615&amp;L1615&amp;M1615&amp;O1615&amp;U1615&amp;AL1615&amp;AM1615</f>
        <v>IndiaManoli Reef Complexlive healthy coralcover115.999937000032Manikandan2014</v>
      </c>
    </row>
    <row r="1616" spans="1:49" ht="14.5" x14ac:dyDescent="0.35">
      <c r="A1616" s="12">
        <v>1615</v>
      </c>
      <c r="B1616" s="15" t="s">
        <v>1278</v>
      </c>
      <c r="C1616" s="12" t="s">
        <v>1288</v>
      </c>
      <c r="D1616" s="12" t="s">
        <v>1289</v>
      </c>
      <c r="E1616" s="15" t="s">
        <v>49</v>
      </c>
      <c r="F1616" s="16" t="s">
        <v>50</v>
      </c>
      <c r="G1616" s="16" t="s">
        <v>51</v>
      </c>
      <c r="H1616" s="16" t="s">
        <v>329</v>
      </c>
      <c r="I1616" s="16" t="s">
        <v>156</v>
      </c>
      <c r="J1616" s="17"/>
      <c r="K1616" s="17">
        <v>3.5</v>
      </c>
      <c r="L1616" s="17"/>
      <c r="M1616" s="17" t="s">
        <v>1293</v>
      </c>
      <c r="N1616" s="53" t="s">
        <v>98</v>
      </c>
      <c r="O1616" s="17" t="s">
        <v>101</v>
      </c>
      <c r="P1616" s="17"/>
      <c r="Q1616" s="17"/>
      <c r="R1616" s="17"/>
      <c r="S1616" s="17">
        <v>94.222219999999993</v>
      </c>
      <c r="T1616" s="17">
        <v>2.2222219999999999</v>
      </c>
      <c r="U1616" s="20">
        <f t="shared" si="108"/>
        <v>2.3584903858134526E-2</v>
      </c>
      <c r="V1616" s="41">
        <f t="shared" si="111"/>
        <v>-97.641509614186546</v>
      </c>
      <c r="W1616" s="17"/>
      <c r="X1616" s="17" t="s">
        <v>56</v>
      </c>
      <c r="Z1616" s="17" t="s">
        <v>56</v>
      </c>
      <c r="AA1616" s="14"/>
      <c r="AB1616" s="17" t="s">
        <v>57</v>
      </c>
      <c r="AC1616" s="17">
        <v>2012</v>
      </c>
      <c r="AD1616" s="17">
        <v>0</v>
      </c>
      <c r="AE1616" s="17"/>
      <c r="AF1616" s="17"/>
      <c r="AG1616" s="14">
        <v>1986</v>
      </c>
      <c r="AH1616" s="14">
        <f t="shared" si="109"/>
        <v>26</v>
      </c>
      <c r="AI1616" s="17">
        <f t="shared" si="110"/>
        <v>26</v>
      </c>
      <c r="AJ1616" s="17"/>
      <c r="AK1616" s="17" t="s">
        <v>56</v>
      </c>
      <c r="AL1616" s="16" t="s">
        <v>1291</v>
      </c>
      <c r="AM1616" s="17">
        <v>2014</v>
      </c>
      <c r="AN1616" s="15" t="s">
        <v>1292</v>
      </c>
      <c r="AO1616" s="15" t="s">
        <v>56</v>
      </c>
      <c r="AP1616" s="15"/>
      <c r="AQ1616" s="15" t="s">
        <v>56</v>
      </c>
      <c r="AR1616" s="15" t="s">
        <v>58</v>
      </c>
      <c r="AS1616" s="15" t="s">
        <v>62</v>
      </c>
      <c r="AT1616" s="15"/>
      <c r="AU1616" s="45" t="s">
        <v>2827</v>
      </c>
      <c r="AV1616" s="15"/>
      <c r="AW1616" s="12" t="str">
        <f>B1616&amp;C1616&amp;L1616&amp;M1616&amp;O1616&amp;U1616&amp;AL1616&amp;AM1616</f>
        <v>IndiaManoli Reef Complexlive turf colonized healthy coralcover0.0235849038581345Manikandan2014</v>
      </c>
    </row>
    <row r="1617" spans="1:49" ht="14.5" x14ac:dyDescent="0.35">
      <c r="A1617" s="12">
        <v>1616</v>
      </c>
      <c r="B1617" s="15" t="s">
        <v>1278</v>
      </c>
      <c r="C1617" s="12" t="s">
        <v>1288</v>
      </c>
      <c r="D1617" s="12" t="s">
        <v>1289</v>
      </c>
      <c r="E1617" s="15" t="s">
        <v>49</v>
      </c>
      <c r="F1617" s="16" t="s">
        <v>50</v>
      </c>
      <c r="G1617" s="16" t="s">
        <v>51</v>
      </c>
      <c r="H1617" s="16" t="s">
        <v>329</v>
      </c>
      <c r="I1617" s="16" t="s">
        <v>156</v>
      </c>
      <c r="J1617" s="17"/>
      <c r="K1617" s="17">
        <v>3.5</v>
      </c>
      <c r="L1617" s="17"/>
      <c r="M1617" s="17" t="s">
        <v>1294</v>
      </c>
      <c r="N1617" s="53" t="s">
        <v>98</v>
      </c>
      <c r="O1617" s="17" t="s">
        <v>101</v>
      </c>
      <c r="P1617" s="17"/>
      <c r="Q1617" s="17"/>
      <c r="R1617" s="17"/>
      <c r="S1617" s="17">
        <v>5.7777779999999996</v>
      </c>
      <c r="T1617" s="17">
        <v>21.33333</v>
      </c>
      <c r="U1617" s="20">
        <f t="shared" si="108"/>
        <v>3.6923069733728089</v>
      </c>
      <c r="V1617" s="41">
        <f t="shared" si="111"/>
        <v>269.2306973372809</v>
      </c>
      <c r="W1617" s="17"/>
      <c r="X1617" s="17" t="s">
        <v>56</v>
      </c>
      <c r="Z1617" s="17" t="s">
        <v>56</v>
      </c>
      <c r="AA1617" s="17"/>
      <c r="AB1617" s="17" t="s">
        <v>57</v>
      </c>
      <c r="AC1617" s="17">
        <v>2012</v>
      </c>
      <c r="AD1617" s="17">
        <v>0</v>
      </c>
      <c r="AE1617" s="17"/>
      <c r="AF1617" s="17"/>
      <c r="AG1617" s="14">
        <v>1986</v>
      </c>
      <c r="AH1617" s="14">
        <f t="shared" si="109"/>
        <v>26</v>
      </c>
      <c r="AI1617" s="17">
        <f t="shared" si="110"/>
        <v>26</v>
      </c>
      <c r="AJ1617" s="17"/>
      <c r="AK1617" s="17" t="s">
        <v>56</v>
      </c>
      <c r="AL1617" s="16" t="s">
        <v>1291</v>
      </c>
      <c r="AM1617" s="17">
        <v>2014</v>
      </c>
      <c r="AN1617" s="15" t="s">
        <v>1292</v>
      </c>
      <c r="AO1617" s="15" t="s">
        <v>56</v>
      </c>
      <c r="AP1617" s="15"/>
      <c r="AQ1617" s="15" t="s">
        <v>56</v>
      </c>
      <c r="AR1617" s="15" t="s">
        <v>58</v>
      </c>
      <c r="AS1617" s="15" t="s">
        <v>62</v>
      </c>
      <c r="AT1617" s="15"/>
      <c r="AU1617" s="45" t="s">
        <v>2827</v>
      </c>
      <c r="AV1617" s="15"/>
      <c r="AW1617" s="12" t="str">
        <f>B1617&amp;C1617&amp;L1617&amp;M1617&amp;O1617&amp;U1617&amp;AL1617&amp;AM1617</f>
        <v>IndiaManoli Reef Complexlive macroalgae colonized healthy coralcover3.69230697337281Manikandan2014</v>
      </c>
    </row>
    <row r="1618" spans="1:49" ht="14.5" x14ac:dyDescent="0.35">
      <c r="A1618" s="12">
        <v>1617</v>
      </c>
      <c r="B1618" s="15" t="s">
        <v>1278</v>
      </c>
      <c r="C1618" s="15" t="s">
        <v>1288</v>
      </c>
      <c r="D1618" s="12" t="s">
        <v>1289</v>
      </c>
      <c r="E1618" s="15" t="s">
        <v>49</v>
      </c>
      <c r="F1618" s="16" t="s">
        <v>50</v>
      </c>
      <c r="G1618" s="16" t="s">
        <v>51</v>
      </c>
      <c r="H1618" s="16" t="s">
        <v>329</v>
      </c>
      <c r="I1618" s="16" t="s">
        <v>156</v>
      </c>
      <c r="J1618" s="17"/>
      <c r="K1618" s="17">
        <v>3.5</v>
      </c>
      <c r="L1618" s="17"/>
      <c r="M1618" s="17" t="s">
        <v>786</v>
      </c>
      <c r="N1618" s="17" t="s">
        <v>1070</v>
      </c>
      <c r="O1618" s="17" t="s">
        <v>55</v>
      </c>
      <c r="P1618" s="17"/>
      <c r="Q1618" s="17"/>
      <c r="R1618" s="17"/>
      <c r="S1618" s="17">
        <v>5</v>
      </c>
      <c r="T1618" s="17">
        <v>10</v>
      </c>
      <c r="U1618" s="20">
        <f t="shared" si="108"/>
        <v>2</v>
      </c>
      <c r="V1618" s="41">
        <f t="shared" si="111"/>
        <v>100</v>
      </c>
      <c r="W1618" s="17"/>
      <c r="X1618" s="17" t="s">
        <v>56</v>
      </c>
      <c r="Z1618" s="17" t="s">
        <v>56</v>
      </c>
      <c r="AA1618" s="17"/>
      <c r="AB1618" s="17" t="s">
        <v>57</v>
      </c>
      <c r="AC1618" s="17">
        <v>2012</v>
      </c>
      <c r="AD1618" s="17">
        <v>0</v>
      </c>
      <c r="AE1618" s="17"/>
      <c r="AF1618" s="17"/>
      <c r="AG1618" s="17">
        <v>1986</v>
      </c>
      <c r="AH1618" s="14">
        <f t="shared" si="109"/>
        <v>26</v>
      </c>
      <c r="AI1618" s="17">
        <f t="shared" si="110"/>
        <v>26</v>
      </c>
      <c r="AJ1618" s="17"/>
      <c r="AK1618" s="17" t="s">
        <v>56</v>
      </c>
      <c r="AL1618" s="16" t="s">
        <v>1291</v>
      </c>
      <c r="AM1618" s="17">
        <v>2014</v>
      </c>
      <c r="AN1618" s="15" t="s">
        <v>1292</v>
      </c>
      <c r="AO1618" s="15" t="s">
        <v>56</v>
      </c>
      <c r="AP1618" s="15"/>
      <c r="AQ1618" s="15" t="s">
        <v>56</v>
      </c>
      <c r="AR1618" s="15" t="s">
        <v>58</v>
      </c>
      <c r="AS1618" s="15" t="s">
        <v>62</v>
      </c>
      <c r="AT1618" s="15"/>
      <c r="AU1618" s="45" t="s">
        <v>2827</v>
      </c>
      <c r="AV1618" s="15"/>
      <c r="AW1618" s="12" t="str">
        <f>B1618&amp;C1618&amp;L1618&amp;M1618&amp;O1618&amp;U1618&amp;AL1618&amp;AM1618</f>
        <v>IndiaManoli Reef Complexcoralrichness2Manikandan2014</v>
      </c>
    </row>
    <row r="1619" spans="1:49" ht="14.5" x14ac:dyDescent="0.35">
      <c r="A1619" s="12">
        <v>1618</v>
      </c>
      <c r="B1619" s="15" t="s">
        <v>1278</v>
      </c>
      <c r="C1619" s="12" t="s">
        <v>1288</v>
      </c>
      <c r="D1619" s="12" t="s">
        <v>1289</v>
      </c>
      <c r="E1619" s="15" t="s">
        <v>49</v>
      </c>
      <c r="F1619" s="16" t="s">
        <v>50</v>
      </c>
      <c r="G1619" s="16" t="s">
        <v>51</v>
      </c>
      <c r="H1619" s="16" t="s">
        <v>329</v>
      </c>
      <c r="I1619" s="16" t="s">
        <v>156</v>
      </c>
      <c r="J1619" s="17"/>
      <c r="K1619" s="17">
        <v>3.5</v>
      </c>
      <c r="L1619" s="17"/>
      <c r="M1619" s="17" t="s">
        <v>726</v>
      </c>
      <c r="N1619" s="14" t="s">
        <v>407</v>
      </c>
      <c r="O1619" s="17" t="s">
        <v>86</v>
      </c>
      <c r="P1619" s="17"/>
      <c r="Q1619" s="17"/>
      <c r="R1619" s="17"/>
      <c r="S1619" s="17">
        <v>50.735289999999999</v>
      </c>
      <c r="T1619" s="17">
        <v>450</v>
      </c>
      <c r="U1619" s="20">
        <f t="shared" si="108"/>
        <v>8.8695659372401341</v>
      </c>
      <c r="V1619" s="41">
        <f t="shared" si="111"/>
        <v>786.95659372401337</v>
      </c>
      <c r="W1619" s="17"/>
      <c r="X1619" s="17" t="s">
        <v>56</v>
      </c>
      <c r="Z1619" s="17" t="s">
        <v>56</v>
      </c>
      <c r="AA1619" s="17"/>
      <c r="AB1619" s="17" t="s">
        <v>57</v>
      </c>
      <c r="AC1619" s="17">
        <v>2012</v>
      </c>
      <c r="AD1619" s="17">
        <v>0</v>
      </c>
      <c r="AE1619" s="17"/>
      <c r="AF1619" s="17"/>
      <c r="AG1619" s="14">
        <v>1986</v>
      </c>
      <c r="AH1619" s="14">
        <f t="shared" si="109"/>
        <v>26</v>
      </c>
      <c r="AI1619" s="17">
        <f t="shared" si="110"/>
        <v>26</v>
      </c>
      <c r="AJ1619" s="17"/>
      <c r="AK1619" s="17" t="s">
        <v>56</v>
      </c>
      <c r="AL1619" s="16" t="s">
        <v>1291</v>
      </c>
      <c r="AM1619" s="17">
        <v>2014</v>
      </c>
      <c r="AN1619" s="15" t="s">
        <v>1292</v>
      </c>
      <c r="AO1619" s="15" t="s">
        <v>56</v>
      </c>
      <c r="AP1619" s="15"/>
      <c r="AQ1619" s="15" t="s">
        <v>56</v>
      </c>
      <c r="AR1619" s="15" t="s">
        <v>58</v>
      </c>
      <c r="AS1619" s="15" t="s">
        <v>62</v>
      </c>
      <c r="AT1619" s="15"/>
      <c r="AU1619" s="45" t="s">
        <v>2827</v>
      </c>
      <c r="AV1619" s="15"/>
      <c r="AW1619" s="12" t="str">
        <f>B1619&amp;C1619&amp;L1619&amp;M1619&amp;O1619&amp;U1619&amp;AL1619&amp;AM1619</f>
        <v>IndiaManoli Reef Complexherbivorous fishdensity8.86956593724013Manikandan2014</v>
      </c>
    </row>
    <row r="1620" spans="1:49" ht="14.5" x14ac:dyDescent="0.35">
      <c r="A1620" s="12">
        <v>1619</v>
      </c>
      <c r="B1620" s="12" t="s">
        <v>1278</v>
      </c>
      <c r="C1620" s="12" t="s">
        <v>1288</v>
      </c>
      <c r="D1620" s="12" t="s">
        <v>1289</v>
      </c>
      <c r="E1620" s="12" t="s">
        <v>49</v>
      </c>
      <c r="F1620" s="13" t="s">
        <v>50</v>
      </c>
      <c r="G1620" s="13" t="s">
        <v>51</v>
      </c>
      <c r="H1620" s="13" t="s">
        <v>329</v>
      </c>
      <c r="I1620" s="13" t="s">
        <v>156</v>
      </c>
      <c r="K1620" s="17">
        <v>3.5</v>
      </c>
      <c r="L1620" s="14"/>
      <c r="M1620" s="14" t="s">
        <v>1295</v>
      </c>
      <c r="N1620" s="14" t="s">
        <v>407</v>
      </c>
      <c r="O1620" s="14" t="s">
        <v>86</v>
      </c>
      <c r="P1620" s="14"/>
      <c r="Q1620" s="14"/>
      <c r="R1620" s="14"/>
      <c r="S1620" s="14">
        <v>38.235289999999999</v>
      </c>
      <c r="T1620" s="14">
        <v>523.52940000000001</v>
      </c>
      <c r="U1620" s="19">
        <f t="shared" si="108"/>
        <v>13.692308859171725</v>
      </c>
      <c r="V1620" s="41">
        <f t="shared" si="111"/>
        <v>1269.2308859171724</v>
      </c>
      <c r="W1620" s="14"/>
      <c r="X1620" s="17" t="s">
        <v>56</v>
      </c>
      <c r="Z1620" s="14" t="s">
        <v>56</v>
      </c>
      <c r="AA1620" s="14"/>
      <c r="AB1620" s="14" t="s">
        <v>57</v>
      </c>
      <c r="AC1620" s="14">
        <v>2012</v>
      </c>
      <c r="AD1620" s="14">
        <v>0</v>
      </c>
      <c r="AE1620" s="14"/>
      <c r="AF1620" s="14"/>
      <c r="AG1620" s="14">
        <v>1986</v>
      </c>
      <c r="AH1620" s="14">
        <f t="shared" si="109"/>
        <v>26</v>
      </c>
      <c r="AI1620" s="17">
        <f t="shared" si="110"/>
        <v>26</v>
      </c>
      <c r="AJ1620" s="14"/>
      <c r="AK1620" s="14" t="s">
        <v>56</v>
      </c>
      <c r="AL1620" s="13" t="s">
        <v>1291</v>
      </c>
      <c r="AM1620" s="14">
        <v>2014</v>
      </c>
      <c r="AN1620" s="12" t="s">
        <v>1292</v>
      </c>
      <c r="AO1620" s="12" t="s">
        <v>56</v>
      </c>
      <c r="AP1620" s="12"/>
      <c r="AQ1620" s="12" t="s">
        <v>56</v>
      </c>
      <c r="AR1620" s="12" t="s">
        <v>58</v>
      </c>
      <c r="AS1620" s="12" t="s">
        <v>62</v>
      </c>
      <c r="AT1620" s="12"/>
      <c r="AU1620" s="45" t="s">
        <v>2827</v>
      </c>
      <c r="AV1620" s="15"/>
      <c r="AW1620" s="12" t="str">
        <f>B1620&amp;C1620&amp;L1620&amp;M1620&amp;O1620&amp;U1620&amp;AL1620&amp;AM1620</f>
        <v>IndiaManoli Reef Complexcarnivorous fishdensity13.6923088591717Manikandan2014</v>
      </c>
    </row>
    <row r="1621" spans="1:49" ht="14.5" x14ac:dyDescent="0.35">
      <c r="A1621" s="12">
        <v>1620</v>
      </c>
      <c r="B1621" s="12" t="s">
        <v>1278</v>
      </c>
      <c r="C1621" s="12" t="s">
        <v>1288</v>
      </c>
      <c r="D1621" s="12" t="s">
        <v>1289</v>
      </c>
      <c r="E1621" s="12" t="s">
        <v>49</v>
      </c>
      <c r="F1621" s="13" t="s">
        <v>50</v>
      </c>
      <c r="G1621" s="13" t="s">
        <v>51</v>
      </c>
      <c r="H1621" s="13" t="s">
        <v>329</v>
      </c>
      <c r="I1621" s="13" t="s">
        <v>156</v>
      </c>
      <c r="K1621" s="17">
        <v>3.5</v>
      </c>
      <c r="L1621" s="14"/>
      <c r="M1621" s="14" t="s">
        <v>1296</v>
      </c>
      <c r="N1621" s="14" t="s">
        <v>407</v>
      </c>
      <c r="O1621" s="17" t="s">
        <v>86</v>
      </c>
      <c r="P1621" s="14"/>
      <c r="Q1621" s="14"/>
      <c r="R1621" s="14"/>
      <c r="S1621" s="14">
        <v>19.117650000000001</v>
      </c>
      <c r="T1621" s="14">
        <v>252.94120000000001</v>
      </c>
      <c r="U1621" s="19">
        <f t="shared" si="108"/>
        <v>13.230768426035626</v>
      </c>
      <c r="V1621" s="41">
        <f t="shared" si="111"/>
        <v>1223.0768426035627</v>
      </c>
      <c r="W1621" s="14"/>
      <c r="X1621" s="17" t="s">
        <v>56</v>
      </c>
      <c r="Z1621" s="14" t="s">
        <v>56</v>
      </c>
      <c r="AA1621" s="14"/>
      <c r="AB1621" s="14" t="s">
        <v>57</v>
      </c>
      <c r="AC1621" s="14">
        <v>2012</v>
      </c>
      <c r="AD1621" s="14">
        <v>0</v>
      </c>
      <c r="AE1621" s="14"/>
      <c r="AF1621" s="14"/>
      <c r="AG1621" s="14">
        <v>1986</v>
      </c>
      <c r="AH1621" s="14">
        <f t="shared" si="109"/>
        <v>26</v>
      </c>
      <c r="AI1621" s="17">
        <f t="shared" si="110"/>
        <v>26</v>
      </c>
      <c r="AJ1621" s="14"/>
      <c r="AK1621" s="14" t="s">
        <v>56</v>
      </c>
      <c r="AL1621" s="13" t="s">
        <v>1291</v>
      </c>
      <c r="AM1621" s="14">
        <v>2014</v>
      </c>
      <c r="AN1621" s="12" t="s">
        <v>1292</v>
      </c>
      <c r="AO1621" s="12" t="s">
        <v>56</v>
      </c>
      <c r="AP1621" s="12"/>
      <c r="AQ1621" s="12" t="s">
        <v>56</v>
      </c>
      <c r="AR1621" s="12" t="s">
        <v>58</v>
      </c>
      <c r="AS1621" s="12" t="s">
        <v>62</v>
      </c>
      <c r="AT1621" s="12"/>
      <c r="AU1621" s="45" t="s">
        <v>2827</v>
      </c>
      <c r="AV1621" s="15"/>
      <c r="AW1621" s="12" t="str">
        <f>B1621&amp;C1621&amp;L1621&amp;M1621&amp;O1621&amp;U1621&amp;AL1621&amp;AM1621</f>
        <v>IndiaManoli Reef Complexnon-herbivorous and non-carnivorous fishdensity13.2307684260356Manikandan2014</v>
      </c>
    </row>
    <row r="1622" spans="1:49" ht="14.5" x14ac:dyDescent="0.35">
      <c r="A1622" s="12">
        <v>1621</v>
      </c>
      <c r="B1622" s="12" t="s">
        <v>2641</v>
      </c>
      <c r="C1622" s="12" t="s">
        <v>2642</v>
      </c>
      <c r="D1622" s="12" t="s">
        <v>1230</v>
      </c>
      <c r="E1622" s="12" t="s">
        <v>68</v>
      </c>
      <c r="F1622" s="13" t="s">
        <v>50</v>
      </c>
      <c r="G1622" s="13" t="s">
        <v>51</v>
      </c>
      <c r="H1622" s="13" t="s">
        <v>108</v>
      </c>
      <c r="I1622" s="13" t="s">
        <v>156</v>
      </c>
      <c r="K1622" s="17">
        <v>3</v>
      </c>
      <c r="L1622" s="14" t="s">
        <v>803</v>
      </c>
      <c r="M1622" s="14"/>
      <c r="N1622" s="14" t="s">
        <v>85</v>
      </c>
      <c r="O1622" s="17" t="s">
        <v>104</v>
      </c>
      <c r="P1622" s="14"/>
      <c r="Q1622" s="14"/>
      <c r="R1622" s="14"/>
      <c r="S1622" s="14">
        <v>51.664189999999998</v>
      </c>
      <c r="T1622" s="14">
        <v>43.943660000000001</v>
      </c>
      <c r="U1622" s="19">
        <f t="shared" si="108"/>
        <v>0.85056322377259763</v>
      </c>
      <c r="V1622" s="41">
        <f t="shared" si="111"/>
        <v>-14.943677622740237</v>
      </c>
      <c r="W1622" s="14"/>
      <c r="X1622" s="14" t="s">
        <v>58</v>
      </c>
      <c r="Y1622" s="14">
        <v>8</v>
      </c>
      <c r="Z1622" s="14" t="s">
        <v>58</v>
      </c>
      <c r="AA1622" s="14"/>
      <c r="AB1622" s="14" t="s">
        <v>57</v>
      </c>
      <c r="AC1622" s="14">
        <v>1999</v>
      </c>
      <c r="AD1622" s="14">
        <v>13</v>
      </c>
      <c r="AE1622" s="14"/>
      <c r="AF1622" s="14"/>
      <c r="AG1622" s="14">
        <v>1986</v>
      </c>
      <c r="AH1622" s="14">
        <f t="shared" si="109"/>
        <v>13</v>
      </c>
      <c r="AI1622" s="17">
        <f t="shared" si="110"/>
        <v>26</v>
      </c>
      <c r="AJ1622" s="14"/>
      <c r="AK1622" s="14" t="s">
        <v>56</v>
      </c>
      <c r="AL1622" s="13" t="s">
        <v>1231</v>
      </c>
      <c r="AM1622" s="14">
        <v>2013</v>
      </c>
      <c r="AN1622" s="12" t="s">
        <v>150</v>
      </c>
      <c r="AO1622" s="12" t="s">
        <v>56</v>
      </c>
      <c r="AP1622" s="12"/>
      <c r="AQ1622" s="12" t="s">
        <v>56</v>
      </c>
      <c r="AR1622" s="12" t="s">
        <v>58</v>
      </c>
      <c r="AS1622" s="12" t="s">
        <v>62</v>
      </c>
      <c r="AT1622" s="12"/>
      <c r="AU1622" s="45" t="s">
        <v>2643</v>
      </c>
      <c r="AV1622" s="15"/>
      <c r="AW1622" s="12" t="str">
        <f>B1622&amp;C1622&amp;L1622&amp;M1622&amp;O1622&amp;U1622&amp;AL1622&amp;AM1622</f>
        <v>Cayman Islands (UK Territory)Bloody Bay Marine Park &amp; Preston Bay Marine ParkMontastraea annularissize0.850563223772598Manfrino2013</v>
      </c>
    </row>
    <row r="1623" spans="1:49" ht="14.5" x14ac:dyDescent="0.35">
      <c r="A1623" s="12">
        <v>1622</v>
      </c>
      <c r="B1623" s="15" t="s">
        <v>2641</v>
      </c>
      <c r="C1623" s="12" t="s">
        <v>2642</v>
      </c>
      <c r="D1623" s="12" t="s">
        <v>1230</v>
      </c>
      <c r="E1623" s="15" t="s">
        <v>68</v>
      </c>
      <c r="F1623" s="13" t="s">
        <v>50</v>
      </c>
      <c r="G1623" s="13" t="s">
        <v>51</v>
      </c>
      <c r="H1623" s="16" t="s">
        <v>108</v>
      </c>
      <c r="I1623" s="16" t="s">
        <v>156</v>
      </c>
      <c r="J1623" s="17"/>
      <c r="K1623" s="17">
        <v>3</v>
      </c>
      <c r="L1623" s="17" t="s">
        <v>1232</v>
      </c>
      <c r="M1623" s="17"/>
      <c r="N1623" s="14" t="s">
        <v>85</v>
      </c>
      <c r="O1623" s="17" t="s">
        <v>104</v>
      </c>
      <c r="P1623" s="17"/>
      <c r="Q1623" s="17"/>
      <c r="R1623" s="17"/>
      <c r="S1623" s="17">
        <v>34.6723</v>
      </c>
      <c r="T1623" s="17">
        <v>36.669910000000002</v>
      </c>
      <c r="U1623" s="20">
        <f t="shared" si="108"/>
        <v>1.0576140031091101</v>
      </c>
      <c r="V1623" s="41">
        <f t="shared" si="111"/>
        <v>5.7614003109110135</v>
      </c>
      <c r="W1623" s="17"/>
      <c r="X1623" s="17" t="s">
        <v>58</v>
      </c>
      <c r="Y1623" s="14">
        <v>8</v>
      </c>
      <c r="Z1623" s="17" t="s">
        <v>58</v>
      </c>
      <c r="AA1623" s="17"/>
      <c r="AB1623" s="17" t="s">
        <v>57</v>
      </c>
      <c r="AC1623" s="17">
        <v>1999</v>
      </c>
      <c r="AD1623" s="17">
        <v>13</v>
      </c>
      <c r="AE1623" s="17"/>
      <c r="AF1623" s="17"/>
      <c r="AG1623" s="14">
        <v>1986</v>
      </c>
      <c r="AH1623" s="14">
        <f t="shared" si="109"/>
        <v>13</v>
      </c>
      <c r="AI1623" s="17">
        <f t="shared" si="110"/>
        <v>26</v>
      </c>
      <c r="AJ1623" s="17"/>
      <c r="AK1623" s="17" t="s">
        <v>56</v>
      </c>
      <c r="AL1623" s="16" t="s">
        <v>1231</v>
      </c>
      <c r="AM1623" s="17">
        <v>2013</v>
      </c>
      <c r="AN1623" s="15" t="s">
        <v>150</v>
      </c>
      <c r="AO1623" s="15" t="s">
        <v>56</v>
      </c>
      <c r="AP1623" s="15"/>
      <c r="AQ1623" s="15" t="s">
        <v>56</v>
      </c>
      <c r="AR1623" s="15" t="s">
        <v>58</v>
      </c>
      <c r="AS1623" s="15" t="s">
        <v>62</v>
      </c>
      <c r="AT1623" s="15"/>
      <c r="AU1623" s="45" t="s">
        <v>2643</v>
      </c>
      <c r="AV1623" s="15"/>
      <c r="AW1623" s="12" t="str">
        <f>B1623&amp;C1623&amp;L1623&amp;M1623&amp;O1623&amp;U1623&amp;AL1623&amp;AM1623</f>
        <v>Cayman Islands (UK Territory)Bloody Bay Marine Park &amp; Preston Bay Marine ParkMontastraea cavernosasize1.05761400310911Manfrino2013</v>
      </c>
    </row>
    <row r="1624" spans="1:49" ht="14.5" x14ac:dyDescent="0.35">
      <c r="A1624" s="12">
        <v>1623</v>
      </c>
      <c r="B1624" s="15" t="s">
        <v>2641</v>
      </c>
      <c r="C1624" s="12" t="s">
        <v>2642</v>
      </c>
      <c r="D1624" s="12" t="s">
        <v>1230</v>
      </c>
      <c r="E1624" s="15" t="s">
        <v>68</v>
      </c>
      <c r="F1624" s="13" t="s">
        <v>50</v>
      </c>
      <c r="G1624" s="13" t="s">
        <v>51</v>
      </c>
      <c r="H1624" s="16" t="s">
        <v>108</v>
      </c>
      <c r="I1624" s="16" t="s">
        <v>156</v>
      </c>
      <c r="J1624" s="17"/>
      <c r="K1624" s="17">
        <v>3</v>
      </c>
      <c r="L1624" s="17" t="s">
        <v>1233</v>
      </c>
      <c r="M1624" s="17"/>
      <c r="N1624" s="14" t="s">
        <v>85</v>
      </c>
      <c r="O1624" s="17" t="s">
        <v>104</v>
      </c>
      <c r="P1624" s="17"/>
      <c r="Q1624" s="17"/>
      <c r="R1624" s="17"/>
      <c r="S1624" s="17">
        <v>58.005740000000003</v>
      </c>
      <c r="T1624" s="17">
        <v>47.517580000000002</v>
      </c>
      <c r="U1624" s="20">
        <f t="shared" si="108"/>
        <v>0.81918754937011407</v>
      </c>
      <c r="V1624" s="41">
        <f t="shared" si="111"/>
        <v>-18.081245062988593</v>
      </c>
      <c r="W1624" s="17"/>
      <c r="X1624" s="17" t="s">
        <v>58</v>
      </c>
      <c r="Y1624" s="14">
        <v>8</v>
      </c>
      <c r="Z1624" s="17" t="s">
        <v>58</v>
      </c>
      <c r="AA1624" s="14"/>
      <c r="AB1624" s="17" t="s">
        <v>57</v>
      </c>
      <c r="AC1624" s="17">
        <v>1999</v>
      </c>
      <c r="AD1624" s="17">
        <v>13</v>
      </c>
      <c r="AE1624" s="17"/>
      <c r="AF1624" s="17"/>
      <c r="AG1624" s="14">
        <v>1986</v>
      </c>
      <c r="AH1624" s="14">
        <f t="shared" si="109"/>
        <v>13</v>
      </c>
      <c r="AI1624" s="17">
        <f t="shared" si="110"/>
        <v>26</v>
      </c>
      <c r="AJ1624" s="17"/>
      <c r="AK1624" s="17" t="s">
        <v>56</v>
      </c>
      <c r="AL1624" s="16" t="s">
        <v>1231</v>
      </c>
      <c r="AM1624" s="17">
        <v>2013</v>
      </c>
      <c r="AN1624" s="15" t="s">
        <v>150</v>
      </c>
      <c r="AO1624" s="15" t="s">
        <v>56</v>
      </c>
      <c r="AP1624" s="15"/>
      <c r="AQ1624" s="15" t="s">
        <v>56</v>
      </c>
      <c r="AR1624" s="15" t="s">
        <v>58</v>
      </c>
      <c r="AS1624" s="15" t="s">
        <v>62</v>
      </c>
      <c r="AT1624" s="15"/>
      <c r="AU1624" s="45" t="s">
        <v>2643</v>
      </c>
      <c r="AV1624" s="15"/>
      <c r="AW1624" s="12" t="str">
        <f>B1624&amp;C1624&amp;L1624&amp;M1624&amp;O1624&amp;U1624&amp;AL1624&amp;AM1624</f>
        <v>Cayman Islands (UK Territory)Bloody Bay Marine Park &amp; Preston Bay Marine ParkMontastraea faveolatasize0.819187549370114Manfrino2013</v>
      </c>
    </row>
    <row r="1625" spans="1:49" ht="14.5" x14ac:dyDescent="0.35">
      <c r="A1625" s="12">
        <v>1624</v>
      </c>
      <c r="B1625" s="12" t="s">
        <v>2641</v>
      </c>
      <c r="C1625" s="12" t="s">
        <v>2642</v>
      </c>
      <c r="D1625" s="12" t="s">
        <v>1230</v>
      </c>
      <c r="E1625" s="12" t="s">
        <v>68</v>
      </c>
      <c r="F1625" s="13" t="s">
        <v>50</v>
      </c>
      <c r="G1625" s="13" t="s">
        <v>51</v>
      </c>
      <c r="H1625" s="13" t="s">
        <v>108</v>
      </c>
      <c r="I1625" s="13" t="s">
        <v>156</v>
      </c>
      <c r="K1625" s="17">
        <v>3</v>
      </c>
      <c r="L1625" s="14" t="s">
        <v>1234</v>
      </c>
      <c r="M1625" s="14"/>
      <c r="N1625" s="14" t="s">
        <v>85</v>
      </c>
      <c r="O1625" s="17" t="s">
        <v>104</v>
      </c>
      <c r="P1625" s="14"/>
      <c r="Q1625" s="14"/>
      <c r="R1625" s="14"/>
      <c r="S1625" s="14">
        <v>56.216410000000003</v>
      </c>
      <c r="T1625" s="14">
        <v>44.796460000000003</v>
      </c>
      <c r="U1625" s="19">
        <f t="shared" si="108"/>
        <v>0.79685735890996956</v>
      </c>
      <c r="V1625" s="41">
        <f t="shared" si="111"/>
        <v>-20.314264109003044</v>
      </c>
      <c r="W1625" s="14"/>
      <c r="X1625" s="14" t="s">
        <v>58</v>
      </c>
      <c r="Y1625" s="14">
        <v>8</v>
      </c>
      <c r="Z1625" s="14" t="s">
        <v>58</v>
      </c>
      <c r="AA1625" s="14"/>
      <c r="AB1625" s="14" t="s">
        <v>57</v>
      </c>
      <c r="AC1625" s="14">
        <v>1999</v>
      </c>
      <c r="AD1625" s="14">
        <v>13</v>
      </c>
      <c r="AE1625" s="14"/>
      <c r="AF1625" s="14"/>
      <c r="AG1625" s="14">
        <v>1986</v>
      </c>
      <c r="AH1625" s="14">
        <f t="shared" si="109"/>
        <v>13</v>
      </c>
      <c r="AI1625" s="17">
        <f t="shared" si="110"/>
        <v>26</v>
      </c>
      <c r="AJ1625" s="14"/>
      <c r="AK1625" s="14" t="s">
        <v>56</v>
      </c>
      <c r="AL1625" s="13" t="s">
        <v>1231</v>
      </c>
      <c r="AM1625" s="14">
        <v>2013</v>
      </c>
      <c r="AN1625" s="12" t="s">
        <v>150</v>
      </c>
      <c r="AO1625" s="12" t="s">
        <v>56</v>
      </c>
      <c r="AP1625" s="12"/>
      <c r="AQ1625" s="12" t="s">
        <v>56</v>
      </c>
      <c r="AR1625" s="12" t="s">
        <v>58</v>
      </c>
      <c r="AS1625" s="12" t="s">
        <v>62</v>
      </c>
      <c r="AT1625" s="12"/>
      <c r="AU1625" s="45" t="s">
        <v>2643</v>
      </c>
      <c r="AV1625" s="15"/>
      <c r="AW1625" s="12" t="str">
        <f>B1625&amp;C1625&amp;L1625&amp;M1625&amp;O1625&amp;U1625&amp;AL1625&amp;AM1625</f>
        <v>Cayman Islands (UK Territory)Bloody Bay Marine Park &amp; Preston Bay Marine ParkMontastraea franksisize0.79685735890997Manfrino2013</v>
      </c>
    </row>
    <row r="1626" spans="1:49" ht="14.5" x14ac:dyDescent="0.35">
      <c r="A1626" s="12">
        <v>1625</v>
      </c>
      <c r="B1626" s="15" t="s">
        <v>2641</v>
      </c>
      <c r="C1626" s="12" t="s">
        <v>2642</v>
      </c>
      <c r="D1626" s="12" t="s">
        <v>1230</v>
      </c>
      <c r="E1626" s="15" t="s">
        <v>68</v>
      </c>
      <c r="F1626" s="13" t="s">
        <v>50</v>
      </c>
      <c r="G1626" s="13" t="s">
        <v>51</v>
      </c>
      <c r="H1626" s="16" t="s">
        <v>108</v>
      </c>
      <c r="I1626" s="16" t="s">
        <v>156</v>
      </c>
      <c r="J1626" s="17"/>
      <c r="K1626" s="17">
        <v>3</v>
      </c>
      <c r="L1626" s="17" t="s">
        <v>800</v>
      </c>
      <c r="M1626" s="17"/>
      <c r="N1626" s="14" t="s">
        <v>85</v>
      </c>
      <c r="O1626" s="17" t="s">
        <v>104</v>
      </c>
      <c r="P1626" s="17"/>
      <c r="Q1626" s="17"/>
      <c r="R1626" s="17"/>
      <c r="S1626" s="17">
        <v>18.361699999999999</v>
      </c>
      <c r="T1626" s="17">
        <v>19.033329999999999</v>
      </c>
      <c r="U1626" s="20">
        <f t="shared" si="108"/>
        <v>1.0365777678537391</v>
      </c>
      <c r="V1626" s="41">
        <f t="shared" si="111"/>
        <v>3.6577767853739118</v>
      </c>
      <c r="W1626" s="17"/>
      <c r="X1626" s="17" t="s">
        <v>58</v>
      </c>
      <c r="Y1626" s="14">
        <v>8</v>
      </c>
      <c r="Z1626" s="17" t="s">
        <v>58</v>
      </c>
      <c r="AA1626" s="14"/>
      <c r="AB1626" s="17" t="s">
        <v>57</v>
      </c>
      <c r="AC1626" s="17">
        <v>1999</v>
      </c>
      <c r="AD1626" s="17">
        <v>13</v>
      </c>
      <c r="AE1626" s="17"/>
      <c r="AF1626" s="17"/>
      <c r="AG1626" s="14">
        <v>1986</v>
      </c>
      <c r="AH1626" s="14">
        <f t="shared" si="109"/>
        <v>13</v>
      </c>
      <c r="AI1626" s="17">
        <f t="shared" si="110"/>
        <v>26</v>
      </c>
      <c r="AJ1626" s="17"/>
      <c r="AK1626" s="17" t="s">
        <v>56</v>
      </c>
      <c r="AL1626" s="16" t="s">
        <v>1231</v>
      </c>
      <c r="AM1626" s="17">
        <v>2013</v>
      </c>
      <c r="AN1626" s="15" t="s">
        <v>150</v>
      </c>
      <c r="AO1626" s="15" t="s">
        <v>56</v>
      </c>
      <c r="AP1626" s="15"/>
      <c r="AQ1626" s="15" t="s">
        <v>56</v>
      </c>
      <c r="AR1626" s="15" t="s">
        <v>58</v>
      </c>
      <c r="AS1626" s="15" t="s">
        <v>62</v>
      </c>
      <c r="AT1626" s="15"/>
      <c r="AU1626" s="45" t="s">
        <v>2643</v>
      </c>
      <c r="AV1626" s="15"/>
      <c r="AW1626" s="12" t="str">
        <f>B1626&amp;C1626&amp;L1626&amp;M1626&amp;O1626&amp;U1626&amp;AL1626&amp;AM1626</f>
        <v>Cayman Islands (UK Territory)Bloody Bay Marine Park &amp; Preston Bay Marine ParkPorites astreoidessize1.03657776785374Manfrino2013</v>
      </c>
    </row>
    <row r="1627" spans="1:49" ht="14.5" x14ac:dyDescent="0.35">
      <c r="A1627" s="12">
        <v>1626</v>
      </c>
      <c r="B1627" s="15" t="s">
        <v>2641</v>
      </c>
      <c r="C1627" s="12" t="s">
        <v>2642</v>
      </c>
      <c r="D1627" s="12" t="s">
        <v>1230</v>
      </c>
      <c r="E1627" s="15" t="s">
        <v>68</v>
      </c>
      <c r="F1627" s="13" t="s">
        <v>50</v>
      </c>
      <c r="G1627" s="13" t="s">
        <v>51</v>
      </c>
      <c r="H1627" s="16" t="s">
        <v>108</v>
      </c>
      <c r="I1627" s="16" t="s">
        <v>156</v>
      </c>
      <c r="J1627" s="17"/>
      <c r="K1627" s="17">
        <v>3</v>
      </c>
      <c r="L1627" s="17" t="s">
        <v>1235</v>
      </c>
      <c r="M1627" s="17"/>
      <c r="N1627" s="14" t="s">
        <v>85</v>
      </c>
      <c r="O1627" s="17" t="s">
        <v>104</v>
      </c>
      <c r="P1627" s="17"/>
      <c r="Q1627" s="17"/>
      <c r="R1627" s="17"/>
      <c r="S1627" s="17">
        <v>31.875599999999999</v>
      </c>
      <c r="T1627" s="17">
        <v>32.188479999999998</v>
      </c>
      <c r="U1627" s="20">
        <f t="shared" si="108"/>
        <v>1.0098156583719209</v>
      </c>
      <c r="V1627" s="41">
        <f t="shared" si="111"/>
        <v>0.98156583719208879</v>
      </c>
      <c r="W1627" s="17"/>
      <c r="X1627" s="17" t="s">
        <v>58</v>
      </c>
      <c r="Y1627" s="14">
        <v>8</v>
      </c>
      <c r="Z1627" s="17" t="s">
        <v>58</v>
      </c>
      <c r="AA1627" s="14"/>
      <c r="AB1627" s="17" t="s">
        <v>57</v>
      </c>
      <c r="AC1627" s="17">
        <v>1999</v>
      </c>
      <c r="AD1627" s="17">
        <v>13</v>
      </c>
      <c r="AE1627" s="17"/>
      <c r="AF1627" s="17"/>
      <c r="AG1627" s="14">
        <v>1986</v>
      </c>
      <c r="AH1627" s="14">
        <f t="shared" si="109"/>
        <v>13</v>
      </c>
      <c r="AI1627" s="17">
        <f t="shared" si="110"/>
        <v>26</v>
      </c>
      <c r="AJ1627" s="17"/>
      <c r="AK1627" s="17" t="s">
        <v>56</v>
      </c>
      <c r="AL1627" s="16" t="s">
        <v>1231</v>
      </c>
      <c r="AM1627" s="17">
        <v>2013</v>
      </c>
      <c r="AN1627" s="15" t="s">
        <v>150</v>
      </c>
      <c r="AO1627" s="15" t="s">
        <v>56</v>
      </c>
      <c r="AP1627" s="15"/>
      <c r="AQ1627" s="15" t="s">
        <v>56</v>
      </c>
      <c r="AR1627" s="15" t="s">
        <v>58</v>
      </c>
      <c r="AS1627" s="15" t="s">
        <v>62</v>
      </c>
      <c r="AT1627" s="15"/>
      <c r="AU1627" s="45" t="s">
        <v>2644</v>
      </c>
      <c r="AV1627" s="15"/>
      <c r="AW1627" s="12" t="str">
        <f>B1627&amp;C1627&amp;L1627&amp;M1627&amp;O1627&amp;U1627&amp;AL1627&amp;AM1627</f>
        <v>Cayman Islands (UK Territory)Bloody Bay Marine Park &amp; Preston Bay Marine ParkSiderastrea sidereasize1.00981565837192Manfrino2013</v>
      </c>
    </row>
    <row r="1628" spans="1:49" ht="14.5" x14ac:dyDescent="0.35">
      <c r="A1628" s="12">
        <v>1627</v>
      </c>
      <c r="B1628" s="12" t="s">
        <v>2641</v>
      </c>
      <c r="C1628" s="12" t="s">
        <v>2642</v>
      </c>
      <c r="D1628" s="12" t="s">
        <v>1230</v>
      </c>
      <c r="E1628" s="12" t="s">
        <v>68</v>
      </c>
      <c r="F1628" s="13" t="s">
        <v>50</v>
      </c>
      <c r="G1628" s="13" t="s">
        <v>51</v>
      </c>
      <c r="H1628" s="13" t="s">
        <v>108</v>
      </c>
      <c r="I1628" s="13" t="s">
        <v>156</v>
      </c>
      <c r="K1628" s="17">
        <v>3</v>
      </c>
      <c r="L1628" s="14" t="s">
        <v>803</v>
      </c>
      <c r="M1628" s="14"/>
      <c r="N1628" s="14" t="s">
        <v>85</v>
      </c>
      <c r="O1628" s="17" t="s">
        <v>86</v>
      </c>
      <c r="P1628" s="14"/>
      <c r="Q1628" s="14"/>
      <c r="R1628" s="14"/>
      <c r="S1628" s="14">
        <v>168.25</v>
      </c>
      <c r="T1628" s="14">
        <v>191.7</v>
      </c>
      <c r="U1628" s="19">
        <f t="shared" si="108"/>
        <v>1.1393759286775631</v>
      </c>
      <c r="V1628" s="41">
        <f t="shared" si="111"/>
        <v>13.93759286775631</v>
      </c>
      <c r="W1628" s="14"/>
      <c r="X1628" s="14" t="s">
        <v>58</v>
      </c>
      <c r="Y1628" s="14">
        <v>8</v>
      </c>
      <c r="Z1628" s="14" t="s">
        <v>58</v>
      </c>
      <c r="AA1628" s="14"/>
      <c r="AB1628" s="14" t="s">
        <v>57</v>
      </c>
      <c r="AC1628" s="14">
        <v>1999</v>
      </c>
      <c r="AD1628" s="14">
        <v>13</v>
      </c>
      <c r="AE1628" s="14"/>
      <c r="AF1628" s="14"/>
      <c r="AG1628" s="14">
        <v>1986</v>
      </c>
      <c r="AH1628" s="14">
        <f t="shared" si="109"/>
        <v>13</v>
      </c>
      <c r="AI1628" s="17">
        <f t="shared" si="110"/>
        <v>26</v>
      </c>
      <c r="AJ1628" s="14"/>
      <c r="AK1628" s="14" t="s">
        <v>56</v>
      </c>
      <c r="AL1628" s="13" t="s">
        <v>1231</v>
      </c>
      <c r="AM1628" s="14">
        <v>2013</v>
      </c>
      <c r="AN1628" s="12" t="s">
        <v>150</v>
      </c>
      <c r="AO1628" s="12" t="s">
        <v>56</v>
      </c>
      <c r="AP1628" s="12"/>
      <c r="AQ1628" s="12" t="s">
        <v>56</v>
      </c>
      <c r="AR1628" s="12" t="s">
        <v>58</v>
      </c>
      <c r="AS1628" s="12" t="s">
        <v>62</v>
      </c>
      <c r="AT1628" s="12"/>
      <c r="AU1628" s="45" t="s">
        <v>2644</v>
      </c>
      <c r="AV1628" s="15"/>
      <c r="AW1628" s="12" t="str">
        <f>B1628&amp;C1628&amp;L1628&amp;M1628&amp;O1628&amp;U1628&amp;AL1628&amp;AM1628</f>
        <v>Cayman Islands (UK Territory)Bloody Bay Marine Park &amp; Preston Bay Marine ParkMontastraea annularisdensity1.13937592867756Manfrino2013</v>
      </c>
    </row>
    <row r="1629" spans="1:49" ht="14.5" x14ac:dyDescent="0.35">
      <c r="A1629" s="12">
        <v>1628</v>
      </c>
      <c r="B1629" s="12" t="s">
        <v>2641</v>
      </c>
      <c r="C1629" s="12" t="s">
        <v>2642</v>
      </c>
      <c r="D1629" s="12" t="s">
        <v>1230</v>
      </c>
      <c r="E1629" s="12" t="s">
        <v>68</v>
      </c>
      <c r="F1629" s="13" t="s">
        <v>50</v>
      </c>
      <c r="G1629" s="13" t="s">
        <v>51</v>
      </c>
      <c r="H1629" s="13" t="s">
        <v>108</v>
      </c>
      <c r="I1629" s="13" t="s">
        <v>156</v>
      </c>
      <c r="K1629" s="17">
        <v>3</v>
      </c>
      <c r="L1629" s="14" t="s">
        <v>1232</v>
      </c>
      <c r="M1629" s="14"/>
      <c r="N1629" s="14" t="s">
        <v>85</v>
      </c>
      <c r="O1629" s="17" t="s">
        <v>86</v>
      </c>
      <c r="P1629" s="14"/>
      <c r="Q1629" s="14"/>
      <c r="R1629" s="14"/>
      <c r="S1629" s="14">
        <v>45.047620000000002</v>
      </c>
      <c r="T1629" s="14">
        <v>97.952380000000005</v>
      </c>
      <c r="U1629" s="19">
        <f t="shared" si="108"/>
        <v>2.1744185375387199</v>
      </c>
      <c r="V1629" s="41">
        <f t="shared" si="111"/>
        <v>117.441853753872</v>
      </c>
      <c r="W1629" s="14"/>
      <c r="X1629" s="14" t="s">
        <v>58</v>
      </c>
      <c r="Y1629" s="14">
        <v>8</v>
      </c>
      <c r="Z1629" s="14" t="s">
        <v>58</v>
      </c>
      <c r="AA1629" s="14"/>
      <c r="AB1629" s="14" t="s">
        <v>57</v>
      </c>
      <c r="AC1629" s="14">
        <v>1999</v>
      </c>
      <c r="AD1629" s="14">
        <v>13</v>
      </c>
      <c r="AE1629" s="14"/>
      <c r="AF1629" s="14"/>
      <c r="AG1629" s="14">
        <v>1986</v>
      </c>
      <c r="AH1629" s="14">
        <f t="shared" si="109"/>
        <v>13</v>
      </c>
      <c r="AI1629" s="17">
        <f t="shared" si="110"/>
        <v>26</v>
      </c>
      <c r="AJ1629" s="14"/>
      <c r="AK1629" s="14" t="s">
        <v>56</v>
      </c>
      <c r="AL1629" s="13" t="s">
        <v>1231</v>
      </c>
      <c r="AM1629" s="14">
        <v>2013</v>
      </c>
      <c r="AN1629" s="12" t="s">
        <v>150</v>
      </c>
      <c r="AO1629" s="12" t="s">
        <v>56</v>
      </c>
      <c r="AP1629" s="12"/>
      <c r="AQ1629" s="12" t="s">
        <v>56</v>
      </c>
      <c r="AR1629" s="12" t="s">
        <v>58</v>
      </c>
      <c r="AS1629" s="12" t="s">
        <v>62</v>
      </c>
      <c r="AT1629" s="12"/>
      <c r="AU1629" s="45" t="s">
        <v>2644</v>
      </c>
      <c r="AV1629" s="15"/>
      <c r="AW1629" s="12" t="str">
        <f>B1629&amp;C1629&amp;L1629&amp;M1629&amp;O1629&amp;U1629&amp;AL1629&amp;AM1629</f>
        <v>Cayman Islands (UK Territory)Bloody Bay Marine Park &amp; Preston Bay Marine ParkMontastraea cavernosadensity2.17441853753872Manfrino2013</v>
      </c>
    </row>
    <row r="1630" spans="1:49" ht="14.5" x14ac:dyDescent="0.35">
      <c r="A1630" s="12">
        <v>1629</v>
      </c>
      <c r="B1630" s="12" t="s">
        <v>2641</v>
      </c>
      <c r="C1630" s="12" t="s">
        <v>2642</v>
      </c>
      <c r="D1630" s="12" t="s">
        <v>1230</v>
      </c>
      <c r="E1630" s="12" t="s">
        <v>68</v>
      </c>
      <c r="F1630" s="13" t="s">
        <v>50</v>
      </c>
      <c r="G1630" s="13" t="s">
        <v>51</v>
      </c>
      <c r="H1630" s="13" t="s">
        <v>108</v>
      </c>
      <c r="I1630" s="13" t="s">
        <v>156</v>
      </c>
      <c r="K1630" s="17">
        <v>3</v>
      </c>
      <c r="L1630" s="14" t="s">
        <v>1233</v>
      </c>
      <c r="M1630" s="14"/>
      <c r="N1630" s="14" t="s">
        <v>85</v>
      </c>
      <c r="O1630" s="17" t="s">
        <v>86</v>
      </c>
      <c r="P1630" s="14"/>
      <c r="Q1630" s="14"/>
      <c r="R1630" s="14"/>
      <c r="S1630" s="14">
        <v>106.9482</v>
      </c>
      <c r="T1630" s="14">
        <v>168.8169</v>
      </c>
      <c r="U1630" s="19">
        <f t="shared" si="108"/>
        <v>1.5784922046373853</v>
      </c>
      <c r="V1630" s="41">
        <f t="shared" si="111"/>
        <v>57.849220463738526</v>
      </c>
      <c r="W1630" s="14"/>
      <c r="X1630" s="14" t="s">
        <v>58</v>
      </c>
      <c r="Y1630" s="14">
        <v>8</v>
      </c>
      <c r="Z1630" s="14" t="s">
        <v>58</v>
      </c>
      <c r="AA1630" s="14"/>
      <c r="AB1630" s="14" t="s">
        <v>57</v>
      </c>
      <c r="AC1630" s="14">
        <v>1999</v>
      </c>
      <c r="AD1630" s="14">
        <v>13</v>
      </c>
      <c r="AE1630" s="14"/>
      <c r="AF1630" s="14"/>
      <c r="AG1630" s="14">
        <v>1986</v>
      </c>
      <c r="AH1630" s="14">
        <f t="shared" si="109"/>
        <v>13</v>
      </c>
      <c r="AI1630" s="17">
        <f t="shared" si="110"/>
        <v>26</v>
      </c>
      <c r="AJ1630" s="14"/>
      <c r="AK1630" s="14" t="s">
        <v>56</v>
      </c>
      <c r="AL1630" s="13" t="s">
        <v>1231</v>
      </c>
      <c r="AM1630" s="14">
        <v>2013</v>
      </c>
      <c r="AN1630" s="12" t="s">
        <v>150</v>
      </c>
      <c r="AO1630" s="12" t="s">
        <v>56</v>
      </c>
      <c r="AP1630" s="12"/>
      <c r="AQ1630" s="12" t="s">
        <v>56</v>
      </c>
      <c r="AR1630" s="12" t="s">
        <v>58</v>
      </c>
      <c r="AS1630" s="12" t="s">
        <v>62</v>
      </c>
      <c r="AT1630" s="12"/>
      <c r="AU1630" s="45" t="s">
        <v>2644</v>
      </c>
      <c r="AV1630" s="15"/>
      <c r="AW1630" s="12" t="str">
        <f>B1630&amp;C1630&amp;L1630&amp;M1630&amp;O1630&amp;U1630&amp;AL1630&amp;AM1630</f>
        <v>Cayman Islands (UK Territory)Bloody Bay Marine Park &amp; Preston Bay Marine ParkMontastraea faveolatadensity1.57849220463739Manfrino2013</v>
      </c>
    </row>
    <row r="1631" spans="1:49" ht="14.5" x14ac:dyDescent="0.35">
      <c r="A1631" s="12">
        <v>1630</v>
      </c>
      <c r="B1631" s="12" t="s">
        <v>2641</v>
      </c>
      <c r="C1631" s="12" t="s">
        <v>2642</v>
      </c>
      <c r="D1631" s="12" t="s">
        <v>1230</v>
      </c>
      <c r="E1631" s="12" t="s">
        <v>68</v>
      </c>
      <c r="F1631" s="13" t="s">
        <v>50</v>
      </c>
      <c r="G1631" s="13" t="s">
        <v>51</v>
      </c>
      <c r="H1631" s="13" t="s">
        <v>108</v>
      </c>
      <c r="I1631" s="13" t="s">
        <v>156</v>
      </c>
      <c r="K1631" s="17">
        <v>3</v>
      </c>
      <c r="L1631" s="14" t="s">
        <v>1234</v>
      </c>
      <c r="M1631" s="14"/>
      <c r="N1631" s="14" t="s">
        <v>85</v>
      </c>
      <c r="O1631" s="14" t="s">
        <v>86</v>
      </c>
      <c r="P1631" s="14"/>
      <c r="Q1631" s="14"/>
      <c r="R1631" s="14"/>
      <c r="S1631" s="14">
        <v>10.98372</v>
      </c>
      <c r="T1631" s="14">
        <v>37.919460000000001</v>
      </c>
      <c r="U1631" s="19">
        <f t="shared" si="108"/>
        <v>3.4523330893358537</v>
      </c>
      <c r="V1631" s="41">
        <f t="shared" si="111"/>
        <v>245.23330893358536</v>
      </c>
      <c r="W1631" s="14"/>
      <c r="X1631" s="14" t="s">
        <v>58</v>
      </c>
      <c r="Y1631" s="14">
        <v>8</v>
      </c>
      <c r="Z1631" s="14" t="s">
        <v>58</v>
      </c>
      <c r="AA1631" s="14"/>
      <c r="AB1631" s="14" t="s">
        <v>57</v>
      </c>
      <c r="AC1631" s="14">
        <v>1999</v>
      </c>
      <c r="AD1631" s="14">
        <v>13</v>
      </c>
      <c r="AE1631" s="14"/>
      <c r="AF1631" s="14"/>
      <c r="AG1631" s="14">
        <v>1986</v>
      </c>
      <c r="AH1631" s="14">
        <f t="shared" si="109"/>
        <v>13</v>
      </c>
      <c r="AI1631" s="17">
        <f t="shared" si="110"/>
        <v>26</v>
      </c>
      <c r="AJ1631" s="14"/>
      <c r="AK1631" s="14" t="s">
        <v>56</v>
      </c>
      <c r="AL1631" s="13" t="s">
        <v>1231</v>
      </c>
      <c r="AM1631" s="14">
        <v>2013</v>
      </c>
      <c r="AN1631" s="12" t="s">
        <v>150</v>
      </c>
      <c r="AO1631" s="12" t="s">
        <v>56</v>
      </c>
      <c r="AP1631" s="12"/>
      <c r="AQ1631" s="12" t="s">
        <v>56</v>
      </c>
      <c r="AR1631" s="12" t="s">
        <v>58</v>
      </c>
      <c r="AS1631" s="12" t="s">
        <v>62</v>
      </c>
      <c r="AT1631" s="12"/>
      <c r="AU1631" s="45" t="s">
        <v>2644</v>
      </c>
      <c r="AV1631" s="15"/>
      <c r="AW1631" s="12" t="str">
        <f>B1631&amp;C1631&amp;L1631&amp;M1631&amp;O1631&amp;U1631&amp;AL1631&amp;AM1631</f>
        <v>Cayman Islands (UK Territory)Bloody Bay Marine Park &amp; Preston Bay Marine ParkMontastraea franksidensity3.45233308933585Manfrino2013</v>
      </c>
    </row>
    <row r="1632" spans="1:49" ht="14.5" x14ac:dyDescent="0.35">
      <c r="A1632" s="12">
        <v>1631</v>
      </c>
      <c r="B1632" s="15" t="s">
        <v>2641</v>
      </c>
      <c r="C1632" s="12" t="s">
        <v>2642</v>
      </c>
      <c r="D1632" s="12" t="s">
        <v>1230</v>
      </c>
      <c r="E1632" s="15" t="s">
        <v>68</v>
      </c>
      <c r="F1632" s="16" t="s">
        <v>50</v>
      </c>
      <c r="G1632" s="16" t="s">
        <v>51</v>
      </c>
      <c r="H1632" s="16" t="s">
        <v>108</v>
      </c>
      <c r="I1632" s="16" t="s">
        <v>156</v>
      </c>
      <c r="J1632" s="17"/>
      <c r="K1632" s="17">
        <v>3</v>
      </c>
      <c r="L1632" s="17" t="s">
        <v>800</v>
      </c>
      <c r="M1632" s="17"/>
      <c r="N1632" s="14" t="s">
        <v>85</v>
      </c>
      <c r="O1632" s="17" t="s">
        <v>86</v>
      </c>
      <c r="P1632" s="17"/>
      <c r="Q1632" s="17"/>
      <c r="R1632" s="17"/>
      <c r="S1632" s="17">
        <v>164.91229999999999</v>
      </c>
      <c r="T1632" s="17">
        <v>105.2632</v>
      </c>
      <c r="U1632" s="20">
        <f t="shared" si="108"/>
        <v>0.63829805296512154</v>
      </c>
      <c r="V1632" s="41">
        <f t="shared" si="111"/>
        <v>-36.170194703487844</v>
      </c>
      <c r="W1632" s="17"/>
      <c r="X1632" s="17" t="s">
        <v>58</v>
      </c>
      <c r="Y1632" s="14">
        <v>8</v>
      </c>
      <c r="Z1632" s="17" t="s">
        <v>58</v>
      </c>
      <c r="AA1632" s="17"/>
      <c r="AB1632" s="17" t="s">
        <v>57</v>
      </c>
      <c r="AC1632" s="17">
        <v>1999</v>
      </c>
      <c r="AD1632" s="17">
        <v>13</v>
      </c>
      <c r="AE1632" s="17"/>
      <c r="AF1632" s="17"/>
      <c r="AG1632" s="14">
        <v>1986</v>
      </c>
      <c r="AH1632" s="14">
        <f t="shared" si="109"/>
        <v>13</v>
      </c>
      <c r="AI1632" s="17">
        <f t="shared" si="110"/>
        <v>26</v>
      </c>
      <c r="AJ1632" s="17"/>
      <c r="AK1632" s="17" t="s">
        <v>56</v>
      </c>
      <c r="AL1632" s="16" t="s">
        <v>1231</v>
      </c>
      <c r="AM1632" s="17">
        <v>2013</v>
      </c>
      <c r="AN1632" s="15" t="s">
        <v>150</v>
      </c>
      <c r="AO1632" s="15" t="s">
        <v>56</v>
      </c>
      <c r="AP1632" s="15"/>
      <c r="AQ1632" s="15" t="s">
        <v>56</v>
      </c>
      <c r="AR1632" s="15" t="s">
        <v>58</v>
      </c>
      <c r="AS1632" s="15" t="s">
        <v>62</v>
      </c>
      <c r="AT1632" s="15"/>
      <c r="AU1632" s="45" t="s">
        <v>2644</v>
      </c>
      <c r="AV1632" s="15"/>
      <c r="AW1632" s="12" t="str">
        <f>B1632&amp;C1632&amp;L1632&amp;M1632&amp;O1632&amp;U1632&amp;AL1632&amp;AM1632</f>
        <v>Cayman Islands (UK Territory)Bloody Bay Marine Park &amp; Preston Bay Marine ParkPorites astreoidesdensity0.638298052965122Manfrino2013</v>
      </c>
    </row>
    <row r="1633" spans="1:49" ht="14.5" x14ac:dyDescent="0.35">
      <c r="A1633" s="12">
        <v>1632</v>
      </c>
      <c r="B1633" s="12" t="s">
        <v>2641</v>
      </c>
      <c r="C1633" s="12" t="s">
        <v>2642</v>
      </c>
      <c r="D1633" s="12" t="s">
        <v>1230</v>
      </c>
      <c r="E1633" s="12" t="s">
        <v>68</v>
      </c>
      <c r="F1633" s="13" t="s">
        <v>50</v>
      </c>
      <c r="G1633" s="13" t="s">
        <v>51</v>
      </c>
      <c r="H1633" s="13" t="s">
        <v>108</v>
      </c>
      <c r="I1633" s="13" t="s">
        <v>156</v>
      </c>
      <c r="K1633" s="17">
        <v>3</v>
      </c>
      <c r="L1633" s="14" t="s">
        <v>1235</v>
      </c>
      <c r="M1633" s="14"/>
      <c r="N1633" s="14" t="s">
        <v>85</v>
      </c>
      <c r="O1633" s="17" t="s">
        <v>86</v>
      </c>
      <c r="P1633" s="14"/>
      <c r="Q1633" s="14"/>
      <c r="R1633" s="14"/>
      <c r="S1633" s="14">
        <v>104.5</v>
      </c>
      <c r="T1633" s="14">
        <v>95.5</v>
      </c>
      <c r="U1633" s="19">
        <f t="shared" si="108"/>
        <v>0.9138755980861244</v>
      </c>
      <c r="V1633" s="41">
        <f t="shared" si="111"/>
        <v>-8.6124401913875595</v>
      </c>
      <c r="W1633" s="14"/>
      <c r="X1633" s="14" t="s">
        <v>58</v>
      </c>
      <c r="Y1633" s="14">
        <v>8</v>
      </c>
      <c r="Z1633" s="14" t="s">
        <v>58</v>
      </c>
      <c r="AA1633" s="14"/>
      <c r="AB1633" s="14" t="s">
        <v>57</v>
      </c>
      <c r="AC1633" s="14">
        <v>1999</v>
      </c>
      <c r="AD1633" s="14">
        <v>13</v>
      </c>
      <c r="AE1633" s="14"/>
      <c r="AF1633" s="14"/>
      <c r="AG1633" s="14">
        <v>1986</v>
      </c>
      <c r="AH1633" s="14">
        <f t="shared" si="109"/>
        <v>13</v>
      </c>
      <c r="AI1633" s="17">
        <f t="shared" si="110"/>
        <v>26</v>
      </c>
      <c r="AJ1633" s="14"/>
      <c r="AK1633" s="14" t="s">
        <v>56</v>
      </c>
      <c r="AL1633" s="13" t="s">
        <v>1231</v>
      </c>
      <c r="AM1633" s="14">
        <v>2013</v>
      </c>
      <c r="AN1633" s="12" t="s">
        <v>150</v>
      </c>
      <c r="AO1633" s="12" t="s">
        <v>56</v>
      </c>
      <c r="AP1633" s="12"/>
      <c r="AQ1633" s="12" t="s">
        <v>56</v>
      </c>
      <c r="AR1633" s="12" t="s">
        <v>58</v>
      </c>
      <c r="AS1633" s="12" t="s">
        <v>62</v>
      </c>
      <c r="AT1633" s="12"/>
      <c r="AU1633" s="45" t="s">
        <v>2644</v>
      </c>
      <c r="AV1633" s="15"/>
      <c r="AW1633" s="12" t="str">
        <f>B1633&amp;C1633&amp;L1633&amp;M1633&amp;O1633&amp;U1633&amp;AL1633&amp;AM1633</f>
        <v>Cayman Islands (UK Territory)Bloody Bay Marine Park &amp; Preston Bay Marine ParkSiderastrea sidereadensity0.913875598086124Manfrino2013</v>
      </c>
    </row>
    <row r="1634" spans="1:49" ht="14.5" x14ac:dyDescent="0.35">
      <c r="A1634" s="12">
        <v>1633</v>
      </c>
      <c r="B1634" s="12" t="s">
        <v>1107</v>
      </c>
      <c r="C1634" s="12" t="s">
        <v>1144</v>
      </c>
      <c r="D1634" s="12" t="s">
        <v>2637</v>
      </c>
      <c r="E1634" s="12" t="s">
        <v>730</v>
      </c>
      <c r="F1634" s="13" t="s">
        <v>50</v>
      </c>
      <c r="G1634" s="13" t="s">
        <v>51</v>
      </c>
      <c r="H1634" s="13" t="s">
        <v>108</v>
      </c>
      <c r="I1634" s="13" t="s">
        <v>53</v>
      </c>
      <c r="J1634" s="14">
        <v>37.19</v>
      </c>
      <c r="K1634" s="17"/>
      <c r="L1634" s="14" t="s">
        <v>1171</v>
      </c>
      <c r="M1634" s="14"/>
      <c r="N1634" s="14" t="s">
        <v>85</v>
      </c>
      <c r="O1634" s="17" t="s">
        <v>104</v>
      </c>
      <c r="P1634" s="14"/>
      <c r="Q1634" s="14"/>
      <c r="R1634" s="14"/>
      <c r="S1634" s="14">
        <v>8.07</v>
      </c>
      <c r="T1634" s="14">
        <v>33.409999999999997</v>
      </c>
      <c r="U1634" s="19">
        <f t="shared" si="108"/>
        <v>4.1400247831474593</v>
      </c>
      <c r="V1634" s="41">
        <f t="shared" si="111"/>
        <v>314.00247831474593</v>
      </c>
      <c r="W1634" s="14"/>
      <c r="X1634" s="14" t="s">
        <v>56</v>
      </c>
      <c r="Z1634" s="14" t="s">
        <v>56</v>
      </c>
      <c r="AA1634" s="14"/>
      <c r="AB1634" s="14" t="s">
        <v>57</v>
      </c>
      <c r="AC1634" s="14">
        <v>2010</v>
      </c>
      <c r="AD1634" s="14">
        <v>0</v>
      </c>
      <c r="AE1634" s="14"/>
      <c r="AF1634" s="14"/>
      <c r="AG1634" s="14">
        <v>2001</v>
      </c>
      <c r="AH1634" s="14">
        <f t="shared" si="109"/>
        <v>9</v>
      </c>
      <c r="AI1634" s="17">
        <f t="shared" si="110"/>
        <v>9</v>
      </c>
      <c r="AJ1634" s="14"/>
      <c r="AK1634" s="14" t="s">
        <v>56</v>
      </c>
      <c r="AL1634" s="13" t="s">
        <v>1172</v>
      </c>
      <c r="AM1634" s="14">
        <v>2011</v>
      </c>
      <c r="AN1634" s="12" t="s">
        <v>1173</v>
      </c>
      <c r="AO1634" s="12" t="s">
        <v>56</v>
      </c>
      <c r="AP1634" s="12"/>
      <c r="AQ1634" s="12" t="s">
        <v>56</v>
      </c>
      <c r="AR1634" s="12" t="s">
        <v>58</v>
      </c>
      <c r="AS1634" s="12" t="s">
        <v>62</v>
      </c>
      <c r="AT1634" s="12"/>
      <c r="AU1634" s="45"/>
      <c r="AV1634" s="15"/>
      <c r="AW1634" s="12" t="str">
        <f>B1634&amp;C1634&amp;L1634&amp;M1634&amp;O1634&amp;U1634&amp;AL1634&amp;AM1634</f>
        <v>Canary IslandsLa Palma marine reservePatella ulyssiponensissize4.14002478314746Lopez2011</v>
      </c>
    </row>
    <row r="1635" spans="1:49" ht="14.5" x14ac:dyDescent="0.35">
      <c r="A1635" s="12">
        <v>1634</v>
      </c>
      <c r="B1635" s="12" t="s">
        <v>1107</v>
      </c>
      <c r="C1635" s="12" t="s">
        <v>1144</v>
      </c>
      <c r="D1635" s="12" t="s">
        <v>2637</v>
      </c>
      <c r="E1635" s="12" t="s">
        <v>730</v>
      </c>
      <c r="F1635" s="13" t="s">
        <v>50</v>
      </c>
      <c r="G1635" s="13" t="s">
        <v>51</v>
      </c>
      <c r="H1635" s="13" t="s">
        <v>108</v>
      </c>
      <c r="I1635" s="13" t="s">
        <v>53</v>
      </c>
      <c r="J1635" s="14">
        <v>37.19</v>
      </c>
      <c r="K1635" s="17"/>
      <c r="L1635" s="14" t="s">
        <v>1174</v>
      </c>
      <c r="M1635" s="14"/>
      <c r="N1635" s="14" t="s">
        <v>85</v>
      </c>
      <c r="O1635" s="17" t="s">
        <v>104</v>
      </c>
      <c r="P1635" s="14"/>
      <c r="Q1635" s="14"/>
      <c r="R1635" s="14"/>
      <c r="S1635" s="14">
        <v>6.24</v>
      </c>
      <c r="T1635" s="14">
        <v>37.33</v>
      </c>
      <c r="U1635" s="19">
        <f t="shared" si="108"/>
        <v>5.9823717948717947</v>
      </c>
      <c r="V1635" s="41">
        <f t="shared" si="111"/>
        <v>498.23717948717945</v>
      </c>
      <c r="W1635" s="14"/>
      <c r="X1635" s="14" t="s">
        <v>56</v>
      </c>
      <c r="Z1635" s="14" t="s">
        <v>56</v>
      </c>
      <c r="AA1635" s="14"/>
      <c r="AB1635" s="14" t="s">
        <v>57</v>
      </c>
      <c r="AC1635" s="14">
        <v>2010</v>
      </c>
      <c r="AD1635" s="14">
        <v>0</v>
      </c>
      <c r="AE1635" s="14"/>
      <c r="AF1635" s="14"/>
      <c r="AG1635" s="14">
        <v>2001</v>
      </c>
      <c r="AH1635" s="14">
        <f t="shared" si="109"/>
        <v>9</v>
      </c>
      <c r="AI1635" s="17">
        <f t="shared" si="110"/>
        <v>9</v>
      </c>
      <c r="AJ1635" s="14"/>
      <c r="AK1635" s="14" t="s">
        <v>56</v>
      </c>
      <c r="AL1635" s="13" t="s">
        <v>1172</v>
      </c>
      <c r="AM1635" s="14">
        <v>2011</v>
      </c>
      <c r="AN1635" s="12" t="s">
        <v>1173</v>
      </c>
      <c r="AO1635" s="12" t="s">
        <v>56</v>
      </c>
      <c r="AP1635" s="12"/>
      <c r="AQ1635" s="12" t="s">
        <v>56</v>
      </c>
      <c r="AR1635" s="12" t="s">
        <v>58</v>
      </c>
      <c r="AS1635" s="12" t="s">
        <v>62</v>
      </c>
      <c r="AT1635" s="12"/>
      <c r="AU1635" s="45"/>
      <c r="AV1635" s="15"/>
      <c r="AW1635" s="12" t="str">
        <f>B1635&amp;C1635&amp;L1635&amp;M1635&amp;O1635&amp;U1635&amp;AL1635&amp;AM1635</f>
        <v>Canary IslandsLa Palma marine reservePatella candei crenatasize5.98237179487179Lopez2011</v>
      </c>
    </row>
    <row r="1636" spans="1:49" ht="14.5" x14ac:dyDescent="0.35">
      <c r="A1636" s="12">
        <v>1635</v>
      </c>
      <c r="B1636" s="12" t="s">
        <v>1107</v>
      </c>
      <c r="C1636" s="12" t="s">
        <v>1144</v>
      </c>
      <c r="D1636" s="12" t="s">
        <v>2637</v>
      </c>
      <c r="E1636" s="12" t="s">
        <v>730</v>
      </c>
      <c r="F1636" s="13" t="s">
        <v>50</v>
      </c>
      <c r="G1636" s="13" t="s">
        <v>51</v>
      </c>
      <c r="H1636" s="13" t="s">
        <v>108</v>
      </c>
      <c r="I1636" s="13" t="s">
        <v>53</v>
      </c>
      <c r="J1636" s="14">
        <v>37.19</v>
      </c>
      <c r="K1636" s="17"/>
      <c r="L1636" s="14" t="s">
        <v>1171</v>
      </c>
      <c r="M1636" s="14"/>
      <c r="N1636" s="14" t="s">
        <v>85</v>
      </c>
      <c r="O1636" s="17" t="s">
        <v>86</v>
      </c>
      <c r="P1636" s="14"/>
      <c r="Q1636" s="14"/>
      <c r="R1636" s="14"/>
      <c r="S1636" s="14">
        <v>0.23</v>
      </c>
      <c r="T1636" s="14">
        <v>2.4649999999999999</v>
      </c>
      <c r="U1636" s="19">
        <f t="shared" si="108"/>
        <v>10.717391304347824</v>
      </c>
      <c r="V1636" s="41">
        <f t="shared" si="111"/>
        <v>971.7391304347824</v>
      </c>
      <c r="W1636" s="14"/>
      <c r="X1636" s="14" t="s">
        <v>56</v>
      </c>
      <c r="Y1636" s="12"/>
      <c r="Z1636" s="14" t="s">
        <v>56</v>
      </c>
      <c r="AA1636" s="14"/>
      <c r="AB1636" s="14" t="s">
        <v>57</v>
      </c>
      <c r="AC1636" s="14">
        <v>2010</v>
      </c>
      <c r="AD1636" s="14">
        <v>0</v>
      </c>
      <c r="AE1636" s="14"/>
      <c r="AF1636" s="14"/>
      <c r="AG1636" s="14">
        <v>2001</v>
      </c>
      <c r="AH1636" s="14">
        <f t="shared" si="109"/>
        <v>9</v>
      </c>
      <c r="AI1636" s="17">
        <f t="shared" si="110"/>
        <v>9</v>
      </c>
      <c r="AJ1636" s="14"/>
      <c r="AK1636" s="14" t="s">
        <v>56</v>
      </c>
      <c r="AL1636" s="13" t="s">
        <v>1172</v>
      </c>
      <c r="AM1636" s="14">
        <v>2011</v>
      </c>
      <c r="AN1636" s="12" t="s">
        <v>1173</v>
      </c>
      <c r="AO1636" s="12" t="s">
        <v>56</v>
      </c>
      <c r="AP1636" s="12"/>
      <c r="AQ1636" s="12" t="s">
        <v>56</v>
      </c>
      <c r="AR1636" s="12" t="s">
        <v>58</v>
      </c>
      <c r="AS1636" s="12" t="s">
        <v>62</v>
      </c>
      <c r="AT1636" s="12"/>
      <c r="AU1636" s="45"/>
      <c r="AV1636" s="15"/>
      <c r="AW1636" s="12" t="str">
        <f>B1636&amp;C1636&amp;L1636&amp;M1636&amp;O1636&amp;U1636&amp;AL1636&amp;AM1636</f>
        <v>Canary IslandsLa Palma marine reservePatella ulyssiponensisdensity10.7173913043478Lopez2011</v>
      </c>
    </row>
    <row r="1637" spans="1:49" ht="14.5" x14ac:dyDescent="0.35">
      <c r="A1637" s="12">
        <v>1636</v>
      </c>
      <c r="B1637" s="12" t="s">
        <v>1107</v>
      </c>
      <c r="C1637" s="12" t="s">
        <v>1144</v>
      </c>
      <c r="D1637" s="12" t="s">
        <v>2637</v>
      </c>
      <c r="E1637" s="12" t="s">
        <v>730</v>
      </c>
      <c r="F1637" s="13" t="s">
        <v>50</v>
      </c>
      <c r="G1637" s="13" t="s">
        <v>51</v>
      </c>
      <c r="H1637" s="13" t="s">
        <v>108</v>
      </c>
      <c r="I1637" s="13" t="s">
        <v>53</v>
      </c>
      <c r="J1637" s="14">
        <v>37.19</v>
      </c>
      <c r="K1637" s="17"/>
      <c r="L1637" s="14" t="s">
        <v>1174</v>
      </c>
      <c r="M1637" s="14"/>
      <c r="N1637" s="14" t="s">
        <v>85</v>
      </c>
      <c r="O1637" s="17" t="s">
        <v>86</v>
      </c>
      <c r="P1637" s="14"/>
      <c r="Q1637" s="14"/>
      <c r="R1637" s="14"/>
      <c r="S1637" s="14">
        <v>0.19</v>
      </c>
      <c r="T1637" s="14">
        <v>1.2250000000000001</v>
      </c>
      <c r="U1637" s="19">
        <f t="shared" si="108"/>
        <v>6.4473684210526319</v>
      </c>
      <c r="V1637" s="41">
        <f t="shared" si="111"/>
        <v>544.73684210526324</v>
      </c>
      <c r="W1637" s="14"/>
      <c r="X1637" s="14" t="s">
        <v>56</v>
      </c>
      <c r="Y1637" s="12"/>
      <c r="Z1637" s="14" t="s">
        <v>56</v>
      </c>
      <c r="AA1637" s="14"/>
      <c r="AB1637" s="14" t="s">
        <v>57</v>
      </c>
      <c r="AC1637" s="14">
        <v>2010</v>
      </c>
      <c r="AD1637" s="14">
        <v>0</v>
      </c>
      <c r="AE1637" s="14"/>
      <c r="AF1637" s="14"/>
      <c r="AG1637" s="14">
        <v>2001</v>
      </c>
      <c r="AH1637" s="14">
        <f t="shared" si="109"/>
        <v>9</v>
      </c>
      <c r="AI1637" s="17">
        <f t="shared" si="110"/>
        <v>9</v>
      </c>
      <c r="AJ1637" s="14"/>
      <c r="AK1637" s="14" t="s">
        <v>56</v>
      </c>
      <c r="AL1637" s="13" t="s">
        <v>1172</v>
      </c>
      <c r="AM1637" s="14">
        <v>2011</v>
      </c>
      <c r="AN1637" s="12" t="s">
        <v>1173</v>
      </c>
      <c r="AO1637" s="12" t="s">
        <v>56</v>
      </c>
      <c r="AP1637" s="12"/>
      <c r="AQ1637" s="12" t="s">
        <v>56</v>
      </c>
      <c r="AR1637" s="12" t="s">
        <v>58</v>
      </c>
      <c r="AS1637" s="12" t="s">
        <v>62</v>
      </c>
      <c r="AT1637" s="12"/>
      <c r="AU1637" s="45"/>
      <c r="AV1637" s="15"/>
      <c r="AW1637" s="12" t="str">
        <f>B1637&amp;C1637&amp;L1637&amp;M1637&amp;O1637&amp;U1637&amp;AL1637&amp;AM1637</f>
        <v>Canary IslandsLa Palma marine reservePatella candei crenatadensity6.44736842105263Lopez2011</v>
      </c>
    </row>
    <row r="1638" spans="1:49" ht="14.5" x14ac:dyDescent="0.35">
      <c r="A1638" s="12">
        <v>1637</v>
      </c>
      <c r="B1638" s="12" t="s">
        <v>684</v>
      </c>
      <c r="C1638" s="12" t="s">
        <v>2660</v>
      </c>
      <c r="D1638" s="12" t="s">
        <v>2655</v>
      </c>
      <c r="E1638" s="12" t="s">
        <v>68</v>
      </c>
      <c r="F1638" s="13" t="s">
        <v>50</v>
      </c>
      <c r="G1638" s="13" t="s">
        <v>51</v>
      </c>
      <c r="H1638" s="13" t="s">
        <v>329</v>
      </c>
      <c r="I1638" s="13" t="s">
        <v>156</v>
      </c>
      <c r="J1638" s="30"/>
      <c r="K1638" s="17">
        <v>20</v>
      </c>
      <c r="L1638" s="17" t="s">
        <v>185</v>
      </c>
      <c r="M1638" s="14" t="s">
        <v>186</v>
      </c>
      <c r="N1638" s="14" t="s">
        <v>288</v>
      </c>
      <c r="O1638" s="17" t="s">
        <v>101</v>
      </c>
      <c r="P1638" s="14"/>
      <c r="Q1638" s="14"/>
      <c r="R1638" s="14"/>
      <c r="S1638" s="14">
        <v>2.3333330000000001</v>
      </c>
      <c r="T1638" s="14">
        <v>5.1555559999999998</v>
      </c>
      <c r="U1638" s="19">
        <f t="shared" si="108"/>
        <v>2.2095243156463305</v>
      </c>
      <c r="V1638" s="41">
        <f t="shared" si="111"/>
        <v>120.95243156463305</v>
      </c>
      <c r="W1638" s="14"/>
      <c r="X1638" s="14" t="s">
        <v>58</v>
      </c>
      <c r="Y1638" s="14">
        <v>25</v>
      </c>
      <c r="Z1638" s="14" t="s">
        <v>56</v>
      </c>
      <c r="AA1638" s="14"/>
      <c r="AB1638" s="14" t="s">
        <v>57</v>
      </c>
      <c r="AC1638" s="14">
        <v>2004</v>
      </c>
      <c r="AD1638" s="14">
        <v>0</v>
      </c>
      <c r="AE1638" s="14"/>
      <c r="AF1638" s="14"/>
      <c r="AG1638" s="14">
        <v>1972</v>
      </c>
      <c r="AH1638" s="14">
        <f t="shared" si="109"/>
        <v>32</v>
      </c>
      <c r="AI1638" s="17">
        <f t="shared" si="110"/>
        <v>32</v>
      </c>
      <c r="AJ1638" s="14"/>
      <c r="AK1638" s="14" t="s">
        <v>56</v>
      </c>
      <c r="AL1638" s="13" t="s">
        <v>1268</v>
      </c>
      <c r="AM1638" s="14">
        <v>2006</v>
      </c>
      <c r="AN1638" s="12" t="s">
        <v>1269</v>
      </c>
      <c r="AO1638" s="12" t="s">
        <v>56</v>
      </c>
      <c r="AP1638" s="12"/>
      <c r="AQ1638" s="12" t="s">
        <v>56</v>
      </c>
      <c r="AR1638" s="12" t="s">
        <v>58</v>
      </c>
      <c r="AS1638" s="12" t="s">
        <v>62</v>
      </c>
      <c r="AT1638" s="12"/>
      <c r="AU1638" s="45" t="s">
        <v>2659</v>
      </c>
      <c r="AV1638" s="15"/>
      <c r="AW1638" s="12" t="str">
        <f>B1638&amp;C1638&amp;L1638&amp;M1638&amp;O1638&amp;U1638&amp;AL1638&amp;AM1638</f>
        <v>KenyaMalindi &amp; Watamu National ParksScleractiniahard coralcover2.20952431564633Lambo2006</v>
      </c>
    </row>
    <row r="1639" spans="1:49" ht="14.5" x14ac:dyDescent="0.35">
      <c r="A1639" s="12">
        <v>1638</v>
      </c>
      <c r="B1639" s="12" t="s">
        <v>684</v>
      </c>
      <c r="C1639" s="12" t="s">
        <v>2660</v>
      </c>
      <c r="D1639" s="12" t="s">
        <v>2655</v>
      </c>
      <c r="E1639" s="12" t="s">
        <v>68</v>
      </c>
      <c r="F1639" s="13" t="s">
        <v>50</v>
      </c>
      <c r="G1639" s="13" t="s">
        <v>51</v>
      </c>
      <c r="H1639" s="13" t="s">
        <v>329</v>
      </c>
      <c r="I1639" s="13" t="s">
        <v>156</v>
      </c>
      <c r="J1639" s="30"/>
      <c r="K1639" s="17">
        <v>20</v>
      </c>
      <c r="L1639" s="14"/>
      <c r="M1639" s="14" t="s">
        <v>1270</v>
      </c>
      <c r="N1639" s="17" t="s">
        <v>1070</v>
      </c>
      <c r="O1639" s="17" t="s">
        <v>101</v>
      </c>
      <c r="P1639" s="14"/>
      <c r="Q1639" s="14"/>
      <c r="R1639" s="14"/>
      <c r="S1639" s="14">
        <v>5.35</v>
      </c>
      <c r="T1639" s="14">
        <v>0.95555599999999996</v>
      </c>
      <c r="U1639" s="19">
        <f t="shared" si="108"/>
        <v>0.17860859813084112</v>
      </c>
      <c r="V1639" s="41">
        <f t="shared" si="111"/>
        <v>-82.139140186915881</v>
      </c>
      <c r="W1639" s="14"/>
      <c r="X1639" s="14" t="s">
        <v>58</v>
      </c>
      <c r="Y1639" s="14">
        <v>25</v>
      </c>
      <c r="Z1639" s="14" t="s">
        <v>56</v>
      </c>
      <c r="AA1639" s="14"/>
      <c r="AB1639" s="14" t="s">
        <v>57</v>
      </c>
      <c r="AC1639" s="14">
        <v>2004</v>
      </c>
      <c r="AD1639" s="14">
        <v>0</v>
      </c>
      <c r="AE1639" s="14"/>
      <c r="AF1639" s="14"/>
      <c r="AG1639" s="14">
        <v>1972</v>
      </c>
      <c r="AH1639" s="14">
        <f t="shared" si="109"/>
        <v>32</v>
      </c>
      <c r="AI1639" s="17">
        <f t="shared" si="110"/>
        <v>32</v>
      </c>
      <c r="AJ1639" s="14"/>
      <c r="AK1639" s="14" t="s">
        <v>56</v>
      </c>
      <c r="AL1639" s="13" t="s">
        <v>1268</v>
      </c>
      <c r="AM1639" s="14">
        <v>2006</v>
      </c>
      <c r="AN1639" s="12" t="s">
        <v>1269</v>
      </c>
      <c r="AO1639" s="12" t="s">
        <v>56</v>
      </c>
      <c r="AP1639" s="12"/>
      <c r="AQ1639" s="12" t="s">
        <v>56</v>
      </c>
      <c r="AR1639" s="12" t="s">
        <v>58</v>
      </c>
      <c r="AS1639" s="12" t="s">
        <v>62</v>
      </c>
      <c r="AT1639" s="12"/>
      <c r="AU1639" s="45" t="s">
        <v>2659</v>
      </c>
      <c r="AV1639" s="15"/>
      <c r="AW1639" s="12" t="str">
        <f>B1639&amp;C1639&amp;L1639&amp;M1639&amp;O1639&amp;U1639&amp;AL1639&amp;AM1639</f>
        <v>KenyaMalindi &amp; Watamu National Parkssoft coralcover0.178608598130841Lambo2006</v>
      </c>
    </row>
    <row r="1640" spans="1:49" ht="14.5" x14ac:dyDescent="0.35">
      <c r="A1640" s="12">
        <v>1639</v>
      </c>
      <c r="B1640" s="12" t="s">
        <v>684</v>
      </c>
      <c r="C1640" s="12" t="s">
        <v>2660</v>
      </c>
      <c r="D1640" s="12" t="s">
        <v>2655</v>
      </c>
      <c r="E1640" s="12" t="s">
        <v>68</v>
      </c>
      <c r="F1640" s="13" t="s">
        <v>50</v>
      </c>
      <c r="G1640" s="13" t="s">
        <v>51</v>
      </c>
      <c r="H1640" s="13" t="s">
        <v>329</v>
      </c>
      <c r="I1640" s="13" t="s">
        <v>156</v>
      </c>
      <c r="J1640" s="30"/>
      <c r="K1640" s="17">
        <v>20</v>
      </c>
      <c r="L1640" s="14"/>
      <c r="M1640" s="14" t="s">
        <v>1271</v>
      </c>
      <c r="N1640" s="53" t="s">
        <v>98</v>
      </c>
      <c r="O1640" s="17" t="s">
        <v>101</v>
      </c>
      <c r="P1640" s="14"/>
      <c r="Q1640" s="14"/>
      <c r="R1640" s="14"/>
      <c r="S1640" s="14">
        <v>0.2</v>
      </c>
      <c r="T1640" s="14">
        <v>5.9</v>
      </c>
      <c r="U1640" s="19">
        <f t="shared" si="108"/>
        <v>29.5</v>
      </c>
      <c r="V1640" s="41">
        <f t="shared" si="111"/>
        <v>2850</v>
      </c>
      <c r="W1640" s="14"/>
      <c r="X1640" s="14" t="s">
        <v>58</v>
      </c>
      <c r="Y1640" s="14">
        <v>25</v>
      </c>
      <c r="Z1640" s="14" t="s">
        <v>56</v>
      </c>
      <c r="AA1640" s="14"/>
      <c r="AB1640" s="14" t="s">
        <v>57</v>
      </c>
      <c r="AC1640" s="14">
        <v>2004</v>
      </c>
      <c r="AD1640" s="14">
        <v>0</v>
      </c>
      <c r="AE1640" s="14"/>
      <c r="AF1640" s="14"/>
      <c r="AG1640" s="14">
        <v>1972</v>
      </c>
      <c r="AH1640" s="14">
        <f t="shared" si="109"/>
        <v>32</v>
      </c>
      <c r="AI1640" s="17">
        <f t="shared" si="110"/>
        <v>32</v>
      </c>
      <c r="AJ1640" s="14"/>
      <c r="AK1640" s="14" t="s">
        <v>56</v>
      </c>
      <c r="AL1640" s="13" t="s">
        <v>1268</v>
      </c>
      <c r="AM1640" s="14">
        <v>2006</v>
      </c>
      <c r="AN1640" s="12" t="s">
        <v>1269</v>
      </c>
      <c r="AO1640" s="12" t="s">
        <v>56</v>
      </c>
      <c r="AP1640" s="12"/>
      <c r="AQ1640" s="12" t="s">
        <v>56</v>
      </c>
      <c r="AR1640" s="12" t="s">
        <v>58</v>
      </c>
      <c r="AS1640" s="12" t="s">
        <v>62</v>
      </c>
      <c r="AT1640" s="12"/>
      <c r="AU1640" s="45" t="s">
        <v>2659</v>
      </c>
      <c r="AV1640" s="15"/>
      <c r="AW1640" s="12" t="str">
        <f>B1640&amp;C1640&amp;L1640&amp;M1640&amp;O1640&amp;U1640&amp;AL1640&amp;AM1640</f>
        <v>KenyaMalindi &amp; Watamu National Parksstanding dead coralcover29.5Lambo2006</v>
      </c>
    </row>
    <row r="1641" spans="1:49" ht="14.5" x14ac:dyDescent="0.35">
      <c r="A1641" s="12">
        <v>1640</v>
      </c>
      <c r="B1641" s="12" t="s">
        <v>684</v>
      </c>
      <c r="C1641" s="12" t="s">
        <v>2660</v>
      </c>
      <c r="D1641" s="12" t="s">
        <v>2655</v>
      </c>
      <c r="E1641" s="12" t="s">
        <v>68</v>
      </c>
      <c r="F1641" s="13" t="s">
        <v>50</v>
      </c>
      <c r="G1641" s="13" t="s">
        <v>51</v>
      </c>
      <c r="H1641" s="13" t="s">
        <v>329</v>
      </c>
      <c r="I1641" s="13" t="s">
        <v>156</v>
      </c>
      <c r="J1641" s="30"/>
      <c r="K1641" s="17">
        <v>20</v>
      </c>
      <c r="L1641" s="14"/>
      <c r="M1641" s="14" t="s">
        <v>1272</v>
      </c>
      <c r="N1641" s="53" t="s">
        <v>98</v>
      </c>
      <c r="O1641" s="17" t="s">
        <v>101</v>
      </c>
      <c r="P1641" s="14"/>
      <c r="Q1641" s="14"/>
      <c r="R1641" s="14"/>
      <c r="S1641" s="14">
        <v>7.6333330000000004</v>
      </c>
      <c r="T1641" s="14">
        <v>58.833329999999997</v>
      </c>
      <c r="U1641" s="19">
        <f t="shared" si="108"/>
        <v>7.7074234806735138</v>
      </c>
      <c r="V1641" s="41">
        <f t="shared" si="111"/>
        <v>670.74234806735137</v>
      </c>
      <c r="W1641" s="14"/>
      <c r="X1641" s="14" t="s">
        <v>58</v>
      </c>
      <c r="Y1641" s="14">
        <v>25</v>
      </c>
      <c r="Z1641" s="14" t="s">
        <v>56</v>
      </c>
      <c r="AA1641" s="14"/>
      <c r="AB1641" s="14" t="s">
        <v>57</v>
      </c>
      <c r="AC1641" s="14">
        <v>2004</v>
      </c>
      <c r="AD1641" s="14">
        <v>0</v>
      </c>
      <c r="AE1641" s="14"/>
      <c r="AF1641" s="14"/>
      <c r="AG1641" s="14">
        <v>1972</v>
      </c>
      <c r="AH1641" s="14">
        <f t="shared" si="109"/>
        <v>32</v>
      </c>
      <c r="AI1641" s="17">
        <f t="shared" si="110"/>
        <v>32</v>
      </c>
      <c r="AJ1641" s="14"/>
      <c r="AK1641" s="14" t="s">
        <v>56</v>
      </c>
      <c r="AL1641" s="13" t="s">
        <v>1268</v>
      </c>
      <c r="AM1641" s="14">
        <v>2006</v>
      </c>
      <c r="AN1641" s="12" t="s">
        <v>1269</v>
      </c>
      <c r="AO1641" s="12" t="s">
        <v>56</v>
      </c>
      <c r="AP1641" s="12"/>
      <c r="AQ1641" s="12" t="s">
        <v>56</v>
      </c>
      <c r="AR1641" s="12" t="s">
        <v>58</v>
      </c>
      <c r="AS1641" s="12" t="s">
        <v>62</v>
      </c>
      <c r="AT1641" s="12"/>
      <c r="AU1641" s="45" t="s">
        <v>2659</v>
      </c>
      <c r="AV1641" s="15"/>
      <c r="AW1641" s="12" t="str">
        <f>B1641&amp;C1641&amp;L1641&amp;M1641&amp;O1641&amp;U1641&amp;AL1641&amp;AM1641</f>
        <v>KenyaMalindi &amp; Watamu National Parksrubble dead coralcover7.70742348067351Lambo2006</v>
      </c>
    </row>
    <row r="1642" spans="1:49" ht="14.5" x14ac:dyDescent="0.35">
      <c r="A1642" s="12">
        <v>1641</v>
      </c>
      <c r="B1642" s="15" t="s">
        <v>684</v>
      </c>
      <c r="C1642" s="12" t="s">
        <v>2660</v>
      </c>
      <c r="D1642" s="12" t="s">
        <v>2655</v>
      </c>
      <c r="E1642" s="15" t="s">
        <v>68</v>
      </c>
      <c r="F1642" s="16" t="s">
        <v>50</v>
      </c>
      <c r="G1642" s="16" t="s">
        <v>51</v>
      </c>
      <c r="H1642" s="16" t="s">
        <v>329</v>
      </c>
      <c r="I1642" s="16" t="s">
        <v>156</v>
      </c>
      <c r="J1642" s="63"/>
      <c r="K1642" s="17">
        <v>20</v>
      </c>
      <c r="L1642" s="17" t="s">
        <v>928</v>
      </c>
      <c r="M1642" s="17"/>
      <c r="N1642" s="17" t="s">
        <v>170</v>
      </c>
      <c r="O1642" s="17" t="s">
        <v>101</v>
      </c>
      <c r="P1642" s="17"/>
      <c r="Q1642" s="17"/>
      <c r="R1642" s="17"/>
      <c r="S1642" s="17">
        <v>30.15</v>
      </c>
      <c r="T1642" s="17">
        <v>22.1</v>
      </c>
      <c r="U1642" s="20">
        <f t="shared" si="108"/>
        <v>0.73300165837479281</v>
      </c>
      <c r="V1642" s="41">
        <f t="shared" si="111"/>
        <v>-26.69983416252072</v>
      </c>
      <c r="W1642" s="17"/>
      <c r="X1642" s="17" t="s">
        <v>58</v>
      </c>
      <c r="Y1642" s="14">
        <v>25</v>
      </c>
      <c r="Z1642" s="17" t="s">
        <v>56</v>
      </c>
      <c r="AA1642" s="17"/>
      <c r="AB1642" s="17" t="s">
        <v>57</v>
      </c>
      <c r="AC1642" s="17">
        <v>2004</v>
      </c>
      <c r="AD1642" s="17">
        <v>0</v>
      </c>
      <c r="AE1642" s="17"/>
      <c r="AF1642" s="17"/>
      <c r="AG1642" s="14">
        <v>1972</v>
      </c>
      <c r="AH1642" s="14">
        <f t="shared" si="109"/>
        <v>32</v>
      </c>
      <c r="AI1642" s="17">
        <f t="shared" si="110"/>
        <v>32</v>
      </c>
      <c r="AJ1642" s="17"/>
      <c r="AK1642" s="17" t="s">
        <v>56</v>
      </c>
      <c r="AL1642" s="16" t="s">
        <v>1268</v>
      </c>
      <c r="AM1642" s="17">
        <v>2006</v>
      </c>
      <c r="AN1642" s="15" t="s">
        <v>1269</v>
      </c>
      <c r="AO1642" s="15" t="s">
        <v>56</v>
      </c>
      <c r="AP1642" s="15"/>
      <c r="AQ1642" s="15" t="s">
        <v>56</v>
      </c>
      <c r="AR1642" s="15" t="s">
        <v>58</v>
      </c>
      <c r="AS1642" s="15" t="s">
        <v>62</v>
      </c>
      <c r="AT1642" s="15"/>
      <c r="AU1642" s="45" t="s">
        <v>2659</v>
      </c>
      <c r="AV1642" s="15"/>
      <c r="AW1642" s="12" t="str">
        <f>B1642&amp;C1642&amp;L1642&amp;M1642&amp;O1642&amp;U1642&amp;AL1642&amp;AM1642</f>
        <v>KenyaMalindi &amp; Watamu National ParksHalimedacover0.733001658374793Lambo2006</v>
      </c>
    </row>
    <row r="1643" spans="1:49" ht="14.5" x14ac:dyDescent="0.35">
      <c r="A1643" s="12">
        <v>1642</v>
      </c>
      <c r="B1643" s="15" t="s">
        <v>684</v>
      </c>
      <c r="C1643" s="12" t="s">
        <v>2660</v>
      </c>
      <c r="D1643" s="12" t="s">
        <v>2655</v>
      </c>
      <c r="E1643" s="15" t="s">
        <v>68</v>
      </c>
      <c r="F1643" s="13" t="s">
        <v>50</v>
      </c>
      <c r="G1643" s="13" t="s">
        <v>51</v>
      </c>
      <c r="H1643" s="16" t="s">
        <v>329</v>
      </c>
      <c r="I1643" s="16" t="s">
        <v>156</v>
      </c>
      <c r="J1643" s="63"/>
      <c r="K1643" s="17">
        <v>20</v>
      </c>
      <c r="L1643" s="17"/>
      <c r="M1643" s="17" t="s">
        <v>1273</v>
      </c>
      <c r="N1643" s="17" t="s">
        <v>1070</v>
      </c>
      <c r="O1643" s="17" t="s">
        <v>101</v>
      </c>
      <c r="P1643" s="17"/>
      <c r="Q1643" s="17"/>
      <c r="R1643" s="17"/>
      <c r="S1643" s="17">
        <v>17.683330000000002</v>
      </c>
      <c r="T1643" s="17">
        <v>0.26666699999999999</v>
      </c>
      <c r="U1643" s="20">
        <f t="shared" si="108"/>
        <v>1.5080134793616359E-2</v>
      </c>
      <c r="V1643" s="41">
        <f t="shared" si="111"/>
        <v>-98.491986520638363</v>
      </c>
      <c r="W1643" s="17"/>
      <c r="X1643" s="17" t="s">
        <v>58</v>
      </c>
      <c r="Y1643" s="14">
        <v>25</v>
      </c>
      <c r="Z1643" s="17" t="s">
        <v>56</v>
      </c>
      <c r="AA1643" s="17"/>
      <c r="AB1643" s="17" t="s">
        <v>57</v>
      </c>
      <c r="AC1643" s="17">
        <v>2004</v>
      </c>
      <c r="AD1643" s="17">
        <v>0</v>
      </c>
      <c r="AE1643" s="17"/>
      <c r="AF1643" s="17"/>
      <c r="AG1643" s="14">
        <v>1972</v>
      </c>
      <c r="AH1643" s="14">
        <f t="shared" si="109"/>
        <v>32</v>
      </c>
      <c r="AI1643" s="17">
        <f t="shared" si="110"/>
        <v>32</v>
      </c>
      <c r="AJ1643" s="17"/>
      <c r="AK1643" s="17" t="s">
        <v>56</v>
      </c>
      <c r="AL1643" s="16" t="s">
        <v>1268</v>
      </c>
      <c r="AM1643" s="17">
        <v>2006</v>
      </c>
      <c r="AN1643" s="15" t="s">
        <v>1269</v>
      </c>
      <c r="AO1643" s="15" t="s">
        <v>56</v>
      </c>
      <c r="AP1643" s="15"/>
      <c r="AQ1643" s="15" t="s">
        <v>56</v>
      </c>
      <c r="AR1643" s="15" t="s">
        <v>58</v>
      </c>
      <c r="AS1643" s="15" t="s">
        <v>62</v>
      </c>
      <c r="AT1643" s="15"/>
      <c r="AU1643" s="45" t="s">
        <v>2659</v>
      </c>
      <c r="AV1643" s="15"/>
      <c r="AW1643" s="12" t="str">
        <f>B1643&amp;C1643&amp;L1643&amp;M1643&amp;O1643&amp;U1643&amp;AL1643&amp;AM1643</f>
        <v>KenyaMalindi &amp; Watamu National Parksgreen algaecover0.0150801347936164Lambo2006</v>
      </c>
    </row>
    <row r="1644" spans="1:49" ht="14.5" x14ac:dyDescent="0.35">
      <c r="A1644" s="12">
        <v>1643</v>
      </c>
      <c r="B1644" s="12" t="s">
        <v>684</v>
      </c>
      <c r="C1644" s="12" t="s">
        <v>2660</v>
      </c>
      <c r="D1644" s="12" t="s">
        <v>2655</v>
      </c>
      <c r="E1644" s="12" t="s">
        <v>68</v>
      </c>
      <c r="F1644" s="13" t="s">
        <v>50</v>
      </c>
      <c r="G1644" s="13" t="s">
        <v>51</v>
      </c>
      <c r="H1644" s="13" t="s">
        <v>329</v>
      </c>
      <c r="I1644" s="13" t="s">
        <v>156</v>
      </c>
      <c r="J1644" s="30"/>
      <c r="K1644" s="17">
        <v>20</v>
      </c>
      <c r="L1644" s="14"/>
      <c r="M1644" s="14" t="s">
        <v>1274</v>
      </c>
      <c r="N1644" s="17" t="s">
        <v>1070</v>
      </c>
      <c r="O1644" s="17" t="s">
        <v>101</v>
      </c>
      <c r="P1644" s="14"/>
      <c r="Q1644" s="14"/>
      <c r="R1644" s="14"/>
      <c r="S1644" s="14">
        <v>5.8666669999999996</v>
      </c>
      <c r="T1644" s="14">
        <v>1.911111</v>
      </c>
      <c r="U1644" s="19">
        <f t="shared" si="108"/>
        <v>0.32575753830923082</v>
      </c>
      <c r="V1644" s="41">
        <f t="shared" si="111"/>
        <v>-67.424246169076923</v>
      </c>
      <c r="W1644" s="14"/>
      <c r="X1644" s="14" t="s">
        <v>58</v>
      </c>
      <c r="Y1644" s="14">
        <v>25</v>
      </c>
      <c r="Z1644" s="14" t="s">
        <v>56</v>
      </c>
      <c r="AA1644" s="14"/>
      <c r="AB1644" s="14" t="s">
        <v>57</v>
      </c>
      <c r="AC1644" s="14">
        <v>2004</v>
      </c>
      <c r="AD1644" s="14">
        <v>0</v>
      </c>
      <c r="AE1644" s="14"/>
      <c r="AF1644" s="14"/>
      <c r="AG1644" s="14">
        <v>1972</v>
      </c>
      <c r="AH1644" s="14">
        <f t="shared" si="109"/>
        <v>32</v>
      </c>
      <c r="AI1644" s="17">
        <f t="shared" si="110"/>
        <v>32</v>
      </c>
      <c r="AJ1644" s="14"/>
      <c r="AK1644" s="14" t="s">
        <v>56</v>
      </c>
      <c r="AL1644" s="13" t="s">
        <v>1268</v>
      </c>
      <c r="AM1644" s="14">
        <v>2006</v>
      </c>
      <c r="AN1644" s="12" t="s">
        <v>1269</v>
      </c>
      <c r="AO1644" s="12" t="s">
        <v>56</v>
      </c>
      <c r="AP1644" s="12"/>
      <c r="AQ1644" s="12" t="s">
        <v>56</v>
      </c>
      <c r="AR1644" s="12" t="s">
        <v>58</v>
      </c>
      <c r="AS1644" s="12" t="s">
        <v>62</v>
      </c>
      <c r="AT1644" s="12"/>
      <c r="AU1644" s="45" t="s">
        <v>2659</v>
      </c>
      <c r="AV1644" s="15"/>
      <c r="AW1644" s="12" t="str">
        <f>B1644&amp;C1644&amp;L1644&amp;M1644&amp;O1644&amp;U1644&amp;AL1644&amp;AM1644</f>
        <v>KenyaMalindi &amp; Watamu National Parksred algaecover0.325757538309231Lambo2006</v>
      </c>
    </row>
    <row r="1645" spans="1:49" ht="14.5" x14ac:dyDescent="0.35">
      <c r="A1645" s="12">
        <v>1644</v>
      </c>
      <c r="B1645" s="15" t="s">
        <v>684</v>
      </c>
      <c r="C1645" s="12" t="s">
        <v>2660</v>
      </c>
      <c r="D1645" s="12" t="s">
        <v>2655</v>
      </c>
      <c r="E1645" s="15" t="s">
        <v>68</v>
      </c>
      <c r="F1645" s="16" t="s">
        <v>50</v>
      </c>
      <c r="G1645" s="16" t="s">
        <v>51</v>
      </c>
      <c r="H1645" s="16" t="s">
        <v>329</v>
      </c>
      <c r="I1645" s="16" t="s">
        <v>156</v>
      </c>
      <c r="J1645" s="63"/>
      <c r="K1645" s="17">
        <v>20</v>
      </c>
      <c r="L1645" s="17"/>
      <c r="M1645" s="17" t="s">
        <v>1275</v>
      </c>
      <c r="N1645" s="17" t="s">
        <v>1070</v>
      </c>
      <c r="O1645" s="17" t="s">
        <v>101</v>
      </c>
      <c r="P1645" s="17"/>
      <c r="Q1645" s="17"/>
      <c r="R1645" s="17"/>
      <c r="S1645" s="17">
        <v>0.11666700000000001</v>
      </c>
      <c r="T1645" s="17">
        <v>0</v>
      </c>
      <c r="U1645" s="20">
        <f t="shared" si="108"/>
        <v>0</v>
      </c>
      <c r="V1645" s="41">
        <f t="shared" si="111"/>
        <v>-100</v>
      </c>
      <c r="W1645" s="17"/>
      <c r="X1645" s="17" t="s">
        <v>58</v>
      </c>
      <c r="Y1645" s="14">
        <v>25</v>
      </c>
      <c r="Z1645" s="17" t="s">
        <v>56</v>
      </c>
      <c r="AA1645" s="17"/>
      <c r="AB1645" s="17" t="s">
        <v>57</v>
      </c>
      <c r="AC1645" s="17">
        <v>2004</v>
      </c>
      <c r="AD1645" s="17">
        <v>0</v>
      </c>
      <c r="AE1645" s="17"/>
      <c r="AF1645" s="17"/>
      <c r="AG1645" s="14">
        <v>1972</v>
      </c>
      <c r="AH1645" s="14">
        <f t="shared" si="109"/>
        <v>32</v>
      </c>
      <c r="AI1645" s="17">
        <f t="shared" si="110"/>
        <v>32</v>
      </c>
      <c r="AJ1645" s="17"/>
      <c r="AK1645" s="17" t="s">
        <v>56</v>
      </c>
      <c r="AL1645" s="16" t="s">
        <v>1268</v>
      </c>
      <c r="AM1645" s="17">
        <v>2006</v>
      </c>
      <c r="AN1645" s="15" t="s">
        <v>1269</v>
      </c>
      <c r="AO1645" s="15" t="s">
        <v>56</v>
      </c>
      <c r="AP1645" s="15"/>
      <c r="AQ1645" s="15" t="s">
        <v>56</v>
      </c>
      <c r="AR1645" s="15" t="s">
        <v>58</v>
      </c>
      <c r="AS1645" s="15" t="s">
        <v>62</v>
      </c>
      <c r="AT1645" s="15"/>
      <c r="AU1645" s="45" t="s">
        <v>2659</v>
      </c>
      <c r="AV1645" s="15"/>
      <c r="AW1645" s="12" t="str">
        <f>B1645&amp;C1645&amp;L1645&amp;M1645&amp;O1645&amp;U1645&amp;AL1645&amp;AM1645</f>
        <v>KenyaMalindi &amp; Watamu National Parksbrown algaecover0Lambo2006</v>
      </c>
    </row>
    <row r="1646" spans="1:49" ht="14.5" x14ac:dyDescent="0.35">
      <c r="A1646" s="12">
        <v>1645</v>
      </c>
      <c r="B1646" s="15" t="s">
        <v>684</v>
      </c>
      <c r="C1646" s="12" t="s">
        <v>2660</v>
      </c>
      <c r="D1646" s="12" t="s">
        <v>2655</v>
      </c>
      <c r="E1646" s="15" t="s">
        <v>68</v>
      </c>
      <c r="F1646" s="13" t="s">
        <v>50</v>
      </c>
      <c r="G1646" s="13" t="s">
        <v>51</v>
      </c>
      <c r="H1646" s="16" t="s">
        <v>329</v>
      </c>
      <c r="I1646" s="16" t="s">
        <v>156</v>
      </c>
      <c r="J1646" s="63"/>
      <c r="K1646" s="17">
        <v>20</v>
      </c>
      <c r="L1646" s="17"/>
      <c r="M1646" s="17" t="s">
        <v>1205</v>
      </c>
      <c r="N1646" s="17" t="s">
        <v>1070</v>
      </c>
      <c r="O1646" s="17" t="s">
        <v>101</v>
      </c>
      <c r="P1646" s="17"/>
      <c r="Q1646" s="17"/>
      <c r="R1646" s="17"/>
      <c r="S1646" s="17">
        <v>1.933333</v>
      </c>
      <c r="T1646" s="17">
        <v>0.16666700000000001</v>
      </c>
      <c r="U1646" s="20">
        <f t="shared" si="108"/>
        <v>8.6207083828807568E-2</v>
      </c>
      <c r="V1646" s="41">
        <f t="shared" si="111"/>
        <v>-91.379291617119236</v>
      </c>
      <c r="W1646" s="17"/>
      <c r="X1646" s="17" t="s">
        <v>58</v>
      </c>
      <c r="Y1646" s="14">
        <v>25</v>
      </c>
      <c r="Z1646" s="17" t="s">
        <v>56</v>
      </c>
      <c r="AA1646" s="17"/>
      <c r="AB1646" s="17" t="s">
        <v>57</v>
      </c>
      <c r="AC1646" s="17">
        <v>2004</v>
      </c>
      <c r="AD1646" s="17">
        <v>0</v>
      </c>
      <c r="AE1646" s="17"/>
      <c r="AF1646" s="17"/>
      <c r="AG1646" s="14">
        <v>1972</v>
      </c>
      <c r="AH1646" s="14">
        <f t="shared" si="109"/>
        <v>32</v>
      </c>
      <c r="AI1646" s="17">
        <f t="shared" si="110"/>
        <v>32</v>
      </c>
      <c r="AJ1646" s="17"/>
      <c r="AK1646" s="17" t="s">
        <v>56</v>
      </c>
      <c r="AL1646" s="16" t="s">
        <v>1268</v>
      </c>
      <c r="AM1646" s="17">
        <v>2006</v>
      </c>
      <c r="AN1646" s="15" t="s">
        <v>1269</v>
      </c>
      <c r="AO1646" s="15" t="s">
        <v>56</v>
      </c>
      <c r="AP1646" s="15"/>
      <c r="AQ1646" s="15" t="s">
        <v>56</v>
      </c>
      <c r="AR1646" s="15" t="s">
        <v>58</v>
      </c>
      <c r="AS1646" s="15" t="s">
        <v>62</v>
      </c>
      <c r="AT1646" s="15"/>
      <c r="AU1646" s="45" t="s">
        <v>2659</v>
      </c>
      <c r="AV1646" s="15"/>
      <c r="AW1646" s="12" t="str">
        <f>B1646&amp;C1646&amp;L1646&amp;M1646&amp;O1646&amp;U1646&amp;AL1646&amp;AM1646</f>
        <v>KenyaMalindi &amp; Watamu National Parksspongecover0.0862070838288076Lambo2006</v>
      </c>
    </row>
    <row r="1647" spans="1:49" ht="14.5" x14ac:dyDescent="0.35">
      <c r="A1647" s="12">
        <v>1646</v>
      </c>
      <c r="B1647" s="12" t="s">
        <v>684</v>
      </c>
      <c r="C1647" s="12" t="s">
        <v>2660</v>
      </c>
      <c r="D1647" s="12" t="s">
        <v>2655</v>
      </c>
      <c r="E1647" s="12" t="s">
        <v>68</v>
      </c>
      <c r="F1647" s="13" t="s">
        <v>50</v>
      </c>
      <c r="G1647" s="13" t="s">
        <v>51</v>
      </c>
      <c r="H1647" s="13" t="s">
        <v>329</v>
      </c>
      <c r="I1647" s="13" t="s">
        <v>156</v>
      </c>
      <c r="J1647" s="30"/>
      <c r="K1647" s="17">
        <v>20</v>
      </c>
      <c r="L1647" s="14" t="s">
        <v>1276</v>
      </c>
      <c r="M1647" s="14"/>
      <c r="N1647" s="14" t="s">
        <v>170</v>
      </c>
      <c r="O1647" s="17" t="s">
        <v>101</v>
      </c>
      <c r="P1647" s="14"/>
      <c r="Q1647" s="14"/>
      <c r="R1647" s="14"/>
      <c r="S1647" s="14">
        <v>0</v>
      </c>
      <c r="T1647" s="14">
        <v>0.155556</v>
      </c>
      <c r="U1647" s="19" t="str">
        <f t="shared" si="108"/>
        <v>N/A</v>
      </c>
      <c r="V1647" s="41" t="str">
        <f t="shared" si="111"/>
        <v>N/A</v>
      </c>
      <c r="W1647" s="14"/>
      <c r="X1647" s="14" t="s">
        <v>58</v>
      </c>
      <c r="Y1647" s="14">
        <v>25</v>
      </c>
      <c r="Z1647" s="14" t="s">
        <v>56</v>
      </c>
      <c r="AA1647" s="14"/>
      <c r="AB1647" s="14" t="s">
        <v>57</v>
      </c>
      <c r="AC1647" s="14">
        <v>2004</v>
      </c>
      <c r="AD1647" s="14">
        <v>0</v>
      </c>
      <c r="AE1647" s="14"/>
      <c r="AF1647" s="14"/>
      <c r="AG1647" s="14">
        <v>1972</v>
      </c>
      <c r="AH1647" s="14">
        <f t="shared" si="109"/>
        <v>32</v>
      </c>
      <c r="AI1647" s="17">
        <f t="shared" si="110"/>
        <v>32</v>
      </c>
      <c r="AJ1647" s="14"/>
      <c r="AK1647" s="14" t="s">
        <v>56</v>
      </c>
      <c r="AL1647" s="13" t="s">
        <v>1268</v>
      </c>
      <c r="AM1647" s="14">
        <v>2006</v>
      </c>
      <c r="AN1647" s="12" t="s">
        <v>1269</v>
      </c>
      <c r="AO1647" s="12" t="s">
        <v>56</v>
      </c>
      <c r="AP1647" s="12"/>
      <c r="AQ1647" s="12" t="s">
        <v>56</v>
      </c>
      <c r="AR1647" s="12" t="s">
        <v>58</v>
      </c>
      <c r="AS1647" s="12" t="s">
        <v>62</v>
      </c>
      <c r="AT1647" s="12"/>
      <c r="AU1647" s="45" t="s">
        <v>2659</v>
      </c>
      <c r="AV1647" s="15"/>
      <c r="AW1647" s="12" t="str">
        <f>B1647&amp;C1647&amp;L1647&amp;M1647&amp;O1647&amp;U1647&amp;AL1647&amp;AM1647</f>
        <v>KenyaMalindi &amp; Watamu National ParksZoanthidaecoverN/ALambo2006</v>
      </c>
    </row>
    <row r="1648" spans="1:49" ht="14.5" x14ac:dyDescent="0.35">
      <c r="A1648" s="12">
        <v>1647</v>
      </c>
      <c r="B1648" s="12" t="s">
        <v>684</v>
      </c>
      <c r="C1648" s="12" t="s">
        <v>2660</v>
      </c>
      <c r="D1648" s="12" t="s">
        <v>2655</v>
      </c>
      <c r="E1648" s="12" t="s">
        <v>68</v>
      </c>
      <c r="F1648" s="13" t="s">
        <v>50</v>
      </c>
      <c r="G1648" s="13" t="s">
        <v>51</v>
      </c>
      <c r="H1648" s="13" t="s">
        <v>329</v>
      </c>
      <c r="I1648" s="13" t="s">
        <v>156</v>
      </c>
      <c r="J1648" s="30"/>
      <c r="K1648" s="17">
        <v>20</v>
      </c>
      <c r="L1648" s="14"/>
      <c r="M1648" s="14" t="s">
        <v>1277</v>
      </c>
      <c r="N1648" s="17" t="s">
        <v>1070</v>
      </c>
      <c r="O1648" s="17" t="s">
        <v>101</v>
      </c>
      <c r="P1648" s="14"/>
      <c r="Q1648" s="14"/>
      <c r="R1648" s="14"/>
      <c r="S1648" s="14">
        <v>0.15</v>
      </c>
      <c r="T1648" s="14">
        <v>0</v>
      </c>
      <c r="U1648" s="19">
        <f t="shared" si="108"/>
        <v>0</v>
      </c>
      <c r="V1648" s="41">
        <f t="shared" si="111"/>
        <v>-100</v>
      </c>
      <c r="W1648" s="14"/>
      <c r="X1648" s="14" t="s">
        <v>58</v>
      </c>
      <c r="Y1648" s="14">
        <v>25</v>
      </c>
      <c r="Z1648" s="14" t="s">
        <v>56</v>
      </c>
      <c r="AA1648" s="14"/>
      <c r="AB1648" s="14" t="s">
        <v>57</v>
      </c>
      <c r="AC1648" s="14">
        <v>2004</v>
      </c>
      <c r="AD1648" s="14">
        <v>0</v>
      </c>
      <c r="AE1648" s="14"/>
      <c r="AF1648" s="14"/>
      <c r="AG1648" s="14">
        <v>1972</v>
      </c>
      <c r="AH1648" s="14">
        <f t="shared" si="109"/>
        <v>32</v>
      </c>
      <c r="AI1648" s="17">
        <f t="shared" si="110"/>
        <v>32</v>
      </c>
      <c r="AJ1648" s="14"/>
      <c r="AK1648" s="14" t="s">
        <v>56</v>
      </c>
      <c r="AL1648" s="13" t="s">
        <v>1268</v>
      </c>
      <c r="AM1648" s="14">
        <v>2006</v>
      </c>
      <c r="AN1648" s="12" t="s">
        <v>1269</v>
      </c>
      <c r="AO1648" s="12" t="s">
        <v>56</v>
      </c>
      <c r="AP1648" s="12"/>
      <c r="AQ1648" s="12" t="s">
        <v>56</v>
      </c>
      <c r="AR1648" s="12" t="s">
        <v>58</v>
      </c>
      <c r="AS1648" s="12" t="s">
        <v>62</v>
      </c>
      <c r="AT1648" s="12"/>
      <c r="AU1648" s="45" t="s">
        <v>2659</v>
      </c>
      <c r="AV1648" s="15"/>
      <c r="AW1648" s="12" t="str">
        <f>B1648&amp;C1648&amp;L1648&amp;M1648&amp;O1648&amp;U1648&amp;AL1648&amp;AM1648</f>
        <v>KenyaMalindi &amp; Watamu National ParksInvertebratescover0Lambo2006</v>
      </c>
    </row>
    <row r="1649" spans="1:49" ht="14.5" x14ac:dyDescent="0.35">
      <c r="A1649" s="12">
        <v>1648</v>
      </c>
      <c r="B1649" s="12" t="s">
        <v>684</v>
      </c>
      <c r="C1649" s="12" t="s">
        <v>2660</v>
      </c>
      <c r="D1649" s="12" t="s">
        <v>2655</v>
      </c>
      <c r="E1649" s="12" t="s">
        <v>68</v>
      </c>
      <c r="F1649" s="13" t="s">
        <v>50</v>
      </c>
      <c r="G1649" s="13" t="s">
        <v>51</v>
      </c>
      <c r="H1649" s="13" t="s">
        <v>329</v>
      </c>
      <c r="I1649" s="13" t="s">
        <v>156</v>
      </c>
      <c r="J1649" s="30"/>
      <c r="K1649" s="17">
        <v>20</v>
      </c>
      <c r="L1649" s="14" t="s">
        <v>813</v>
      </c>
      <c r="M1649" s="14" t="s">
        <v>1094</v>
      </c>
      <c r="N1649" s="14" t="s">
        <v>288</v>
      </c>
      <c r="O1649" s="17" t="s">
        <v>101</v>
      </c>
      <c r="P1649" s="14"/>
      <c r="Q1649" s="14"/>
      <c r="R1649" s="14"/>
      <c r="S1649" s="14">
        <v>18.08333</v>
      </c>
      <c r="T1649" s="14">
        <v>0</v>
      </c>
      <c r="U1649" s="19">
        <f t="shared" si="108"/>
        <v>0</v>
      </c>
      <c r="V1649" s="41">
        <f t="shared" si="111"/>
        <v>-100</v>
      </c>
      <c r="W1649" s="14"/>
      <c r="X1649" s="14" t="s">
        <v>58</v>
      </c>
      <c r="Y1649" s="14">
        <v>25</v>
      </c>
      <c r="Z1649" s="14" t="s">
        <v>56</v>
      </c>
      <c r="AA1649" s="14"/>
      <c r="AB1649" s="14" t="s">
        <v>57</v>
      </c>
      <c r="AC1649" s="14">
        <v>2004</v>
      </c>
      <c r="AD1649" s="14">
        <v>0</v>
      </c>
      <c r="AE1649" s="14"/>
      <c r="AF1649" s="14"/>
      <c r="AG1649" s="14">
        <v>1972</v>
      </c>
      <c r="AH1649" s="14">
        <f t="shared" si="109"/>
        <v>32</v>
      </c>
      <c r="AI1649" s="17">
        <f t="shared" si="110"/>
        <v>32</v>
      </c>
      <c r="AJ1649" s="14"/>
      <c r="AK1649" s="14" t="s">
        <v>56</v>
      </c>
      <c r="AL1649" s="13" t="s">
        <v>1268</v>
      </c>
      <c r="AM1649" s="14">
        <v>2006</v>
      </c>
      <c r="AN1649" s="12" t="s">
        <v>1269</v>
      </c>
      <c r="AO1649" s="12" t="s">
        <v>56</v>
      </c>
      <c r="AP1649" s="12"/>
      <c r="AQ1649" s="12" t="s">
        <v>56</v>
      </c>
      <c r="AR1649" s="12" t="s">
        <v>58</v>
      </c>
      <c r="AS1649" s="12" t="s">
        <v>62</v>
      </c>
      <c r="AT1649" s="12"/>
      <c r="AU1649" s="45" t="s">
        <v>2659</v>
      </c>
      <c r="AV1649" s="15"/>
      <c r="AW1649" s="12" t="str">
        <f>B1649&amp;C1649&amp;L1649&amp;M1649&amp;O1649&amp;U1649&amp;AL1649&amp;AM1649</f>
        <v>KenyaMalindi &amp; Watamu National ParksAlismatalesSeagrasscover0Lambo2006</v>
      </c>
    </row>
    <row r="1650" spans="1:49" ht="14.5" x14ac:dyDescent="0.35">
      <c r="A1650" s="12">
        <v>1649</v>
      </c>
      <c r="B1650" s="12" t="s">
        <v>75</v>
      </c>
      <c r="C1650" s="12" t="s">
        <v>2561</v>
      </c>
      <c r="D1650" s="12" t="s">
        <v>775</v>
      </c>
      <c r="E1650" s="12" t="s">
        <v>68</v>
      </c>
      <c r="F1650" s="13" t="s">
        <v>50</v>
      </c>
      <c r="G1650" s="13" t="s">
        <v>51</v>
      </c>
      <c r="H1650" s="13" t="s">
        <v>108</v>
      </c>
      <c r="I1650" s="13" t="s">
        <v>53</v>
      </c>
      <c r="K1650" s="17">
        <v>17.05</v>
      </c>
      <c r="L1650" s="14" t="s">
        <v>752</v>
      </c>
      <c r="M1650" s="14" t="s">
        <v>753</v>
      </c>
      <c r="N1650" s="14" t="s">
        <v>85</v>
      </c>
      <c r="O1650" s="17" t="s">
        <v>70</v>
      </c>
      <c r="P1650" s="14"/>
      <c r="Q1650" s="14"/>
      <c r="R1650" s="14"/>
      <c r="S1650" s="14">
        <v>1.04186</v>
      </c>
      <c r="T1650" s="14">
        <v>9.5813950000000006</v>
      </c>
      <c r="U1650" s="19">
        <f t="shared" si="108"/>
        <v>9.196432342157296</v>
      </c>
      <c r="V1650" s="41">
        <f t="shared" si="111"/>
        <v>819.64323421572965</v>
      </c>
      <c r="W1650" s="14"/>
      <c r="X1650" s="14" t="s">
        <v>58</v>
      </c>
      <c r="Z1650" s="14" t="s">
        <v>56</v>
      </c>
      <c r="AA1650" s="14"/>
      <c r="AB1650" s="14" t="s">
        <v>57</v>
      </c>
      <c r="AC1650" s="14">
        <v>2003</v>
      </c>
      <c r="AD1650" s="14">
        <v>1</v>
      </c>
      <c r="AE1650" s="14"/>
      <c r="AF1650" s="14"/>
      <c r="AG1650" s="14">
        <v>1997</v>
      </c>
      <c r="AH1650" s="14">
        <f t="shared" si="109"/>
        <v>6</v>
      </c>
      <c r="AI1650" s="17">
        <f t="shared" si="110"/>
        <v>7</v>
      </c>
      <c r="AJ1650" s="14"/>
      <c r="AK1650" s="14" t="s">
        <v>56</v>
      </c>
      <c r="AL1650" s="13" t="s">
        <v>776</v>
      </c>
      <c r="AM1650" s="14">
        <v>2007</v>
      </c>
      <c r="AN1650" s="12" t="s">
        <v>183</v>
      </c>
      <c r="AO1650" s="12" t="s">
        <v>56</v>
      </c>
      <c r="AP1650" s="12"/>
      <c r="AQ1650" s="12" t="s">
        <v>56</v>
      </c>
      <c r="AR1650" s="12" t="s">
        <v>58</v>
      </c>
      <c r="AS1650" s="12" t="s">
        <v>62</v>
      </c>
      <c r="AT1650" s="12"/>
      <c r="AU1650" s="45"/>
      <c r="AV1650" s="15"/>
      <c r="AW1650" s="12" t="str">
        <f>B1650&amp;C1650&amp;L1650&amp;M1650&amp;O1650&amp;U1650&amp;AL1650&amp;AM1650</f>
        <v>United StatesFlorida Keys Sancturary Preservations Areas NetworkMycteroperca bonaciblack grouperbiomassden9.1964323421573Kramer2007</v>
      </c>
    </row>
    <row r="1651" spans="1:49" ht="14.5" x14ac:dyDescent="0.35">
      <c r="A1651" s="12">
        <v>1650</v>
      </c>
      <c r="B1651" s="12" t="s">
        <v>75</v>
      </c>
      <c r="C1651" s="12" t="s">
        <v>2561</v>
      </c>
      <c r="D1651" s="12" t="s">
        <v>775</v>
      </c>
      <c r="E1651" s="12" t="s">
        <v>68</v>
      </c>
      <c r="F1651" s="13" t="s">
        <v>50</v>
      </c>
      <c r="G1651" s="13" t="s">
        <v>51</v>
      </c>
      <c r="H1651" s="13" t="s">
        <v>108</v>
      </c>
      <c r="I1651" s="13" t="s">
        <v>53</v>
      </c>
      <c r="K1651" s="17">
        <v>17.05</v>
      </c>
      <c r="L1651" s="14" t="s">
        <v>744</v>
      </c>
      <c r="M1651" s="14" t="s">
        <v>777</v>
      </c>
      <c r="N1651" s="14" t="s">
        <v>85</v>
      </c>
      <c r="O1651" s="17" t="s">
        <v>70</v>
      </c>
      <c r="P1651" s="14"/>
      <c r="Q1651" s="14"/>
      <c r="R1651" s="14"/>
      <c r="S1651" s="14">
        <v>0.83720899999999998</v>
      </c>
      <c r="T1651" s="14">
        <v>4.725581</v>
      </c>
      <c r="U1651" s="19">
        <f t="shared" si="108"/>
        <v>5.6444460104943932</v>
      </c>
      <c r="V1651" s="41">
        <f t="shared" si="111"/>
        <v>464.44460104943931</v>
      </c>
      <c r="W1651" s="14"/>
      <c r="X1651" s="14" t="s">
        <v>58</v>
      </c>
      <c r="Z1651" s="14" t="s">
        <v>56</v>
      </c>
      <c r="AA1651" s="14"/>
      <c r="AB1651" s="14" t="s">
        <v>57</v>
      </c>
      <c r="AC1651" s="14">
        <v>2003</v>
      </c>
      <c r="AD1651" s="14">
        <v>1</v>
      </c>
      <c r="AE1651" s="14"/>
      <c r="AF1651" s="14"/>
      <c r="AG1651" s="14">
        <v>1997</v>
      </c>
      <c r="AH1651" s="14">
        <f t="shared" si="109"/>
        <v>6</v>
      </c>
      <c r="AI1651" s="17">
        <f t="shared" si="110"/>
        <v>7</v>
      </c>
      <c r="AJ1651" s="14"/>
      <c r="AK1651" s="14" t="s">
        <v>56</v>
      </c>
      <c r="AL1651" s="13" t="s">
        <v>776</v>
      </c>
      <c r="AM1651" s="14">
        <v>2007</v>
      </c>
      <c r="AN1651" s="12" t="s">
        <v>183</v>
      </c>
      <c r="AO1651" s="12" t="s">
        <v>56</v>
      </c>
      <c r="AP1651" s="12"/>
      <c r="AQ1651" s="12" t="s">
        <v>56</v>
      </c>
      <c r="AR1651" s="12" t="s">
        <v>58</v>
      </c>
      <c r="AS1651" s="12" t="s">
        <v>62</v>
      </c>
      <c r="AT1651" s="12"/>
      <c r="AU1651" s="45"/>
      <c r="AV1651" s="15"/>
      <c r="AW1651" s="12" t="str">
        <f>B1651&amp;C1651&amp;L1651&amp;M1651&amp;O1651&amp;U1651&amp;AL1651&amp;AM1651</f>
        <v>United StatesFlorida Keys Sancturary Preservations Areas NetworkEpinephelus striatusNassau grouperbiomassden5.64444601049439Kramer2007</v>
      </c>
    </row>
    <row r="1652" spans="1:49" ht="14.5" x14ac:dyDescent="0.35">
      <c r="A1652" s="12">
        <v>1651</v>
      </c>
      <c r="B1652" s="12" t="s">
        <v>75</v>
      </c>
      <c r="C1652" s="12" t="s">
        <v>2561</v>
      </c>
      <c r="D1652" s="12" t="s">
        <v>775</v>
      </c>
      <c r="E1652" s="12" t="s">
        <v>68</v>
      </c>
      <c r="F1652" s="13" t="s">
        <v>50</v>
      </c>
      <c r="G1652" s="13" t="s">
        <v>51</v>
      </c>
      <c r="H1652" s="13" t="s">
        <v>108</v>
      </c>
      <c r="I1652" s="13" t="s">
        <v>53</v>
      </c>
      <c r="K1652" s="17">
        <v>17.05</v>
      </c>
      <c r="L1652" s="14" t="s">
        <v>778</v>
      </c>
      <c r="M1652" s="14" t="s">
        <v>779</v>
      </c>
      <c r="N1652" s="14" t="s">
        <v>85</v>
      </c>
      <c r="O1652" s="17" t="s">
        <v>70</v>
      </c>
      <c r="P1652" s="14"/>
      <c r="Q1652" s="14"/>
      <c r="R1652" s="14"/>
      <c r="S1652" s="14">
        <v>20.285710000000002</v>
      </c>
      <c r="T1652" s="14">
        <v>19.66667</v>
      </c>
      <c r="U1652" s="19">
        <f t="shared" si="108"/>
        <v>0.96948393721491621</v>
      </c>
      <c r="V1652" s="41">
        <f t="shared" si="111"/>
        <v>-3.0516062785083786</v>
      </c>
      <c r="W1652" s="14"/>
      <c r="X1652" s="14" t="s">
        <v>58</v>
      </c>
      <c r="Z1652" s="14" t="s">
        <v>56</v>
      </c>
      <c r="AA1652" s="14"/>
      <c r="AB1652" s="14" t="s">
        <v>57</v>
      </c>
      <c r="AC1652" s="14">
        <v>2003</v>
      </c>
      <c r="AD1652" s="14">
        <v>1</v>
      </c>
      <c r="AE1652" s="14"/>
      <c r="AF1652" s="14"/>
      <c r="AG1652" s="14">
        <v>1997</v>
      </c>
      <c r="AH1652" s="14">
        <f t="shared" si="109"/>
        <v>6</v>
      </c>
      <c r="AI1652" s="17">
        <f t="shared" si="110"/>
        <v>7</v>
      </c>
      <c r="AJ1652" s="14"/>
      <c r="AK1652" s="14" t="s">
        <v>56</v>
      </c>
      <c r="AL1652" s="13" t="s">
        <v>776</v>
      </c>
      <c r="AM1652" s="14">
        <v>2007</v>
      </c>
      <c r="AN1652" s="12" t="s">
        <v>183</v>
      </c>
      <c r="AO1652" s="12" t="s">
        <v>56</v>
      </c>
      <c r="AP1652" s="12"/>
      <c r="AQ1652" s="12" t="s">
        <v>56</v>
      </c>
      <c r="AR1652" s="12" t="s">
        <v>58</v>
      </c>
      <c r="AS1652" s="12" t="s">
        <v>62</v>
      </c>
      <c r="AT1652" s="12"/>
      <c r="AU1652" s="45"/>
      <c r="AV1652" s="15"/>
      <c r="AW1652" s="12" t="str">
        <f>B1652&amp;C1652&amp;L1652&amp;M1652&amp;O1652&amp;U1652&amp;AL1652&amp;AM1652</f>
        <v>United StatesFlorida Keys Sancturary Preservations Areas NetworkLutjanus apodusSchoolmaster snapperbiomassden0.969483937214916Kramer2007</v>
      </c>
    </row>
    <row r="1653" spans="1:49" ht="14.5" x14ac:dyDescent="0.35">
      <c r="A1653" s="12">
        <v>1652</v>
      </c>
      <c r="B1653" s="12" t="s">
        <v>75</v>
      </c>
      <c r="C1653" s="12" t="s">
        <v>2561</v>
      </c>
      <c r="D1653" s="12" t="s">
        <v>775</v>
      </c>
      <c r="E1653" s="12" t="s">
        <v>68</v>
      </c>
      <c r="F1653" s="13" t="s">
        <v>50</v>
      </c>
      <c r="G1653" s="13" t="s">
        <v>51</v>
      </c>
      <c r="H1653" s="13" t="s">
        <v>108</v>
      </c>
      <c r="I1653" s="13" t="s">
        <v>53</v>
      </c>
      <c r="K1653" s="17">
        <v>17.05</v>
      </c>
      <c r="L1653" s="14" t="s">
        <v>703</v>
      </c>
      <c r="M1653" s="14" t="s">
        <v>780</v>
      </c>
      <c r="N1653" s="14" t="s">
        <v>85</v>
      </c>
      <c r="O1653" s="17" t="s">
        <v>70</v>
      </c>
      <c r="P1653" s="14"/>
      <c r="Q1653" s="14"/>
      <c r="R1653" s="14"/>
      <c r="S1653" s="14">
        <v>9.5238000000000003E-2</v>
      </c>
      <c r="T1653" s="14">
        <v>7.3809519999999997</v>
      </c>
      <c r="U1653" s="19">
        <f t="shared" si="108"/>
        <v>77.500073500073498</v>
      </c>
      <c r="V1653" s="41">
        <f t="shared" si="111"/>
        <v>7650.0073500073495</v>
      </c>
      <c r="W1653" s="14"/>
      <c r="X1653" s="14" t="s">
        <v>58</v>
      </c>
      <c r="Z1653" s="14" t="s">
        <v>56</v>
      </c>
      <c r="AA1653" s="14"/>
      <c r="AB1653" s="14" t="s">
        <v>57</v>
      </c>
      <c r="AC1653" s="14">
        <v>2003</v>
      </c>
      <c r="AD1653" s="14">
        <v>1</v>
      </c>
      <c r="AE1653" s="14"/>
      <c r="AF1653" s="14"/>
      <c r="AG1653" s="14">
        <v>1997</v>
      </c>
      <c r="AH1653" s="14">
        <f t="shared" si="109"/>
        <v>6</v>
      </c>
      <c r="AI1653" s="17">
        <f t="shared" si="110"/>
        <v>7</v>
      </c>
      <c r="AJ1653" s="14"/>
      <c r="AK1653" s="14" t="s">
        <v>56</v>
      </c>
      <c r="AL1653" s="13" t="s">
        <v>776</v>
      </c>
      <c r="AM1653" s="14">
        <v>2007</v>
      </c>
      <c r="AN1653" s="12" t="s">
        <v>183</v>
      </c>
      <c r="AO1653" s="12" t="s">
        <v>56</v>
      </c>
      <c r="AP1653" s="12"/>
      <c r="AQ1653" s="12" t="s">
        <v>56</v>
      </c>
      <c r="AR1653" s="12" t="s">
        <v>58</v>
      </c>
      <c r="AS1653" s="12" t="s">
        <v>62</v>
      </c>
      <c r="AT1653" s="12"/>
      <c r="AU1653" s="45"/>
      <c r="AV1653" s="15"/>
      <c r="AW1653" s="12" t="str">
        <f>B1653&amp;C1653&amp;L1653&amp;M1653&amp;O1653&amp;U1653&amp;AL1653&amp;AM1653</f>
        <v>United StatesFlorida Keys Sancturary Preservations Areas NetworkOcyurus chrysurusYellowtail snapperbiomassden77.5000735000735Kramer2007</v>
      </c>
    </row>
    <row r="1654" spans="1:49" ht="14.5" x14ac:dyDescent="0.35">
      <c r="A1654" s="12">
        <v>1653</v>
      </c>
      <c r="B1654" s="12" t="s">
        <v>75</v>
      </c>
      <c r="C1654" s="12" t="s">
        <v>2561</v>
      </c>
      <c r="D1654" s="12" t="s">
        <v>775</v>
      </c>
      <c r="E1654" s="12" t="s">
        <v>68</v>
      </c>
      <c r="F1654" s="13" t="s">
        <v>50</v>
      </c>
      <c r="G1654" s="13" t="s">
        <v>51</v>
      </c>
      <c r="H1654" s="13" t="s">
        <v>108</v>
      </c>
      <c r="I1654" s="13" t="s">
        <v>53</v>
      </c>
      <c r="K1654" s="17">
        <v>17.05</v>
      </c>
      <c r="L1654" s="14" t="s">
        <v>781</v>
      </c>
      <c r="M1654" s="14" t="s">
        <v>782</v>
      </c>
      <c r="N1654" s="14" t="s">
        <v>85</v>
      </c>
      <c r="O1654" s="17" t="s">
        <v>70</v>
      </c>
      <c r="P1654" s="14"/>
      <c r="Q1654" s="14"/>
      <c r="R1654" s="14"/>
      <c r="S1654" s="14">
        <v>2.3809520000000002</v>
      </c>
      <c r="T1654" s="14">
        <v>5.4761899999999999</v>
      </c>
      <c r="U1654" s="19">
        <f t="shared" si="108"/>
        <v>2.3000001680000266</v>
      </c>
      <c r="V1654" s="41">
        <f t="shared" si="111"/>
        <v>130.00001680000267</v>
      </c>
      <c r="W1654" s="14"/>
      <c r="X1654" s="14" t="s">
        <v>58</v>
      </c>
      <c r="Z1654" s="14" t="s">
        <v>56</v>
      </c>
      <c r="AA1654" s="14"/>
      <c r="AB1654" s="14" t="s">
        <v>57</v>
      </c>
      <c r="AC1654" s="14">
        <v>2003</v>
      </c>
      <c r="AD1654" s="14">
        <v>1</v>
      </c>
      <c r="AE1654" s="14"/>
      <c r="AF1654" s="14"/>
      <c r="AG1654" s="14">
        <v>1997</v>
      </c>
      <c r="AH1654" s="14">
        <f t="shared" si="109"/>
        <v>6</v>
      </c>
      <c r="AI1654" s="17">
        <f t="shared" si="110"/>
        <v>7</v>
      </c>
      <c r="AJ1654" s="14"/>
      <c r="AK1654" s="14" t="s">
        <v>56</v>
      </c>
      <c r="AL1654" s="13" t="s">
        <v>776</v>
      </c>
      <c r="AM1654" s="14">
        <v>2007</v>
      </c>
      <c r="AN1654" s="12" t="s">
        <v>183</v>
      </c>
      <c r="AO1654" s="12" t="s">
        <v>56</v>
      </c>
      <c r="AP1654" s="12"/>
      <c r="AQ1654" s="12" t="s">
        <v>56</v>
      </c>
      <c r="AR1654" s="12" t="s">
        <v>58</v>
      </c>
      <c r="AS1654" s="12" t="s">
        <v>62</v>
      </c>
      <c r="AT1654" s="12"/>
      <c r="AU1654" s="45"/>
      <c r="AV1654" s="15"/>
      <c r="AW1654" s="12" t="str">
        <f>B1654&amp;C1654&amp;L1654&amp;M1654&amp;O1654&amp;U1654&amp;AL1654&amp;AM1654</f>
        <v>United StatesFlorida Keys Sancturary Preservations Areas NetworkLutjanus griseusGray snapperbiomassden2.30000016800003Kramer2007</v>
      </c>
    </row>
    <row r="1655" spans="1:49" ht="14.5" x14ac:dyDescent="0.35">
      <c r="A1655" s="12">
        <v>1654</v>
      </c>
      <c r="B1655" s="12" t="s">
        <v>75</v>
      </c>
      <c r="C1655" s="12" t="s">
        <v>2561</v>
      </c>
      <c r="D1655" s="12" t="s">
        <v>775</v>
      </c>
      <c r="E1655" s="12" t="s">
        <v>68</v>
      </c>
      <c r="F1655" s="13" t="s">
        <v>50</v>
      </c>
      <c r="G1655" s="13" t="s">
        <v>51</v>
      </c>
      <c r="H1655" s="13" t="s">
        <v>108</v>
      </c>
      <c r="I1655" s="13" t="s">
        <v>53</v>
      </c>
      <c r="K1655" s="17">
        <v>17.05</v>
      </c>
      <c r="L1655" s="14" t="s">
        <v>752</v>
      </c>
      <c r="M1655" s="14" t="s">
        <v>753</v>
      </c>
      <c r="N1655" s="14" t="s">
        <v>85</v>
      </c>
      <c r="O1655" s="17" t="s">
        <v>104</v>
      </c>
      <c r="P1655" s="14" t="s">
        <v>568</v>
      </c>
      <c r="Q1655" s="14"/>
      <c r="R1655" s="14"/>
      <c r="S1655" s="14">
        <v>47.333329999999997</v>
      </c>
      <c r="T1655" s="14">
        <v>46.625</v>
      </c>
      <c r="U1655" s="19">
        <f t="shared" si="108"/>
        <v>0.98503528063628742</v>
      </c>
      <c r="V1655" s="41">
        <f t="shared" si="111"/>
        <v>-1.4964719363712575</v>
      </c>
      <c r="W1655" s="14"/>
      <c r="X1655" s="14" t="s">
        <v>58</v>
      </c>
      <c r="Z1655" s="14" t="s">
        <v>56</v>
      </c>
      <c r="AA1655" s="14"/>
      <c r="AB1655" s="14" t="s">
        <v>57</v>
      </c>
      <c r="AC1655" s="14">
        <v>2003</v>
      </c>
      <c r="AD1655" s="14">
        <v>1</v>
      </c>
      <c r="AE1655" s="14"/>
      <c r="AF1655" s="14"/>
      <c r="AG1655" s="14">
        <v>1997</v>
      </c>
      <c r="AH1655" s="14">
        <f t="shared" si="109"/>
        <v>6</v>
      </c>
      <c r="AI1655" s="17">
        <f t="shared" si="110"/>
        <v>7</v>
      </c>
      <c r="AJ1655" s="14"/>
      <c r="AK1655" s="14" t="s">
        <v>56</v>
      </c>
      <c r="AL1655" s="13" t="s">
        <v>776</v>
      </c>
      <c r="AM1655" s="14">
        <v>2007</v>
      </c>
      <c r="AN1655" s="12" t="s">
        <v>183</v>
      </c>
      <c r="AO1655" s="12" t="s">
        <v>56</v>
      </c>
      <c r="AP1655" s="12"/>
      <c r="AQ1655" s="12" t="s">
        <v>56</v>
      </c>
      <c r="AR1655" s="12" t="s">
        <v>58</v>
      </c>
      <c r="AS1655" s="12" t="s">
        <v>62</v>
      </c>
      <c r="AT1655" s="12"/>
      <c r="AU1655" s="45"/>
      <c r="AV1655" s="15"/>
      <c r="AW1655" s="12" t="str">
        <f>B1655&amp;C1655&amp;L1655&amp;M1655&amp;O1655&amp;U1655&amp;AL1655&amp;AM1655</f>
        <v>United StatesFlorida Keys Sancturary Preservations Areas NetworkMycteroperca bonaciblack groupersize0.985035280636287Kramer2007</v>
      </c>
    </row>
    <row r="1656" spans="1:49" ht="14.5" x14ac:dyDescent="0.35">
      <c r="A1656" s="12">
        <v>1655</v>
      </c>
      <c r="B1656" s="12" t="s">
        <v>75</v>
      </c>
      <c r="C1656" s="12" t="s">
        <v>2561</v>
      </c>
      <c r="D1656" s="12" t="s">
        <v>775</v>
      </c>
      <c r="E1656" s="12" t="s">
        <v>68</v>
      </c>
      <c r="F1656" s="13" t="s">
        <v>50</v>
      </c>
      <c r="G1656" s="13" t="s">
        <v>51</v>
      </c>
      <c r="H1656" s="13" t="s">
        <v>108</v>
      </c>
      <c r="I1656" s="13" t="s">
        <v>53</v>
      </c>
      <c r="K1656" s="17">
        <v>17.05</v>
      </c>
      <c r="L1656" s="14" t="s">
        <v>744</v>
      </c>
      <c r="M1656" s="14" t="s">
        <v>777</v>
      </c>
      <c r="N1656" s="14" t="s">
        <v>85</v>
      </c>
      <c r="O1656" s="17" t="s">
        <v>104</v>
      </c>
      <c r="P1656" s="14" t="s">
        <v>568</v>
      </c>
      <c r="Q1656" s="14"/>
      <c r="R1656" s="14"/>
      <c r="S1656" s="14">
        <v>32.064100000000003</v>
      </c>
      <c r="T1656" s="14">
        <v>40.561120000000003</v>
      </c>
      <c r="U1656" s="19">
        <f t="shared" si="108"/>
        <v>1.2650010447821707</v>
      </c>
      <c r="V1656" s="41">
        <f t="shared" si="111"/>
        <v>26.500104478217068</v>
      </c>
      <c r="W1656" s="14"/>
      <c r="X1656" s="14" t="s">
        <v>58</v>
      </c>
      <c r="Z1656" s="14" t="s">
        <v>56</v>
      </c>
      <c r="AA1656" s="14"/>
      <c r="AB1656" s="14" t="s">
        <v>57</v>
      </c>
      <c r="AC1656" s="14">
        <v>2003</v>
      </c>
      <c r="AD1656" s="14">
        <v>1</v>
      </c>
      <c r="AE1656" s="14"/>
      <c r="AF1656" s="14"/>
      <c r="AG1656" s="14">
        <v>1997</v>
      </c>
      <c r="AH1656" s="14">
        <f t="shared" si="109"/>
        <v>6</v>
      </c>
      <c r="AI1656" s="17">
        <f t="shared" si="110"/>
        <v>7</v>
      </c>
      <c r="AJ1656" s="14"/>
      <c r="AK1656" s="14" t="s">
        <v>56</v>
      </c>
      <c r="AL1656" s="13" t="s">
        <v>776</v>
      </c>
      <c r="AM1656" s="14">
        <v>2007</v>
      </c>
      <c r="AN1656" s="12" t="s">
        <v>183</v>
      </c>
      <c r="AO1656" s="12" t="s">
        <v>56</v>
      </c>
      <c r="AP1656" s="12"/>
      <c r="AQ1656" s="12" t="s">
        <v>56</v>
      </c>
      <c r="AR1656" s="12" t="s">
        <v>58</v>
      </c>
      <c r="AS1656" s="12" t="s">
        <v>62</v>
      </c>
      <c r="AT1656" s="12"/>
      <c r="AU1656" s="45"/>
      <c r="AV1656" s="15"/>
      <c r="AW1656" s="12" t="str">
        <f>B1656&amp;C1656&amp;L1656&amp;M1656&amp;O1656&amp;U1656&amp;AL1656&amp;AM1656</f>
        <v>United StatesFlorida Keys Sancturary Preservations Areas NetworkEpinephelus striatusNassau groupersize1.26500104478217Kramer2007</v>
      </c>
    </row>
    <row r="1657" spans="1:49" ht="14.5" x14ac:dyDescent="0.35">
      <c r="A1657" s="12">
        <v>1656</v>
      </c>
      <c r="B1657" s="12" t="s">
        <v>75</v>
      </c>
      <c r="C1657" s="12" t="s">
        <v>2561</v>
      </c>
      <c r="D1657" s="12" t="s">
        <v>775</v>
      </c>
      <c r="E1657" s="12" t="s">
        <v>68</v>
      </c>
      <c r="F1657" s="13" t="s">
        <v>50</v>
      </c>
      <c r="G1657" s="13" t="s">
        <v>51</v>
      </c>
      <c r="H1657" s="13" t="s">
        <v>108</v>
      </c>
      <c r="I1657" s="13" t="s">
        <v>53</v>
      </c>
      <c r="K1657" s="17">
        <v>17.05</v>
      </c>
      <c r="L1657" s="14" t="s">
        <v>703</v>
      </c>
      <c r="M1657" s="14" t="s">
        <v>780</v>
      </c>
      <c r="N1657" s="14" t="s">
        <v>85</v>
      </c>
      <c r="O1657" s="17" t="s">
        <v>104</v>
      </c>
      <c r="P1657" s="14" t="s">
        <v>568</v>
      </c>
      <c r="Q1657" s="14"/>
      <c r="R1657" s="14"/>
      <c r="S1657" s="14">
        <v>7.8823530000000002</v>
      </c>
      <c r="T1657" s="14">
        <v>24.901910000000001</v>
      </c>
      <c r="U1657" s="19">
        <f t="shared" si="108"/>
        <v>3.159197513737332</v>
      </c>
      <c r="V1657" s="41">
        <f t="shared" si="111"/>
        <v>215.91975137373319</v>
      </c>
      <c r="W1657" s="14"/>
      <c r="X1657" s="14" t="s">
        <v>58</v>
      </c>
      <c r="Z1657" s="14" t="s">
        <v>56</v>
      </c>
      <c r="AA1657" s="14"/>
      <c r="AB1657" s="14" t="s">
        <v>57</v>
      </c>
      <c r="AC1657" s="14">
        <v>2003</v>
      </c>
      <c r="AD1657" s="14">
        <v>1</v>
      </c>
      <c r="AE1657" s="14"/>
      <c r="AF1657" s="14"/>
      <c r="AG1657" s="14">
        <v>1997</v>
      </c>
      <c r="AH1657" s="14">
        <f t="shared" si="109"/>
        <v>6</v>
      </c>
      <c r="AI1657" s="17">
        <f t="shared" si="110"/>
        <v>7</v>
      </c>
      <c r="AJ1657" s="14"/>
      <c r="AK1657" s="14" t="s">
        <v>56</v>
      </c>
      <c r="AL1657" s="13" t="s">
        <v>776</v>
      </c>
      <c r="AM1657" s="14">
        <v>2007</v>
      </c>
      <c r="AN1657" s="12" t="s">
        <v>183</v>
      </c>
      <c r="AO1657" s="12" t="s">
        <v>56</v>
      </c>
      <c r="AP1657" s="12"/>
      <c r="AQ1657" s="12" t="s">
        <v>56</v>
      </c>
      <c r="AR1657" s="12" t="s">
        <v>58</v>
      </c>
      <c r="AS1657" s="12" t="s">
        <v>62</v>
      </c>
      <c r="AT1657" s="12"/>
      <c r="AU1657" s="45"/>
      <c r="AV1657" s="15"/>
      <c r="AW1657" s="12" t="str">
        <f>B1657&amp;C1657&amp;L1657&amp;M1657&amp;O1657&amp;U1657&amp;AL1657&amp;AM1657</f>
        <v>United StatesFlorida Keys Sancturary Preservations Areas NetworkOcyurus chrysurusYellowtail snappersize3.15919751373733Kramer2007</v>
      </c>
    </row>
    <row r="1658" spans="1:49" ht="14.5" x14ac:dyDescent="0.35">
      <c r="A1658" s="12">
        <v>1657</v>
      </c>
      <c r="B1658" s="12" t="s">
        <v>75</v>
      </c>
      <c r="C1658" s="12" t="s">
        <v>2561</v>
      </c>
      <c r="D1658" s="12" t="s">
        <v>775</v>
      </c>
      <c r="E1658" s="12" t="s">
        <v>68</v>
      </c>
      <c r="F1658" s="13" t="s">
        <v>50</v>
      </c>
      <c r="G1658" s="13" t="s">
        <v>51</v>
      </c>
      <c r="H1658" s="13" t="s">
        <v>108</v>
      </c>
      <c r="I1658" s="13" t="s">
        <v>53</v>
      </c>
      <c r="K1658" s="17">
        <v>17.05</v>
      </c>
      <c r="L1658" s="14" t="s">
        <v>778</v>
      </c>
      <c r="M1658" s="14" t="s">
        <v>779</v>
      </c>
      <c r="N1658" s="14" t="s">
        <v>85</v>
      </c>
      <c r="O1658" s="17" t="s">
        <v>104</v>
      </c>
      <c r="P1658" s="14" t="s">
        <v>568</v>
      </c>
      <c r="Q1658" s="14"/>
      <c r="R1658" s="14"/>
      <c r="S1658" s="14">
        <v>17.80556</v>
      </c>
      <c r="T1658" s="14">
        <v>22.314810000000001</v>
      </c>
      <c r="U1658" s="19">
        <f t="shared" si="108"/>
        <v>1.253249546770784</v>
      </c>
      <c r="V1658" s="41">
        <f t="shared" si="111"/>
        <v>25.324954677078402</v>
      </c>
      <c r="W1658" s="14"/>
      <c r="X1658" s="14" t="s">
        <v>58</v>
      </c>
      <c r="Z1658" s="14" t="s">
        <v>56</v>
      </c>
      <c r="AA1658" s="14"/>
      <c r="AB1658" s="14" t="s">
        <v>57</v>
      </c>
      <c r="AC1658" s="14">
        <v>2003</v>
      </c>
      <c r="AD1658" s="14">
        <v>1</v>
      </c>
      <c r="AE1658" s="14"/>
      <c r="AF1658" s="14"/>
      <c r="AG1658" s="14">
        <v>1997</v>
      </c>
      <c r="AH1658" s="14">
        <f t="shared" si="109"/>
        <v>6</v>
      </c>
      <c r="AI1658" s="17">
        <f t="shared" si="110"/>
        <v>7</v>
      </c>
      <c r="AJ1658" s="14"/>
      <c r="AK1658" s="14" t="s">
        <v>56</v>
      </c>
      <c r="AL1658" s="13" t="s">
        <v>776</v>
      </c>
      <c r="AM1658" s="14">
        <v>2007</v>
      </c>
      <c r="AN1658" s="12" t="s">
        <v>183</v>
      </c>
      <c r="AO1658" s="12" t="s">
        <v>56</v>
      </c>
      <c r="AP1658" s="12"/>
      <c r="AQ1658" s="12" t="s">
        <v>56</v>
      </c>
      <c r="AR1658" s="12" t="s">
        <v>58</v>
      </c>
      <c r="AS1658" s="12" t="s">
        <v>62</v>
      </c>
      <c r="AT1658" s="12"/>
      <c r="AU1658" s="45"/>
      <c r="AV1658" s="15"/>
      <c r="AW1658" s="12" t="str">
        <f>B1658&amp;C1658&amp;L1658&amp;M1658&amp;O1658&amp;U1658&amp;AL1658&amp;AM1658</f>
        <v>United StatesFlorida Keys Sancturary Preservations Areas NetworkLutjanus apodusSchoolmaster snappersize1.25324954677078Kramer2007</v>
      </c>
    </row>
    <row r="1659" spans="1:49" ht="14.5" x14ac:dyDescent="0.35">
      <c r="A1659" s="12">
        <v>1658</v>
      </c>
      <c r="B1659" s="12" t="s">
        <v>75</v>
      </c>
      <c r="C1659" s="12" t="s">
        <v>2561</v>
      </c>
      <c r="D1659" s="12" t="s">
        <v>775</v>
      </c>
      <c r="E1659" s="12" t="s">
        <v>68</v>
      </c>
      <c r="F1659" s="13" t="s">
        <v>50</v>
      </c>
      <c r="G1659" s="13" t="s">
        <v>51</v>
      </c>
      <c r="H1659" s="13" t="s">
        <v>108</v>
      </c>
      <c r="I1659" s="13" t="s">
        <v>53</v>
      </c>
      <c r="K1659" s="17">
        <v>17.05</v>
      </c>
      <c r="L1659" s="14" t="s">
        <v>543</v>
      </c>
      <c r="M1659" s="14"/>
      <c r="N1659" s="14" t="s">
        <v>170</v>
      </c>
      <c r="O1659" s="17" t="s">
        <v>86</v>
      </c>
      <c r="P1659" s="14"/>
      <c r="Q1659" s="14"/>
      <c r="R1659" s="14"/>
      <c r="S1659" s="14">
        <v>462.87130000000002</v>
      </c>
      <c r="T1659" s="14">
        <v>806.9307</v>
      </c>
      <c r="U1659" s="19">
        <f t="shared" si="108"/>
        <v>1.7433154745174306</v>
      </c>
      <c r="V1659" s="41">
        <f t="shared" si="111"/>
        <v>74.331547451743063</v>
      </c>
      <c r="W1659" s="14"/>
      <c r="X1659" s="14" t="s">
        <v>58</v>
      </c>
      <c r="Z1659" s="14" t="s">
        <v>56</v>
      </c>
      <c r="AA1659" s="14"/>
      <c r="AB1659" s="14" t="s">
        <v>57</v>
      </c>
      <c r="AC1659" s="14">
        <v>2003</v>
      </c>
      <c r="AD1659" s="14">
        <v>1</v>
      </c>
      <c r="AE1659" s="14"/>
      <c r="AF1659" s="14"/>
      <c r="AG1659" s="14">
        <v>1997</v>
      </c>
      <c r="AH1659" s="14">
        <f t="shared" si="109"/>
        <v>6</v>
      </c>
      <c r="AI1659" s="17">
        <f t="shared" si="110"/>
        <v>7</v>
      </c>
      <c r="AJ1659" s="14"/>
      <c r="AK1659" s="14" t="s">
        <v>56</v>
      </c>
      <c r="AL1659" s="13" t="s">
        <v>776</v>
      </c>
      <c r="AM1659" s="14">
        <v>2007</v>
      </c>
      <c r="AN1659" s="12" t="s">
        <v>183</v>
      </c>
      <c r="AO1659" s="12" t="s">
        <v>56</v>
      </c>
      <c r="AP1659" s="12"/>
      <c r="AQ1659" s="12" t="s">
        <v>56</v>
      </c>
      <c r="AR1659" s="12" t="s">
        <v>58</v>
      </c>
      <c r="AS1659" s="12" t="s">
        <v>62</v>
      </c>
      <c r="AT1659" s="12"/>
      <c r="AU1659" s="45"/>
      <c r="AV1659" s="15"/>
      <c r="AW1659" s="12" t="str">
        <f>B1659&amp;C1659&amp;L1659&amp;M1659&amp;O1659&amp;U1659&amp;AL1659&amp;AM1659</f>
        <v>United StatesFlorida Keys Sancturary Preservations Areas NetworkSerranidaedensity1.74331547451743Kramer2007</v>
      </c>
    </row>
    <row r="1660" spans="1:49" ht="14.5" x14ac:dyDescent="0.35">
      <c r="A1660" s="12">
        <v>1659</v>
      </c>
      <c r="B1660" s="12" t="s">
        <v>75</v>
      </c>
      <c r="C1660" s="12" t="s">
        <v>2561</v>
      </c>
      <c r="D1660" s="12" t="s">
        <v>775</v>
      </c>
      <c r="E1660" s="12" t="s">
        <v>68</v>
      </c>
      <c r="F1660" s="13" t="s">
        <v>50</v>
      </c>
      <c r="G1660" s="13" t="s">
        <v>51</v>
      </c>
      <c r="H1660" s="13" t="s">
        <v>108</v>
      </c>
      <c r="I1660" s="13" t="s">
        <v>53</v>
      </c>
      <c r="K1660" s="17">
        <v>17.05</v>
      </c>
      <c r="L1660" s="14" t="s">
        <v>625</v>
      </c>
      <c r="M1660" s="14"/>
      <c r="N1660" s="14" t="s">
        <v>170</v>
      </c>
      <c r="O1660" s="17" t="s">
        <v>86</v>
      </c>
      <c r="P1660" s="14"/>
      <c r="Q1660" s="14"/>
      <c r="R1660" s="14"/>
      <c r="S1660" s="14">
        <v>185.71430000000001</v>
      </c>
      <c r="T1660" s="14">
        <v>92.063490000000002</v>
      </c>
      <c r="U1660" s="19">
        <f t="shared" si="108"/>
        <v>0.49572644648258102</v>
      </c>
      <c r="V1660" s="41">
        <f t="shared" si="111"/>
        <v>-50.427355351741895</v>
      </c>
      <c r="W1660" s="14"/>
      <c r="X1660" s="14" t="s">
        <v>58</v>
      </c>
      <c r="Z1660" s="14" t="s">
        <v>56</v>
      </c>
      <c r="AA1660" s="14"/>
      <c r="AB1660" s="14" t="s">
        <v>57</v>
      </c>
      <c r="AC1660" s="14">
        <v>2003</v>
      </c>
      <c r="AD1660" s="14">
        <v>1</v>
      </c>
      <c r="AE1660" s="14"/>
      <c r="AF1660" s="14"/>
      <c r="AG1660" s="14">
        <v>1997</v>
      </c>
      <c r="AH1660" s="14">
        <f t="shared" si="109"/>
        <v>6</v>
      </c>
      <c r="AI1660" s="17">
        <f t="shared" si="110"/>
        <v>7</v>
      </c>
      <c r="AJ1660" s="14"/>
      <c r="AK1660" s="14" t="s">
        <v>56</v>
      </c>
      <c r="AL1660" s="13" t="s">
        <v>776</v>
      </c>
      <c r="AM1660" s="14">
        <v>2007</v>
      </c>
      <c r="AN1660" s="12" t="s">
        <v>183</v>
      </c>
      <c r="AO1660" s="12" t="s">
        <v>56</v>
      </c>
      <c r="AP1660" s="12"/>
      <c r="AQ1660" s="12" t="s">
        <v>56</v>
      </c>
      <c r="AR1660" s="12" t="s">
        <v>58</v>
      </c>
      <c r="AS1660" s="12" t="s">
        <v>62</v>
      </c>
      <c r="AT1660" s="12"/>
      <c r="AU1660" s="45"/>
      <c r="AV1660" s="15"/>
      <c r="AW1660" s="12" t="str">
        <f>B1660&amp;C1660&amp;L1660&amp;M1660&amp;O1660&amp;U1660&amp;AL1660&amp;AM1660</f>
        <v>United StatesFlorida Keys Sancturary Preservations Areas NetworkAcanthuridaedensity0.495726446482581Kramer2007</v>
      </c>
    </row>
    <row r="1661" spans="1:49" ht="14.5" x14ac:dyDescent="0.35">
      <c r="A1661" s="12">
        <v>1660</v>
      </c>
      <c r="B1661" s="12" t="s">
        <v>75</v>
      </c>
      <c r="C1661" s="12" t="s">
        <v>2561</v>
      </c>
      <c r="D1661" s="12" t="s">
        <v>775</v>
      </c>
      <c r="E1661" s="12" t="s">
        <v>68</v>
      </c>
      <c r="F1661" s="13" t="s">
        <v>50</v>
      </c>
      <c r="G1661" s="13" t="s">
        <v>51</v>
      </c>
      <c r="H1661" s="13" t="s">
        <v>108</v>
      </c>
      <c r="I1661" s="13" t="s">
        <v>53</v>
      </c>
      <c r="K1661" s="17">
        <v>17.05</v>
      </c>
      <c r="L1661" s="14" t="s">
        <v>269</v>
      </c>
      <c r="M1661" s="14"/>
      <c r="N1661" s="14" t="s">
        <v>170</v>
      </c>
      <c r="O1661" s="17" t="s">
        <v>86</v>
      </c>
      <c r="P1661" s="14"/>
      <c r="Q1661" s="14"/>
      <c r="R1661" s="14"/>
      <c r="S1661" s="14">
        <v>510.76920000000001</v>
      </c>
      <c r="T1661" s="14">
        <v>432.30770000000001</v>
      </c>
      <c r="U1661" s="19">
        <f t="shared" si="108"/>
        <v>0.84638560821600051</v>
      </c>
      <c r="V1661" s="41">
        <f t="shared" si="111"/>
        <v>-15.36143917839995</v>
      </c>
      <c r="W1661" s="14"/>
      <c r="X1661" s="14" t="s">
        <v>58</v>
      </c>
      <c r="Z1661" s="14" t="s">
        <v>56</v>
      </c>
      <c r="AA1661" s="14"/>
      <c r="AB1661" s="14" t="s">
        <v>57</v>
      </c>
      <c r="AC1661" s="14">
        <v>2003</v>
      </c>
      <c r="AD1661" s="14">
        <v>1</v>
      </c>
      <c r="AE1661" s="14"/>
      <c r="AF1661" s="14"/>
      <c r="AG1661" s="14">
        <v>1997</v>
      </c>
      <c r="AH1661" s="14">
        <f t="shared" si="109"/>
        <v>6</v>
      </c>
      <c r="AI1661" s="17">
        <f t="shared" si="110"/>
        <v>7</v>
      </c>
      <c r="AJ1661" s="14"/>
      <c r="AK1661" s="14" t="s">
        <v>56</v>
      </c>
      <c r="AL1661" s="13" t="s">
        <v>776</v>
      </c>
      <c r="AM1661" s="14">
        <v>2007</v>
      </c>
      <c r="AN1661" s="12" t="s">
        <v>183</v>
      </c>
      <c r="AO1661" s="12" t="s">
        <v>56</v>
      </c>
      <c r="AP1661" s="12"/>
      <c r="AQ1661" s="12" t="s">
        <v>56</v>
      </c>
      <c r="AR1661" s="12" t="s">
        <v>58</v>
      </c>
      <c r="AS1661" s="12" t="s">
        <v>62</v>
      </c>
      <c r="AT1661" s="12"/>
      <c r="AU1661" s="45"/>
      <c r="AV1661" s="15"/>
      <c r="AW1661" s="12" t="str">
        <f>B1661&amp;C1661&amp;L1661&amp;M1661&amp;O1661&amp;U1661&amp;AL1661&amp;AM1661</f>
        <v>United StatesFlorida Keys Sancturary Preservations Areas NetworkPomacentridaedensity0.846385608216001Kramer2007</v>
      </c>
    </row>
    <row r="1662" spans="1:49" ht="14.5" x14ac:dyDescent="0.35">
      <c r="A1662" s="12">
        <v>1661</v>
      </c>
      <c r="B1662" s="12" t="s">
        <v>75</v>
      </c>
      <c r="C1662" s="12" t="s">
        <v>2561</v>
      </c>
      <c r="D1662" s="12" t="s">
        <v>775</v>
      </c>
      <c r="E1662" s="12" t="s">
        <v>68</v>
      </c>
      <c r="F1662" s="13" t="s">
        <v>50</v>
      </c>
      <c r="G1662" s="13" t="s">
        <v>51</v>
      </c>
      <c r="H1662" s="13" t="s">
        <v>108</v>
      </c>
      <c r="I1662" s="13" t="s">
        <v>53</v>
      </c>
      <c r="K1662" s="17">
        <v>17.05</v>
      </c>
      <c r="L1662" s="14"/>
      <c r="M1662" s="14" t="s">
        <v>783</v>
      </c>
      <c r="N1662" s="53" t="s">
        <v>98</v>
      </c>
      <c r="O1662" s="17" t="s">
        <v>101</v>
      </c>
      <c r="P1662" s="14"/>
      <c r="Q1662" s="14"/>
      <c r="R1662" s="14"/>
      <c r="S1662" s="14">
        <v>24.787230000000001</v>
      </c>
      <c r="T1662" s="14">
        <v>27.163119999999999</v>
      </c>
      <c r="U1662" s="19">
        <f t="shared" si="108"/>
        <v>1.0958513718555885</v>
      </c>
      <c r="V1662" s="41">
        <f t="shared" si="111"/>
        <v>9.5851371855588461</v>
      </c>
      <c r="W1662" s="14"/>
      <c r="X1662" s="14" t="s">
        <v>58</v>
      </c>
      <c r="Z1662" s="14" t="s">
        <v>56</v>
      </c>
      <c r="AA1662" s="14"/>
      <c r="AB1662" s="14" t="s">
        <v>57</v>
      </c>
      <c r="AC1662" s="14">
        <v>2003</v>
      </c>
      <c r="AD1662" s="14">
        <v>1</v>
      </c>
      <c r="AE1662" s="14"/>
      <c r="AF1662" s="14"/>
      <c r="AG1662" s="14">
        <v>1997</v>
      </c>
      <c r="AH1662" s="14">
        <f t="shared" si="109"/>
        <v>6</v>
      </c>
      <c r="AI1662" s="17">
        <f t="shared" si="110"/>
        <v>7</v>
      </c>
      <c r="AJ1662" s="14"/>
      <c r="AK1662" s="14" t="s">
        <v>56</v>
      </c>
      <c r="AL1662" s="13" t="s">
        <v>776</v>
      </c>
      <c r="AM1662" s="14">
        <v>2007</v>
      </c>
      <c r="AN1662" s="12" t="s">
        <v>183</v>
      </c>
      <c r="AO1662" s="12" t="s">
        <v>56</v>
      </c>
      <c r="AP1662" s="12"/>
      <c r="AQ1662" s="12" t="s">
        <v>56</v>
      </c>
      <c r="AR1662" s="12" t="s">
        <v>58</v>
      </c>
      <c r="AS1662" s="12" t="s">
        <v>62</v>
      </c>
      <c r="AT1662" s="12"/>
      <c r="AU1662" s="45"/>
      <c r="AV1662" s="15"/>
      <c r="AW1662" s="12" t="str">
        <f>B1662&amp;C1662&amp;L1662&amp;M1662&amp;O1662&amp;U1662&amp;AL1662&amp;AM1662</f>
        <v>United StatesFlorida Keys Sancturary Preservations Areas Networkturf algaecover1.09585137185559Kramer2007</v>
      </c>
    </row>
    <row r="1663" spans="1:49" ht="14.5" x14ac:dyDescent="0.35">
      <c r="A1663" s="12">
        <v>1662</v>
      </c>
      <c r="B1663" s="12" t="s">
        <v>75</v>
      </c>
      <c r="C1663" s="12" t="s">
        <v>2561</v>
      </c>
      <c r="D1663" s="12" t="s">
        <v>775</v>
      </c>
      <c r="E1663" s="12" t="s">
        <v>68</v>
      </c>
      <c r="F1663" s="13" t="s">
        <v>50</v>
      </c>
      <c r="G1663" s="13" t="s">
        <v>51</v>
      </c>
      <c r="H1663" s="13" t="s">
        <v>108</v>
      </c>
      <c r="I1663" s="13" t="s">
        <v>53</v>
      </c>
      <c r="K1663" s="17">
        <v>17.05</v>
      </c>
      <c r="L1663" s="14"/>
      <c r="M1663" s="14" t="s">
        <v>784</v>
      </c>
      <c r="N1663" s="53" t="s">
        <v>98</v>
      </c>
      <c r="O1663" s="17" t="s">
        <v>101</v>
      </c>
      <c r="P1663" s="14"/>
      <c r="Q1663" s="14"/>
      <c r="R1663" s="14"/>
      <c r="S1663" s="14">
        <v>0.58823499999999995</v>
      </c>
      <c r="T1663" s="14">
        <v>3.4640520000000001</v>
      </c>
      <c r="U1663" s="19">
        <f t="shared" ref="U1663:U1726" si="112">IFERROR(IF(AND(Q1663="",R1663="",S1663="",T1663=""),"",IF(AND(Q1663&lt;&gt;"",R1663&lt;&gt;"",S1663&lt;&gt;"",T1663&lt;&gt;""),(T1663/R1663)/(S1663/Q1663),IF(AND(Q1663&lt;&gt;"",R1663&lt;&gt;""),R1663/Q1663,IF(AND(S1663&lt;&gt;"",T1663&lt;&gt;""),T1663/S1663,IF(AND(Q1663&lt;&gt;"",S1663&lt;&gt;""),Q1663/S1663,IF(AND(R1663&lt;&gt;"",T1663&lt;&gt;""),T1663/R1663)))))), "N/A")</f>
        <v>5.888891344445673</v>
      </c>
      <c r="V1663" s="41">
        <f t="shared" si="111"/>
        <v>488.88913444456728</v>
      </c>
      <c r="W1663" s="14"/>
      <c r="X1663" s="14" t="s">
        <v>58</v>
      </c>
      <c r="Z1663" s="14" t="s">
        <v>56</v>
      </c>
      <c r="AA1663" s="14"/>
      <c r="AB1663" s="14" t="s">
        <v>57</v>
      </c>
      <c r="AC1663" s="14">
        <v>2003</v>
      </c>
      <c r="AD1663" s="14">
        <v>1</v>
      </c>
      <c r="AE1663" s="14"/>
      <c r="AF1663" s="14"/>
      <c r="AG1663" s="14">
        <v>1997</v>
      </c>
      <c r="AH1663" s="14">
        <f t="shared" si="109"/>
        <v>6</v>
      </c>
      <c r="AI1663" s="17">
        <f t="shared" si="110"/>
        <v>7</v>
      </c>
      <c r="AJ1663" s="14"/>
      <c r="AK1663" s="14" t="s">
        <v>56</v>
      </c>
      <c r="AL1663" s="13" t="s">
        <v>776</v>
      </c>
      <c r="AM1663" s="14">
        <v>2007</v>
      </c>
      <c r="AN1663" s="12" t="s">
        <v>183</v>
      </c>
      <c r="AO1663" s="12" t="s">
        <v>56</v>
      </c>
      <c r="AP1663" s="12"/>
      <c r="AQ1663" s="12" t="s">
        <v>56</v>
      </c>
      <c r="AR1663" s="12" t="s">
        <v>58</v>
      </c>
      <c r="AS1663" s="12" t="s">
        <v>62</v>
      </c>
      <c r="AT1663" s="12"/>
      <c r="AU1663" s="45"/>
      <c r="AV1663" s="15"/>
      <c r="AW1663" s="12" t="str">
        <f>B1663&amp;C1663&amp;L1663&amp;M1663&amp;O1663&amp;U1663&amp;AL1663&amp;AM1663</f>
        <v>United StatesFlorida Keys Sancturary Preservations Areas Networkfleshy macroalgaecover5.88889134444567Kramer2007</v>
      </c>
    </row>
    <row r="1664" spans="1:49" ht="14.5" x14ac:dyDescent="0.35">
      <c r="A1664" s="12">
        <v>1663</v>
      </c>
      <c r="B1664" s="12" t="s">
        <v>75</v>
      </c>
      <c r="C1664" s="12" t="s">
        <v>2561</v>
      </c>
      <c r="D1664" s="12" t="s">
        <v>775</v>
      </c>
      <c r="E1664" s="12" t="s">
        <v>68</v>
      </c>
      <c r="F1664" s="13" t="s">
        <v>50</v>
      </c>
      <c r="G1664" s="13" t="s">
        <v>51</v>
      </c>
      <c r="H1664" s="13" t="s">
        <v>108</v>
      </c>
      <c r="I1664" s="13" t="s">
        <v>53</v>
      </c>
      <c r="K1664" s="17">
        <v>17.05</v>
      </c>
      <c r="L1664" s="14"/>
      <c r="M1664" s="14" t="s">
        <v>785</v>
      </c>
      <c r="N1664" s="53" t="s">
        <v>98</v>
      </c>
      <c r="O1664" s="17" t="s">
        <v>101</v>
      </c>
      <c r="P1664" s="14"/>
      <c r="Q1664" s="14"/>
      <c r="R1664" s="14"/>
      <c r="S1664" s="14">
        <v>11.25</v>
      </c>
      <c r="T1664" s="14">
        <v>18.26389</v>
      </c>
      <c r="U1664" s="19">
        <f t="shared" si="112"/>
        <v>1.6234568888888889</v>
      </c>
      <c r="V1664" s="41">
        <f t="shared" si="111"/>
        <v>62.345688888888894</v>
      </c>
      <c r="W1664" s="14"/>
      <c r="X1664" s="14" t="s">
        <v>58</v>
      </c>
      <c r="Z1664" s="14" t="s">
        <v>56</v>
      </c>
      <c r="AA1664" s="14"/>
      <c r="AB1664" s="14" t="s">
        <v>57</v>
      </c>
      <c r="AC1664" s="14">
        <v>2003</v>
      </c>
      <c r="AD1664" s="14">
        <v>1</v>
      </c>
      <c r="AE1664" s="14"/>
      <c r="AF1664" s="14"/>
      <c r="AG1664" s="14">
        <v>1997</v>
      </c>
      <c r="AH1664" s="14">
        <f t="shared" ref="AH1664:AH1727" si="113">IF(OR(AG1664="NA",AC1664="NA"),"NA",IF(OR(AC1664="",AG1664=""), "", AC1664-AG1664))</f>
        <v>6</v>
      </c>
      <c r="AI1664" s="17">
        <f t="shared" ref="AI1664:AI1727" si="114">IF(AH1664="NA", "NA",IF(OR(AH1664="",AND(AD1664="",AE1664="")), "",AH1664+AD1664+AE1664/12))</f>
        <v>7</v>
      </c>
      <c r="AJ1664" s="14"/>
      <c r="AK1664" s="14" t="s">
        <v>56</v>
      </c>
      <c r="AL1664" s="13" t="s">
        <v>776</v>
      </c>
      <c r="AM1664" s="14">
        <v>2007</v>
      </c>
      <c r="AN1664" s="12" t="s">
        <v>183</v>
      </c>
      <c r="AO1664" s="12" t="s">
        <v>56</v>
      </c>
      <c r="AP1664" s="12"/>
      <c r="AQ1664" s="12" t="s">
        <v>56</v>
      </c>
      <c r="AR1664" s="12" t="s">
        <v>58</v>
      </c>
      <c r="AS1664" s="12" t="s">
        <v>62</v>
      </c>
      <c r="AT1664" s="12"/>
      <c r="AU1664" s="45"/>
      <c r="AV1664" s="15"/>
      <c r="AW1664" s="12" t="str">
        <f>B1664&amp;C1664&amp;L1664&amp;M1664&amp;O1664&amp;U1664&amp;AL1664&amp;AM1664</f>
        <v>United StatesFlorida Keys Sancturary Preservations Areas Networkupright calcareous algaecover1.62345688888889Kramer2007</v>
      </c>
    </row>
    <row r="1665" spans="1:49" ht="14.5" x14ac:dyDescent="0.35">
      <c r="A1665" s="12">
        <v>1664</v>
      </c>
      <c r="B1665" s="12" t="s">
        <v>75</v>
      </c>
      <c r="C1665" s="12" t="s">
        <v>2561</v>
      </c>
      <c r="D1665" s="12" t="s">
        <v>775</v>
      </c>
      <c r="E1665" s="12" t="s">
        <v>68</v>
      </c>
      <c r="F1665" s="13" t="s">
        <v>50</v>
      </c>
      <c r="G1665" s="13" t="s">
        <v>51</v>
      </c>
      <c r="H1665" s="13" t="s">
        <v>108</v>
      </c>
      <c r="I1665" s="13" t="s">
        <v>53</v>
      </c>
      <c r="K1665" s="17">
        <v>17.05</v>
      </c>
      <c r="L1665" s="14"/>
      <c r="M1665" s="14" t="s">
        <v>786</v>
      </c>
      <c r="N1665" s="17" t="s">
        <v>1070</v>
      </c>
      <c r="O1665" s="14" t="s">
        <v>101</v>
      </c>
      <c r="P1665" s="14"/>
      <c r="Q1665" s="14"/>
      <c r="R1665" s="14"/>
      <c r="S1665" s="14">
        <v>48.173079999999999</v>
      </c>
      <c r="T1665" s="14">
        <v>20.76923</v>
      </c>
      <c r="U1665" s="19">
        <f t="shared" si="112"/>
        <v>0.43113768104509825</v>
      </c>
      <c r="V1665" s="41">
        <f t="shared" si="111"/>
        <v>-56.886231895490184</v>
      </c>
      <c r="W1665" s="14"/>
      <c r="X1665" s="14" t="s">
        <v>58</v>
      </c>
      <c r="Z1665" s="14" t="s">
        <v>56</v>
      </c>
      <c r="AA1665" s="14"/>
      <c r="AB1665" s="14" t="s">
        <v>57</v>
      </c>
      <c r="AC1665" s="14">
        <v>2003</v>
      </c>
      <c r="AD1665" s="14">
        <v>1</v>
      </c>
      <c r="AE1665" s="14"/>
      <c r="AF1665" s="14"/>
      <c r="AG1665" s="14">
        <v>1997</v>
      </c>
      <c r="AH1665" s="14">
        <f t="shared" si="113"/>
        <v>6</v>
      </c>
      <c r="AI1665" s="17">
        <f t="shared" si="114"/>
        <v>7</v>
      </c>
      <c r="AJ1665" s="14"/>
      <c r="AK1665" s="14" t="s">
        <v>56</v>
      </c>
      <c r="AL1665" s="13" t="s">
        <v>776</v>
      </c>
      <c r="AM1665" s="14">
        <v>2007</v>
      </c>
      <c r="AN1665" s="12" t="s">
        <v>183</v>
      </c>
      <c r="AO1665" s="12" t="s">
        <v>56</v>
      </c>
      <c r="AP1665" s="12"/>
      <c r="AQ1665" s="12" t="s">
        <v>56</v>
      </c>
      <c r="AR1665" s="12" t="s">
        <v>58</v>
      </c>
      <c r="AS1665" s="12" t="s">
        <v>62</v>
      </c>
      <c r="AT1665" s="12"/>
      <c r="AU1665" s="45"/>
      <c r="AV1665" s="15"/>
      <c r="AW1665" s="12" t="str">
        <f>B1665&amp;C1665&amp;L1665&amp;M1665&amp;O1665&amp;U1665&amp;AL1665&amp;AM1665</f>
        <v>United StatesFlorida Keys Sancturary Preservations Areas Networkcoralcover0.431137681045098Kramer2007</v>
      </c>
    </row>
    <row r="1666" spans="1:49" ht="14.5" x14ac:dyDescent="0.35">
      <c r="A1666" s="12">
        <v>1665</v>
      </c>
      <c r="B1666" s="12" t="s">
        <v>75</v>
      </c>
      <c r="C1666" s="12" t="s">
        <v>2561</v>
      </c>
      <c r="D1666" s="12" t="s">
        <v>775</v>
      </c>
      <c r="E1666" s="12" t="s">
        <v>68</v>
      </c>
      <c r="F1666" s="13" t="s">
        <v>50</v>
      </c>
      <c r="G1666" s="13" t="s">
        <v>51</v>
      </c>
      <c r="H1666" s="13" t="s">
        <v>108</v>
      </c>
      <c r="I1666" s="13" t="s">
        <v>53</v>
      </c>
      <c r="K1666" s="17">
        <v>17.05</v>
      </c>
      <c r="L1666" s="14"/>
      <c r="M1666" s="14" t="s">
        <v>787</v>
      </c>
      <c r="N1666" s="53" t="s">
        <v>98</v>
      </c>
      <c r="O1666" s="17" t="s">
        <v>86</v>
      </c>
      <c r="P1666" s="14"/>
      <c r="Q1666" s="14"/>
      <c r="R1666" s="14"/>
      <c r="S1666" s="14">
        <v>2622.2220000000002</v>
      </c>
      <c r="T1666" s="14">
        <v>2518.5189999999998</v>
      </c>
      <c r="U1666" s="19">
        <f t="shared" si="112"/>
        <v>0.96045224241120686</v>
      </c>
      <c r="V1666" s="41">
        <f t="shared" ref="V1666:V1729" si="115">IFERROR(IF(U1666 = "", "",(U1666-1)*100),"N/A")</f>
        <v>-3.9547757588793142</v>
      </c>
      <c r="W1666" s="14"/>
      <c r="X1666" s="14" t="s">
        <v>58</v>
      </c>
      <c r="Z1666" s="14" t="s">
        <v>56</v>
      </c>
      <c r="AA1666" s="14"/>
      <c r="AB1666" s="14" t="s">
        <v>57</v>
      </c>
      <c r="AC1666" s="14">
        <v>2003</v>
      </c>
      <c r="AD1666" s="14">
        <v>1</v>
      </c>
      <c r="AE1666" s="14"/>
      <c r="AF1666" s="14"/>
      <c r="AG1666" s="14">
        <v>1997</v>
      </c>
      <c r="AH1666" s="14">
        <f t="shared" si="113"/>
        <v>6</v>
      </c>
      <c r="AI1666" s="17">
        <f t="shared" si="114"/>
        <v>7</v>
      </c>
      <c r="AJ1666" s="14"/>
      <c r="AK1666" s="14" t="s">
        <v>56</v>
      </c>
      <c r="AL1666" s="13" t="s">
        <v>776</v>
      </c>
      <c r="AM1666" s="14">
        <v>2007</v>
      </c>
      <c r="AN1666" s="12" t="s">
        <v>183</v>
      </c>
      <c r="AO1666" s="12" t="s">
        <v>56</v>
      </c>
      <c r="AP1666" s="12"/>
      <c r="AQ1666" s="12" t="s">
        <v>56</v>
      </c>
      <c r="AR1666" s="12" t="s">
        <v>58</v>
      </c>
      <c r="AS1666" s="12" t="s">
        <v>62</v>
      </c>
      <c r="AT1666" s="12"/>
      <c r="AU1666" s="45"/>
      <c r="AV1666" s="15"/>
      <c r="AW1666" s="12" t="str">
        <f>B1666&amp;C1666&amp;L1666&amp;M1666&amp;O1666&amp;U1666&amp;AL1666&amp;AM1666</f>
        <v>United StatesFlorida Keys Sancturary Preservations Areas Networkjuvenile coraldensity0.960452242411207Kramer2007</v>
      </c>
    </row>
    <row r="1667" spans="1:49" ht="14.5" x14ac:dyDescent="0.35">
      <c r="A1667" s="12">
        <v>1666</v>
      </c>
      <c r="B1667" s="12" t="s">
        <v>796</v>
      </c>
      <c r="C1667" s="12" t="s">
        <v>739</v>
      </c>
      <c r="D1667" s="12" t="s">
        <v>739</v>
      </c>
      <c r="E1667" s="12" t="s">
        <v>68</v>
      </c>
      <c r="F1667" s="13" t="s">
        <v>274</v>
      </c>
      <c r="G1667" s="13" t="s">
        <v>51</v>
      </c>
      <c r="H1667" s="13" t="s">
        <v>108</v>
      </c>
      <c r="I1667" s="13" t="s">
        <v>156</v>
      </c>
      <c r="J1667" s="14">
        <v>442</v>
      </c>
      <c r="K1667" s="17"/>
      <c r="L1667" s="17" t="s">
        <v>2021</v>
      </c>
      <c r="M1667" s="14" t="s">
        <v>740</v>
      </c>
      <c r="N1667" s="14" t="s">
        <v>85</v>
      </c>
      <c r="O1667" s="17" t="s">
        <v>86</v>
      </c>
      <c r="P1667" s="14"/>
      <c r="Q1667" s="14"/>
      <c r="R1667" s="14"/>
      <c r="S1667" s="14">
        <v>794.99440000000004</v>
      </c>
      <c r="T1667" s="14">
        <v>2003.067</v>
      </c>
      <c r="U1667" s="19">
        <f t="shared" si="112"/>
        <v>2.51959888019337</v>
      </c>
      <c r="V1667" s="41">
        <f t="shared" si="115"/>
        <v>151.959888019337</v>
      </c>
      <c r="W1667" s="14"/>
      <c r="X1667" s="14" t="s">
        <v>56</v>
      </c>
      <c r="Z1667" s="14" t="s">
        <v>56</v>
      </c>
      <c r="AA1667" s="14"/>
      <c r="AB1667" s="14" t="s">
        <v>57</v>
      </c>
      <c r="AC1667" s="14">
        <v>2017</v>
      </c>
      <c r="AD1667" s="14">
        <v>0</v>
      </c>
      <c r="AE1667" s="14"/>
      <c r="AF1667" s="14"/>
      <c r="AG1667" s="17">
        <v>1958</v>
      </c>
      <c r="AH1667" s="14">
        <f t="shared" si="113"/>
        <v>59</v>
      </c>
      <c r="AI1667" s="17">
        <f t="shared" si="114"/>
        <v>59</v>
      </c>
      <c r="AJ1667" s="14"/>
      <c r="AK1667" s="14" t="s">
        <v>56</v>
      </c>
      <c r="AL1667" s="13" t="s">
        <v>741</v>
      </c>
      <c r="AM1667" s="14">
        <v>2019</v>
      </c>
      <c r="AN1667" s="12" t="s">
        <v>742</v>
      </c>
      <c r="AO1667" s="12" t="s">
        <v>56</v>
      </c>
      <c r="AP1667" s="12"/>
      <c r="AQ1667" s="12" t="s">
        <v>56</v>
      </c>
      <c r="AR1667" s="12" t="s">
        <v>58</v>
      </c>
      <c r="AS1667" s="12" t="s">
        <v>62</v>
      </c>
      <c r="AT1667" s="12"/>
      <c r="AU1667" s="45" t="s">
        <v>2786</v>
      </c>
      <c r="AV1667" s="15"/>
      <c r="AW1667" s="12" t="str">
        <f>B1667&amp;C1667&amp;L1667&amp;M1667&amp;O1667&amp;U1667&amp;AL1667&amp;AM1667</f>
        <v>The BahamasExuma Cays Land and Sea ParkAliger gigasqueen conchdensity2.51959888019337Kough2019</v>
      </c>
    </row>
    <row r="1668" spans="1:49" ht="14.5" x14ac:dyDescent="0.35">
      <c r="A1668" s="12">
        <v>1667</v>
      </c>
      <c r="B1668" s="12" t="s">
        <v>992</v>
      </c>
      <c r="C1668" s="12" t="s">
        <v>993</v>
      </c>
      <c r="D1668" s="12" t="s">
        <v>2593</v>
      </c>
      <c r="E1668" s="12" t="s">
        <v>68</v>
      </c>
      <c r="F1668" s="13" t="s">
        <v>50</v>
      </c>
      <c r="G1668" s="13" t="s">
        <v>51</v>
      </c>
      <c r="H1668" s="13" t="s">
        <v>108</v>
      </c>
      <c r="I1668" s="13" t="s">
        <v>156</v>
      </c>
      <c r="J1668" s="14">
        <v>25</v>
      </c>
      <c r="K1668" s="17"/>
      <c r="L1668" s="14" t="s">
        <v>923</v>
      </c>
      <c r="M1668" s="14"/>
      <c r="N1668" s="14" t="s">
        <v>85</v>
      </c>
      <c r="O1668" s="14" t="s">
        <v>86</v>
      </c>
      <c r="P1668" s="14"/>
      <c r="Q1668" s="14"/>
      <c r="R1668" s="14"/>
      <c r="S1668" s="14">
        <v>315.93220000000002</v>
      </c>
      <c r="T1668" s="14">
        <v>264.678</v>
      </c>
      <c r="U1668" s="19">
        <f t="shared" si="112"/>
        <v>0.83776835662841576</v>
      </c>
      <c r="V1668" s="41">
        <f t="shared" si="115"/>
        <v>-16.223164337158423</v>
      </c>
      <c r="W1668" s="14"/>
      <c r="X1668" s="14" t="s">
        <v>58</v>
      </c>
      <c r="Y1668" s="14">
        <v>40</v>
      </c>
      <c r="Z1668" s="14" t="s">
        <v>56</v>
      </c>
      <c r="AA1668" s="14"/>
      <c r="AB1668" s="14" t="s">
        <v>57</v>
      </c>
      <c r="AC1668" s="14">
        <v>2004</v>
      </c>
      <c r="AD1668" s="14">
        <v>0</v>
      </c>
      <c r="AE1668" s="14"/>
      <c r="AF1668" s="14"/>
      <c r="AG1668" s="14">
        <v>1987</v>
      </c>
      <c r="AH1668" s="14">
        <f t="shared" si="113"/>
        <v>17</v>
      </c>
      <c r="AI1668" s="17">
        <f t="shared" si="114"/>
        <v>17</v>
      </c>
      <c r="AJ1668" s="14"/>
      <c r="AK1668" s="14" t="s">
        <v>56</v>
      </c>
      <c r="AL1668" s="13" t="s">
        <v>994</v>
      </c>
      <c r="AM1668" s="14">
        <v>2010</v>
      </c>
      <c r="AN1668" s="12" t="s">
        <v>685</v>
      </c>
      <c r="AO1668" s="12" t="s">
        <v>56</v>
      </c>
      <c r="AP1668" s="12"/>
      <c r="AQ1668" s="12" t="s">
        <v>56</v>
      </c>
      <c r="AR1668" s="12" t="s">
        <v>58</v>
      </c>
      <c r="AS1668" s="12" t="s">
        <v>62</v>
      </c>
      <c r="AT1668" s="12"/>
      <c r="AU1668" s="45" t="s">
        <v>2594</v>
      </c>
      <c r="AV1668" s="15"/>
      <c r="AW1668" s="12" t="str">
        <f>B1668&amp;C1668&amp;L1668&amp;M1668&amp;O1668&amp;U1668&amp;AL1668&amp;AM1668</f>
        <v>GuadeloupeIllets Pigeon, Grand Cul-de-Sac Marin reservesScarus isertidensity0.837768356628416Kopp2010</v>
      </c>
    </row>
    <row r="1669" spans="1:49" ht="14.5" x14ac:dyDescent="0.35">
      <c r="A1669" s="12">
        <v>1668</v>
      </c>
      <c r="B1669" s="12" t="s">
        <v>992</v>
      </c>
      <c r="C1669" s="12" t="s">
        <v>993</v>
      </c>
      <c r="D1669" s="12" t="s">
        <v>2593</v>
      </c>
      <c r="E1669" s="12" t="s">
        <v>68</v>
      </c>
      <c r="F1669" s="13" t="s">
        <v>50</v>
      </c>
      <c r="G1669" s="13" t="s">
        <v>51</v>
      </c>
      <c r="H1669" s="13" t="s">
        <v>108</v>
      </c>
      <c r="I1669" s="13" t="s">
        <v>156</v>
      </c>
      <c r="J1669" s="14">
        <v>25</v>
      </c>
      <c r="K1669" s="17"/>
      <c r="L1669" s="14" t="s">
        <v>924</v>
      </c>
      <c r="M1669" s="14"/>
      <c r="N1669" s="14" t="s">
        <v>85</v>
      </c>
      <c r="O1669" s="14" t="s">
        <v>86</v>
      </c>
      <c r="P1669" s="14"/>
      <c r="Q1669" s="14"/>
      <c r="R1669" s="14"/>
      <c r="S1669" s="14">
        <v>92.610169999999997</v>
      </c>
      <c r="T1669" s="14">
        <v>76.745760000000004</v>
      </c>
      <c r="U1669" s="19">
        <f t="shared" si="112"/>
        <v>0.82869689149690584</v>
      </c>
      <c r="V1669" s="41">
        <f t="shared" si="115"/>
        <v>-17.130310850309417</v>
      </c>
      <c r="W1669" s="14"/>
      <c r="X1669" s="14" t="s">
        <v>58</v>
      </c>
      <c r="Y1669" s="14">
        <v>40</v>
      </c>
      <c r="Z1669" s="14" t="s">
        <v>56</v>
      </c>
      <c r="AA1669" s="14"/>
      <c r="AB1669" s="14" t="s">
        <v>57</v>
      </c>
      <c r="AC1669" s="14">
        <v>2004</v>
      </c>
      <c r="AD1669" s="14">
        <v>0</v>
      </c>
      <c r="AE1669" s="14"/>
      <c r="AF1669" s="14"/>
      <c r="AG1669" s="14">
        <v>1987</v>
      </c>
      <c r="AH1669" s="14">
        <f t="shared" si="113"/>
        <v>17</v>
      </c>
      <c r="AI1669" s="17">
        <f t="shared" si="114"/>
        <v>17</v>
      </c>
      <c r="AJ1669" s="14"/>
      <c r="AK1669" s="14" t="s">
        <v>56</v>
      </c>
      <c r="AL1669" s="13" t="s">
        <v>994</v>
      </c>
      <c r="AM1669" s="14">
        <v>2010</v>
      </c>
      <c r="AN1669" s="12" t="s">
        <v>685</v>
      </c>
      <c r="AO1669" s="12" t="s">
        <v>56</v>
      </c>
      <c r="AP1669" s="12"/>
      <c r="AQ1669" s="12" t="s">
        <v>56</v>
      </c>
      <c r="AR1669" s="12" t="s">
        <v>58</v>
      </c>
      <c r="AS1669" s="12" t="s">
        <v>62</v>
      </c>
      <c r="AT1669" s="12"/>
      <c r="AU1669" s="45" t="s">
        <v>2594</v>
      </c>
      <c r="AV1669" s="15"/>
      <c r="AW1669" s="12" t="str">
        <f>B1669&amp;C1669&amp;L1669&amp;M1669&amp;O1669&amp;U1669&amp;AL1669&amp;AM1669</f>
        <v>GuadeloupeIllets Pigeon, Grand Cul-de-Sac Marin reservesScarus taeniopterusdensity0.828696891496906Kopp2010</v>
      </c>
    </row>
    <row r="1670" spans="1:49" ht="14.5" x14ac:dyDescent="0.35">
      <c r="A1670" s="12">
        <v>1669</v>
      </c>
      <c r="B1670" s="12" t="s">
        <v>992</v>
      </c>
      <c r="C1670" s="12" t="s">
        <v>993</v>
      </c>
      <c r="D1670" s="12" t="s">
        <v>2593</v>
      </c>
      <c r="E1670" s="12" t="s">
        <v>68</v>
      </c>
      <c r="F1670" s="13" t="s">
        <v>50</v>
      </c>
      <c r="G1670" s="13" t="s">
        <v>51</v>
      </c>
      <c r="H1670" s="13" t="s">
        <v>108</v>
      </c>
      <c r="I1670" s="13" t="s">
        <v>156</v>
      </c>
      <c r="J1670" s="14">
        <v>25</v>
      </c>
      <c r="K1670" s="17"/>
      <c r="L1670" s="14" t="s">
        <v>995</v>
      </c>
      <c r="M1670" s="14"/>
      <c r="N1670" s="14" t="s">
        <v>85</v>
      </c>
      <c r="O1670" s="17" t="s">
        <v>86</v>
      </c>
      <c r="P1670" s="14"/>
      <c r="Q1670" s="14"/>
      <c r="R1670" s="14"/>
      <c r="S1670" s="14">
        <v>0</v>
      </c>
      <c r="T1670" s="14">
        <v>10.84746</v>
      </c>
      <c r="U1670" s="19" t="str">
        <f t="shared" si="112"/>
        <v>N/A</v>
      </c>
      <c r="V1670" s="41" t="str">
        <f t="shared" si="115"/>
        <v>N/A</v>
      </c>
      <c r="W1670" s="14"/>
      <c r="X1670" s="14" t="s">
        <v>58</v>
      </c>
      <c r="Y1670" s="14">
        <v>40</v>
      </c>
      <c r="Z1670" s="14" t="s">
        <v>56</v>
      </c>
      <c r="AA1670" s="14"/>
      <c r="AB1670" s="14" t="s">
        <v>57</v>
      </c>
      <c r="AC1670" s="14">
        <v>2004</v>
      </c>
      <c r="AD1670" s="14">
        <v>0</v>
      </c>
      <c r="AE1670" s="14"/>
      <c r="AF1670" s="14"/>
      <c r="AG1670" s="14">
        <v>1987</v>
      </c>
      <c r="AH1670" s="14">
        <f t="shared" si="113"/>
        <v>17</v>
      </c>
      <c r="AI1670" s="17">
        <f t="shared" si="114"/>
        <v>17</v>
      </c>
      <c r="AJ1670" s="14"/>
      <c r="AK1670" s="14" t="s">
        <v>56</v>
      </c>
      <c r="AL1670" s="13" t="s">
        <v>994</v>
      </c>
      <c r="AM1670" s="14">
        <v>2010</v>
      </c>
      <c r="AN1670" s="12" t="s">
        <v>685</v>
      </c>
      <c r="AO1670" s="12" t="s">
        <v>56</v>
      </c>
      <c r="AP1670" s="12"/>
      <c r="AQ1670" s="12" t="s">
        <v>56</v>
      </c>
      <c r="AR1670" s="12" t="s">
        <v>58</v>
      </c>
      <c r="AS1670" s="12" t="s">
        <v>62</v>
      </c>
      <c r="AT1670" s="12"/>
      <c r="AU1670" s="45" t="s">
        <v>2594</v>
      </c>
      <c r="AV1670" s="15"/>
      <c r="AW1670" s="12" t="str">
        <f>B1670&amp;C1670&amp;L1670&amp;M1670&amp;O1670&amp;U1670&amp;AL1670&amp;AM1670</f>
        <v>GuadeloupeIllets Pigeon, Grand Cul-de-Sac Marin reservesScarus vetuladensityN/AKopp2010</v>
      </c>
    </row>
    <row r="1671" spans="1:49" ht="14.5" x14ac:dyDescent="0.35">
      <c r="A1671" s="12">
        <v>1670</v>
      </c>
      <c r="B1671" s="12" t="s">
        <v>992</v>
      </c>
      <c r="C1671" s="12" t="s">
        <v>993</v>
      </c>
      <c r="D1671" s="12" t="s">
        <v>2593</v>
      </c>
      <c r="E1671" s="12" t="s">
        <v>68</v>
      </c>
      <c r="F1671" s="13" t="s">
        <v>50</v>
      </c>
      <c r="G1671" s="13" t="s">
        <v>51</v>
      </c>
      <c r="H1671" s="13" t="s">
        <v>108</v>
      </c>
      <c r="I1671" s="13" t="s">
        <v>156</v>
      </c>
      <c r="J1671" s="14">
        <v>25</v>
      </c>
      <c r="K1671" s="17"/>
      <c r="L1671" s="14" t="s">
        <v>996</v>
      </c>
      <c r="M1671" s="14"/>
      <c r="N1671" s="14" t="s">
        <v>85</v>
      </c>
      <c r="O1671" s="14" t="s">
        <v>86</v>
      </c>
      <c r="P1671" s="14"/>
      <c r="Q1671" s="14"/>
      <c r="R1671" s="14"/>
      <c r="S1671" s="14">
        <v>18.16949</v>
      </c>
      <c r="T1671" s="14">
        <v>75.525419999999997</v>
      </c>
      <c r="U1671" s="19">
        <f t="shared" si="112"/>
        <v>4.1567165616646369</v>
      </c>
      <c r="V1671" s="41">
        <f t="shared" si="115"/>
        <v>315.67165616646366</v>
      </c>
      <c r="W1671" s="14"/>
      <c r="X1671" s="14" t="s">
        <v>58</v>
      </c>
      <c r="Y1671" s="14">
        <v>40</v>
      </c>
      <c r="Z1671" s="14" t="s">
        <v>56</v>
      </c>
      <c r="AA1671" s="14"/>
      <c r="AB1671" s="14" t="s">
        <v>57</v>
      </c>
      <c r="AC1671" s="14">
        <v>2004</v>
      </c>
      <c r="AD1671" s="14">
        <v>0</v>
      </c>
      <c r="AE1671" s="14"/>
      <c r="AF1671" s="14"/>
      <c r="AG1671" s="14">
        <v>1987</v>
      </c>
      <c r="AH1671" s="14">
        <f t="shared" si="113"/>
        <v>17</v>
      </c>
      <c r="AI1671" s="17">
        <f t="shared" si="114"/>
        <v>17</v>
      </c>
      <c r="AJ1671" s="14"/>
      <c r="AK1671" s="14" t="s">
        <v>56</v>
      </c>
      <c r="AL1671" s="13" t="s">
        <v>994</v>
      </c>
      <c r="AM1671" s="14">
        <v>2010</v>
      </c>
      <c r="AN1671" s="12" t="s">
        <v>685</v>
      </c>
      <c r="AO1671" s="12" t="s">
        <v>56</v>
      </c>
      <c r="AP1671" s="12"/>
      <c r="AQ1671" s="12" t="s">
        <v>56</v>
      </c>
      <c r="AR1671" s="12" t="s">
        <v>58</v>
      </c>
      <c r="AS1671" s="12" t="s">
        <v>62</v>
      </c>
      <c r="AT1671" s="12"/>
      <c r="AU1671" s="45" t="s">
        <v>2594</v>
      </c>
      <c r="AV1671" s="15"/>
      <c r="AW1671" s="12" t="str">
        <f>B1671&amp;C1671&amp;L1671&amp;M1671&amp;O1671&amp;U1671&amp;AL1671&amp;AM1671</f>
        <v>GuadeloupeIllets Pigeon, Grand Cul-de-Sac Marin reservesSparisoma aurofrenatusdensity4.15671656166464Kopp2010</v>
      </c>
    </row>
    <row r="1672" spans="1:49" ht="14.5" x14ac:dyDescent="0.35">
      <c r="A1672" s="12">
        <v>1671</v>
      </c>
      <c r="B1672" s="15" t="s">
        <v>992</v>
      </c>
      <c r="C1672" s="12" t="s">
        <v>993</v>
      </c>
      <c r="D1672" s="12" t="s">
        <v>2593</v>
      </c>
      <c r="E1672" s="15" t="s">
        <v>68</v>
      </c>
      <c r="F1672" s="16" t="s">
        <v>50</v>
      </c>
      <c r="G1672" s="16" t="s">
        <v>51</v>
      </c>
      <c r="H1672" s="16" t="s">
        <v>108</v>
      </c>
      <c r="I1672" s="16" t="s">
        <v>156</v>
      </c>
      <c r="J1672" s="17">
        <v>25</v>
      </c>
      <c r="K1672" s="17"/>
      <c r="L1672" s="17" t="s">
        <v>921</v>
      </c>
      <c r="M1672" s="17"/>
      <c r="N1672" s="14" t="s">
        <v>85</v>
      </c>
      <c r="O1672" s="17" t="s">
        <v>86</v>
      </c>
      <c r="P1672" s="17"/>
      <c r="Q1672" s="17"/>
      <c r="R1672" s="17"/>
      <c r="S1672" s="17">
        <v>18.16949</v>
      </c>
      <c r="T1672" s="17">
        <v>1.084746</v>
      </c>
      <c r="U1672" s="20">
        <f t="shared" si="112"/>
        <v>5.9701510609268614E-2</v>
      </c>
      <c r="V1672" s="41">
        <f t="shared" si="115"/>
        <v>-94.029848939073133</v>
      </c>
      <c r="W1672" s="17"/>
      <c r="X1672" s="17" t="s">
        <v>58</v>
      </c>
      <c r="Y1672" s="14">
        <v>40</v>
      </c>
      <c r="Z1672" s="17" t="s">
        <v>56</v>
      </c>
      <c r="AA1672" s="17"/>
      <c r="AB1672" s="17" t="s">
        <v>57</v>
      </c>
      <c r="AC1672" s="17">
        <v>2004</v>
      </c>
      <c r="AD1672" s="17">
        <v>0</v>
      </c>
      <c r="AE1672" s="17"/>
      <c r="AF1672" s="17"/>
      <c r="AG1672" s="14">
        <v>1987</v>
      </c>
      <c r="AH1672" s="14">
        <f t="shared" si="113"/>
        <v>17</v>
      </c>
      <c r="AI1672" s="17">
        <f t="shared" si="114"/>
        <v>17</v>
      </c>
      <c r="AJ1672" s="17"/>
      <c r="AK1672" s="17" t="s">
        <v>56</v>
      </c>
      <c r="AL1672" s="16" t="s">
        <v>994</v>
      </c>
      <c r="AM1672" s="17">
        <v>2010</v>
      </c>
      <c r="AN1672" s="15" t="s">
        <v>685</v>
      </c>
      <c r="AO1672" s="15" t="s">
        <v>56</v>
      </c>
      <c r="AP1672" s="15"/>
      <c r="AQ1672" s="15" t="s">
        <v>56</v>
      </c>
      <c r="AR1672" s="15" t="s">
        <v>58</v>
      </c>
      <c r="AS1672" s="15" t="s">
        <v>62</v>
      </c>
      <c r="AT1672" s="15"/>
      <c r="AU1672" s="45" t="s">
        <v>2594</v>
      </c>
      <c r="AV1672" s="15"/>
      <c r="AW1672" s="12" t="str">
        <f>B1672&amp;C1672&amp;L1672&amp;M1672&amp;O1672&amp;U1672&amp;AL1672&amp;AM1672</f>
        <v>GuadeloupeIllets Pigeon, Grand Cul-de-Sac Marin reservesSparisoma chrysopterumdensity0.0597015106092686Kopp2010</v>
      </c>
    </row>
    <row r="1673" spans="1:49" ht="14.5" x14ac:dyDescent="0.35">
      <c r="A1673" s="12">
        <v>1672</v>
      </c>
      <c r="B1673" s="12" t="s">
        <v>992</v>
      </c>
      <c r="C1673" s="12" t="s">
        <v>993</v>
      </c>
      <c r="D1673" s="12" t="s">
        <v>2593</v>
      </c>
      <c r="E1673" s="12" t="s">
        <v>68</v>
      </c>
      <c r="F1673" s="13" t="s">
        <v>50</v>
      </c>
      <c r="G1673" s="13" t="s">
        <v>51</v>
      </c>
      <c r="H1673" s="13" t="s">
        <v>108</v>
      </c>
      <c r="I1673" s="13" t="s">
        <v>156</v>
      </c>
      <c r="J1673" s="14">
        <v>25</v>
      </c>
      <c r="K1673" s="17"/>
      <c r="L1673" s="14" t="s">
        <v>922</v>
      </c>
      <c r="M1673" s="14"/>
      <c r="N1673" s="14" t="s">
        <v>85</v>
      </c>
      <c r="O1673" s="17" t="s">
        <v>86</v>
      </c>
      <c r="P1673" s="14"/>
      <c r="Q1673" s="14"/>
      <c r="R1673" s="14"/>
      <c r="S1673" s="14">
        <v>13.28814</v>
      </c>
      <c r="T1673" s="14">
        <v>1.084746</v>
      </c>
      <c r="U1673" s="19">
        <f t="shared" si="112"/>
        <v>8.1632643846317091E-2</v>
      </c>
      <c r="V1673" s="41">
        <f t="shared" si="115"/>
        <v>-91.836735615368298</v>
      </c>
      <c r="W1673" s="14"/>
      <c r="X1673" s="14" t="s">
        <v>58</v>
      </c>
      <c r="Y1673" s="14">
        <v>40</v>
      </c>
      <c r="Z1673" s="14" t="s">
        <v>56</v>
      </c>
      <c r="AA1673" s="14"/>
      <c r="AB1673" s="14" t="s">
        <v>57</v>
      </c>
      <c r="AC1673" s="14">
        <v>2004</v>
      </c>
      <c r="AD1673" s="14">
        <v>0</v>
      </c>
      <c r="AE1673" s="14"/>
      <c r="AF1673" s="14"/>
      <c r="AG1673" s="14">
        <v>1987</v>
      </c>
      <c r="AH1673" s="14">
        <f t="shared" si="113"/>
        <v>17</v>
      </c>
      <c r="AI1673" s="17">
        <f t="shared" si="114"/>
        <v>17</v>
      </c>
      <c r="AJ1673" s="14"/>
      <c r="AK1673" s="14" t="s">
        <v>56</v>
      </c>
      <c r="AL1673" s="13" t="s">
        <v>994</v>
      </c>
      <c r="AM1673" s="14">
        <v>2010</v>
      </c>
      <c r="AN1673" s="12" t="s">
        <v>685</v>
      </c>
      <c r="AO1673" s="12" t="s">
        <v>56</v>
      </c>
      <c r="AP1673" s="12"/>
      <c r="AQ1673" s="12" t="s">
        <v>56</v>
      </c>
      <c r="AR1673" s="12" t="s">
        <v>58</v>
      </c>
      <c r="AS1673" s="12" t="s">
        <v>62</v>
      </c>
      <c r="AT1673" s="12"/>
      <c r="AU1673" s="45" t="s">
        <v>2594</v>
      </c>
      <c r="AV1673" s="15"/>
      <c r="AW1673" s="12" t="str">
        <f>B1673&amp;C1673&amp;L1673&amp;M1673&amp;O1673&amp;U1673&amp;AL1673&amp;AM1673</f>
        <v>GuadeloupeIllets Pigeon, Grand Cul-de-Sac Marin reservesSparisoma rubripinnedensity0.0816326438463171Kopp2010</v>
      </c>
    </row>
    <row r="1674" spans="1:49" ht="14.5" x14ac:dyDescent="0.35">
      <c r="A1674" s="12">
        <v>1673</v>
      </c>
      <c r="B1674" s="15" t="s">
        <v>992</v>
      </c>
      <c r="C1674" s="12" t="s">
        <v>993</v>
      </c>
      <c r="D1674" s="12" t="s">
        <v>2593</v>
      </c>
      <c r="E1674" s="15" t="s">
        <v>68</v>
      </c>
      <c r="F1674" s="16" t="s">
        <v>50</v>
      </c>
      <c r="G1674" s="16" t="s">
        <v>51</v>
      </c>
      <c r="H1674" s="16" t="s">
        <v>108</v>
      </c>
      <c r="I1674" s="16" t="s">
        <v>156</v>
      </c>
      <c r="J1674" s="17">
        <v>25</v>
      </c>
      <c r="K1674" s="17"/>
      <c r="L1674" s="17" t="s">
        <v>917</v>
      </c>
      <c r="M1674" s="17"/>
      <c r="N1674" s="14" t="s">
        <v>85</v>
      </c>
      <c r="O1674" s="17" t="s">
        <v>86</v>
      </c>
      <c r="P1674" s="17"/>
      <c r="Q1674" s="17"/>
      <c r="R1674" s="17"/>
      <c r="S1674" s="17">
        <v>42.576270000000001</v>
      </c>
      <c r="T1674" s="17">
        <v>57.22034</v>
      </c>
      <c r="U1674" s="20">
        <f t="shared" si="112"/>
        <v>1.3439491059221487</v>
      </c>
      <c r="V1674" s="41">
        <f t="shared" si="115"/>
        <v>34.39491059221487</v>
      </c>
      <c r="W1674" s="17"/>
      <c r="X1674" s="17" t="s">
        <v>58</v>
      </c>
      <c r="Y1674" s="14">
        <v>40</v>
      </c>
      <c r="Z1674" s="17" t="s">
        <v>56</v>
      </c>
      <c r="AA1674" s="17"/>
      <c r="AB1674" s="17" t="s">
        <v>57</v>
      </c>
      <c r="AC1674" s="17">
        <v>2004</v>
      </c>
      <c r="AD1674" s="17">
        <v>0</v>
      </c>
      <c r="AE1674" s="17"/>
      <c r="AF1674" s="17"/>
      <c r="AG1674" s="14">
        <v>1987</v>
      </c>
      <c r="AH1674" s="14">
        <f t="shared" si="113"/>
        <v>17</v>
      </c>
      <c r="AI1674" s="17">
        <f t="shared" si="114"/>
        <v>17</v>
      </c>
      <c r="AJ1674" s="17"/>
      <c r="AK1674" s="17" t="s">
        <v>56</v>
      </c>
      <c r="AL1674" s="16" t="s">
        <v>994</v>
      </c>
      <c r="AM1674" s="17">
        <v>2010</v>
      </c>
      <c r="AN1674" s="15" t="s">
        <v>685</v>
      </c>
      <c r="AO1674" s="15" t="s">
        <v>56</v>
      </c>
      <c r="AP1674" s="15"/>
      <c r="AQ1674" s="15" t="s">
        <v>56</v>
      </c>
      <c r="AR1674" s="15" t="s">
        <v>58</v>
      </c>
      <c r="AS1674" s="15" t="s">
        <v>62</v>
      </c>
      <c r="AT1674" s="15"/>
      <c r="AU1674" s="45" t="s">
        <v>2594</v>
      </c>
      <c r="AV1674" s="15"/>
      <c r="AW1674" s="12" t="str">
        <f>B1674&amp;C1674&amp;L1674&amp;M1674&amp;O1674&amp;U1674&amp;AL1674&amp;AM1674</f>
        <v>GuadeloupeIllets Pigeon, Grand Cul-de-Sac Marin reservesSparisoma viridedensity1.34394910592215Kopp2010</v>
      </c>
    </row>
    <row r="1675" spans="1:49" ht="14.5" x14ac:dyDescent="0.35">
      <c r="A1675" s="12">
        <v>1674</v>
      </c>
      <c r="B1675" s="15" t="s">
        <v>992</v>
      </c>
      <c r="C1675" s="12" t="s">
        <v>993</v>
      </c>
      <c r="D1675" s="12" t="s">
        <v>2593</v>
      </c>
      <c r="E1675" s="15" t="s">
        <v>68</v>
      </c>
      <c r="F1675" s="16" t="s">
        <v>50</v>
      </c>
      <c r="G1675" s="16" t="s">
        <v>51</v>
      </c>
      <c r="H1675" s="16" t="s">
        <v>108</v>
      </c>
      <c r="I1675" s="16" t="s">
        <v>156</v>
      </c>
      <c r="J1675" s="17">
        <v>25</v>
      </c>
      <c r="K1675" s="17"/>
      <c r="L1675" s="17" t="s">
        <v>997</v>
      </c>
      <c r="M1675" s="17"/>
      <c r="N1675" s="14" t="s">
        <v>85</v>
      </c>
      <c r="O1675" s="17" t="s">
        <v>86</v>
      </c>
      <c r="P1675" s="17"/>
      <c r="Q1675" s="17"/>
      <c r="R1675" s="17"/>
      <c r="S1675" s="17">
        <v>146.30510000000001</v>
      </c>
      <c r="T1675" s="17">
        <v>228.06780000000001</v>
      </c>
      <c r="U1675" s="20">
        <f t="shared" si="112"/>
        <v>1.5588506484052844</v>
      </c>
      <c r="V1675" s="41">
        <f t="shared" si="115"/>
        <v>55.885064840528443</v>
      </c>
      <c r="W1675" s="17"/>
      <c r="X1675" s="17" t="s">
        <v>58</v>
      </c>
      <c r="Y1675" s="14">
        <v>40</v>
      </c>
      <c r="Z1675" s="17" t="s">
        <v>56</v>
      </c>
      <c r="AA1675" s="17"/>
      <c r="AB1675" s="17" t="s">
        <v>57</v>
      </c>
      <c r="AC1675" s="17">
        <v>2004</v>
      </c>
      <c r="AD1675" s="17">
        <v>0</v>
      </c>
      <c r="AE1675" s="17"/>
      <c r="AF1675" s="17"/>
      <c r="AG1675" s="14">
        <v>1987</v>
      </c>
      <c r="AH1675" s="14">
        <f t="shared" si="113"/>
        <v>17</v>
      </c>
      <c r="AI1675" s="17">
        <f t="shared" si="114"/>
        <v>17</v>
      </c>
      <c r="AJ1675" s="17"/>
      <c r="AK1675" s="17" t="s">
        <v>56</v>
      </c>
      <c r="AL1675" s="16" t="s">
        <v>994</v>
      </c>
      <c r="AM1675" s="17">
        <v>2010</v>
      </c>
      <c r="AN1675" s="15" t="s">
        <v>685</v>
      </c>
      <c r="AO1675" s="15" t="s">
        <v>56</v>
      </c>
      <c r="AP1675" s="15"/>
      <c r="AQ1675" s="15" t="s">
        <v>56</v>
      </c>
      <c r="AR1675" s="15" t="s">
        <v>58</v>
      </c>
      <c r="AS1675" s="15" t="s">
        <v>62</v>
      </c>
      <c r="AT1675" s="15"/>
      <c r="AU1675" s="45" t="s">
        <v>2594</v>
      </c>
      <c r="AV1675" s="15"/>
      <c r="AW1675" s="12" t="str">
        <f>B1675&amp;C1675&amp;L1675&amp;M1675&amp;O1675&amp;U1675&amp;AL1675&amp;AM1675</f>
        <v>GuadeloupeIllets Pigeon, Grand Cul-de-Sac Marin reservesAcanthurus bahianusdensity1.55885064840528Kopp2010</v>
      </c>
    </row>
    <row r="1676" spans="1:49" ht="14.5" x14ac:dyDescent="0.35">
      <c r="A1676" s="12">
        <v>1675</v>
      </c>
      <c r="B1676" s="12" t="s">
        <v>992</v>
      </c>
      <c r="C1676" s="12" t="s">
        <v>993</v>
      </c>
      <c r="D1676" s="12" t="s">
        <v>2593</v>
      </c>
      <c r="E1676" s="12" t="s">
        <v>68</v>
      </c>
      <c r="F1676" s="13" t="s">
        <v>50</v>
      </c>
      <c r="G1676" s="13" t="s">
        <v>51</v>
      </c>
      <c r="H1676" s="13" t="s">
        <v>108</v>
      </c>
      <c r="I1676" s="13" t="s">
        <v>156</v>
      </c>
      <c r="J1676" s="14">
        <v>25</v>
      </c>
      <c r="K1676" s="17"/>
      <c r="L1676" s="14" t="s">
        <v>998</v>
      </c>
      <c r="M1676" s="14"/>
      <c r="N1676" s="14" t="s">
        <v>85</v>
      </c>
      <c r="O1676" s="17" t="s">
        <v>86</v>
      </c>
      <c r="P1676" s="14"/>
      <c r="Q1676" s="14"/>
      <c r="R1676" s="14"/>
      <c r="S1676" s="14">
        <v>70.644069999999999</v>
      </c>
      <c r="T1676" s="14">
        <v>27.932200000000002</v>
      </c>
      <c r="U1676" s="19">
        <f t="shared" si="112"/>
        <v>0.3953934137713187</v>
      </c>
      <c r="V1676" s="41">
        <f t="shared" si="115"/>
        <v>-60.460658622868138</v>
      </c>
      <c r="W1676" s="14"/>
      <c r="X1676" s="14" t="s">
        <v>58</v>
      </c>
      <c r="Y1676" s="14">
        <v>40</v>
      </c>
      <c r="Z1676" s="14" t="s">
        <v>56</v>
      </c>
      <c r="AA1676" s="14"/>
      <c r="AB1676" s="14" t="s">
        <v>57</v>
      </c>
      <c r="AC1676" s="14">
        <v>2004</v>
      </c>
      <c r="AD1676" s="14">
        <v>0</v>
      </c>
      <c r="AE1676" s="14"/>
      <c r="AF1676" s="14"/>
      <c r="AG1676" s="14">
        <v>1987</v>
      </c>
      <c r="AH1676" s="14">
        <f t="shared" si="113"/>
        <v>17</v>
      </c>
      <c r="AI1676" s="17">
        <f t="shared" si="114"/>
        <v>17</v>
      </c>
      <c r="AJ1676" s="14"/>
      <c r="AK1676" s="14" t="s">
        <v>56</v>
      </c>
      <c r="AL1676" s="13" t="s">
        <v>994</v>
      </c>
      <c r="AM1676" s="14">
        <v>2010</v>
      </c>
      <c r="AN1676" s="12" t="s">
        <v>685</v>
      </c>
      <c r="AO1676" s="12" t="s">
        <v>56</v>
      </c>
      <c r="AP1676" s="12"/>
      <c r="AQ1676" s="12" t="s">
        <v>56</v>
      </c>
      <c r="AR1676" s="12" t="s">
        <v>58</v>
      </c>
      <c r="AS1676" s="12" t="s">
        <v>62</v>
      </c>
      <c r="AT1676" s="12"/>
      <c r="AU1676" s="45" t="s">
        <v>2594</v>
      </c>
      <c r="AV1676" s="15"/>
      <c r="AW1676" s="12" t="str">
        <f>B1676&amp;C1676&amp;L1676&amp;M1676&amp;O1676&amp;U1676&amp;AL1676&amp;AM1676</f>
        <v>GuadeloupeIllets Pigeon, Grand Cul-de-Sac Marin reservesAcanthurus chirurgusdensity0.395393413771319Kopp2010</v>
      </c>
    </row>
    <row r="1677" spans="1:49" ht="14.5" x14ac:dyDescent="0.35">
      <c r="A1677" s="12">
        <v>1676</v>
      </c>
      <c r="B1677" s="15" t="s">
        <v>992</v>
      </c>
      <c r="C1677" s="12" t="s">
        <v>993</v>
      </c>
      <c r="D1677" s="12" t="s">
        <v>2593</v>
      </c>
      <c r="E1677" s="15" t="s">
        <v>68</v>
      </c>
      <c r="F1677" s="16" t="s">
        <v>50</v>
      </c>
      <c r="G1677" s="16" t="s">
        <v>51</v>
      </c>
      <c r="H1677" s="16" t="s">
        <v>108</v>
      </c>
      <c r="I1677" s="16" t="s">
        <v>156</v>
      </c>
      <c r="J1677" s="17">
        <v>25</v>
      </c>
      <c r="K1677" s="17"/>
      <c r="L1677" s="17" t="s">
        <v>999</v>
      </c>
      <c r="M1677" s="17"/>
      <c r="N1677" s="14" t="s">
        <v>85</v>
      </c>
      <c r="O1677" s="17" t="s">
        <v>86</v>
      </c>
      <c r="P1677" s="17"/>
      <c r="Q1677" s="17"/>
      <c r="R1677" s="17"/>
      <c r="S1677" s="17">
        <v>141.4237</v>
      </c>
      <c r="T1677" s="17">
        <v>110.9153</v>
      </c>
      <c r="U1677" s="20">
        <f t="shared" si="112"/>
        <v>0.78427660993171588</v>
      </c>
      <c r="V1677" s="41">
        <f t="shared" si="115"/>
        <v>-21.572339006828411</v>
      </c>
      <c r="W1677" s="17"/>
      <c r="X1677" s="17" t="s">
        <v>58</v>
      </c>
      <c r="Y1677" s="14">
        <v>40</v>
      </c>
      <c r="Z1677" s="17" t="s">
        <v>56</v>
      </c>
      <c r="AA1677" s="17"/>
      <c r="AB1677" s="17" t="s">
        <v>57</v>
      </c>
      <c r="AC1677" s="17">
        <v>2004</v>
      </c>
      <c r="AD1677" s="17">
        <v>0</v>
      </c>
      <c r="AE1677" s="17"/>
      <c r="AF1677" s="17"/>
      <c r="AG1677" s="14">
        <v>1987</v>
      </c>
      <c r="AH1677" s="14">
        <f t="shared" si="113"/>
        <v>17</v>
      </c>
      <c r="AI1677" s="17">
        <f t="shared" si="114"/>
        <v>17</v>
      </c>
      <c r="AJ1677" s="17"/>
      <c r="AK1677" s="17" t="s">
        <v>56</v>
      </c>
      <c r="AL1677" s="16" t="s">
        <v>994</v>
      </c>
      <c r="AM1677" s="17">
        <v>2010</v>
      </c>
      <c r="AN1677" s="15" t="s">
        <v>685</v>
      </c>
      <c r="AO1677" s="15" t="s">
        <v>56</v>
      </c>
      <c r="AP1677" s="15"/>
      <c r="AQ1677" s="15" t="s">
        <v>56</v>
      </c>
      <c r="AR1677" s="15" t="s">
        <v>58</v>
      </c>
      <c r="AS1677" s="15" t="s">
        <v>62</v>
      </c>
      <c r="AT1677" s="15"/>
      <c r="AU1677" s="45" t="s">
        <v>2594</v>
      </c>
      <c r="AV1677" s="15"/>
      <c r="AW1677" s="12" t="str">
        <f>B1677&amp;C1677&amp;L1677&amp;M1677&amp;O1677&amp;U1677&amp;AL1677&amp;AM1677</f>
        <v>GuadeloupeIllets Pigeon, Grand Cul-de-Sac Marin reservesAcanthurus coeruleusdensity0.784276609931716Kopp2010</v>
      </c>
    </row>
    <row r="1678" spans="1:49" ht="14.5" x14ac:dyDescent="0.35">
      <c r="A1678" s="12">
        <v>1677</v>
      </c>
      <c r="B1678" s="12" t="s">
        <v>992</v>
      </c>
      <c r="C1678" s="12" t="s">
        <v>993</v>
      </c>
      <c r="D1678" s="12" t="s">
        <v>2593</v>
      </c>
      <c r="E1678" s="12" t="s">
        <v>68</v>
      </c>
      <c r="F1678" s="13" t="s">
        <v>50</v>
      </c>
      <c r="G1678" s="13" t="s">
        <v>51</v>
      </c>
      <c r="H1678" s="13" t="s">
        <v>108</v>
      </c>
      <c r="I1678" s="13" t="s">
        <v>156</v>
      </c>
      <c r="J1678" s="14">
        <v>25</v>
      </c>
      <c r="K1678" s="17"/>
      <c r="L1678" s="14" t="s">
        <v>923</v>
      </c>
      <c r="M1678" s="14"/>
      <c r="N1678" s="14" t="s">
        <v>85</v>
      </c>
      <c r="O1678" s="17" t="s">
        <v>70</v>
      </c>
      <c r="P1678" s="14"/>
      <c r="Q1678" s="14"/>
      <c r="R1678" s="14"/>
      <c r="S1678" s="14">
        <v>4.7567570000000003</v>
      </c>
      <c r="T1678" s="14">
        <v>6.9729729999999996</v>
      </c>
      <c r="U1678" s="19">
        <f t="shared" si="112"/>
        <v>1.4659090216296522</v>
      </c>
      <c r="V1678" s="41">
        <f t="shared" si="115"/>
        <v>46.590902162965222</v>
      </c>
      <c r="W1678" s="14"/>
      <c r="X1678" s="14" t="s">
        <v>58</v>
      </c>
      <c r="Y1678" s="14">
        <v>40</v>
      </c>
      <c r="Z1678" s="14" t="s">
        <v>56</v>
      </c>
      <c r="AA1678" s="14"/>
      <c r="AB1678" s="14" t="s">
        <v>57</v>
      </c>
      <c r="AC1678" s="14">
        <v>2004</v>
      </c>
      <c r="AD1678" s="14">
        <v>0</v>
      </c>
      <c r="AE1678" s="14"/>
      <c r="AF1678" s="14"/>
      <c r="AG1678" s="14">
        <v>1987</v>
      </c>
      <c r="AH1678" s="14">
        <f t="shared" si="113"/>
        <v>17</v>
      </c>
      <c r="AI1678" s="17">
        <f t="shared" si="114"/>
        <v>17</v>
      </c>
      <c r="AJ1678" s="14"/>
      <c r="AK1678" s="14" t="s">
        <v>56</v>
      </c>
      <c r="AL1678" s="13" t="s">
        <v>994</v>
      </c>
      <c r="AM1678" s="14">
        <v>2010</v>
      </c>
      <c r="AN1678" s="12" t="s">
        <v>685</v>
      </c>
      <c r="AO1678" s="12" t="s">
        <v>56</v>
      </c>
      <c r="AP1678" s="12"/>
      <c r="AQ1678" s="12" t="s">
        <v>56</v>
      </c>
      <c r="AR1678" s="12" t="s">
        <v>58</v>
      </c>
      <c r="AS1678" s="12" t="s">
        <v>62</v>
      </c>
      <c r="AT1678" s="12"/>
      <c r="AU1678" s="45" t="s">
        <v>2594</v>
      </c>
      <c r="AV1678" s="15"/>
      <c r="AW1678" s="12" t="str">
        <f>B1678&amp;C1678&amp;L1678&amp;M1678&amp;O1678&amp;U1678&amp;AL1678&amp;AM1678</f>
        <v>GuadeloupeIllets Pigeon, Grand Cul-de-Sac Marin reservesScarus isertibiomassden1.46590902162965Kopp2010</v>
      </c>
    </row>
    <row r="1679" spans="1:49" ht="14.5" x14ac:dyDescent="0.35">
      <c r="A1679" s="12">
        <v>1678</v>
      </c>
      <c r="B1679" s="12" t="s">
        <v>992</v>
      </c>
      <c r="C1679" s="12" t="s">
        <v>993</v>
      </c>
      <c r="D1679" s="12" t="s">
        <v>2593</v>
      </c>
      <c r="E1679" s="12" t="s">
        <v>68</v>
      </c>
      <c r="F1679" s="13" t="s">
        <v>50</v>
      </c>
      <c r="G1679" s="13" t="s">
        <v>51</v>
      </c>
      <c r="H1679" s="13" t="s">
        <v>108</v>
      </c>
      <c r="I1679" s="13" t="s">
        <v>156</v>
      </c>
      <c r="J1679" s="14">
        <v>25</v>
      </c>
      <c r="K1679" s="17"/>
      <c r="L1679" s="14" t="s">
        <v>924</v>
      </c>
      <c r="M1679" s="14"/>
      <c r="N1679" s="14" t="s">
        <v>85</v>
      </c>
      <c r="O1679" s="17" t="s">
        <v>70</v>
      </c>
      <c r="P1679" s="14"/>
      <c r="Q1679" s="14"/>
      <c r="R1679" s="14"/>
      <c r="S1679" s="14">
        <v>0.97297299999999998</v>
      </c>
      <c r="T1679" s="14">
        <v>4.4864860000000002</v>
      </c>
      <c r="U1679" s="19">
        <f t="shared" si="112"/>
        <v>4.6111104830247092</v>
      </c>
      <c r="V1679" s="41">
        <f t="shared" si="115"/>
        <v>361.11104830247092</v>
      </c>
      <c r="W1679" s="14"/>
      <c r="X1679" s="14" t="s">
        <v>58</v>
      </c>
      <c r="Y1679" s="14">
        <v>40</v>
      </c>
      <c r="Z1679" s="14" t="s">
        <v>56</v>
      </c>
      <c r="AA1679" s="14"/>
      <c r="AB1679" s="14" t="s">
        <v>57</v>
      </c>
      <c r="AC1679" s="14">
        <v>2004</v>
      </c>
      <c r="AD1679" s="14">
        <v>0</v>
      </c>
      <c r="AE1679" s="14"/>
      <c r="AF1679" s="14"/>
      <c r="AG1679" s="14">
        <v>1987</v>
      </c>
      <c r="AH1679" s="14">
        <f t="shared" si="113"/>
        <v>17</v>
      </c>
      <c r="AI1679" s="17">
        <f t="shared" si="114"/>
        <v>17</v>
      </c>
      <c r="AJ1679" s="14"/>
      <c r="AK1679" s="14" t="s">
        <v>56</v>
      </c>
      <c r="AL1679" s="13" t="s">
        <v>994</v>
      </c>
      <c r="AM1679" s="14">
        <v>2010</v>
      </c>
      <c r="AN1679" s="12" t="s">
        <v>685</v>
      </c>
      <c r="AO1679" s="12" t="s">
        <v>56</v>
      </c>
      <c r="AP1679" s="12"/>
      <c r="AQ1679" s="12" t="s">
        <v>56</v>
      </c>
      <c r="AR1679" s="12" t="s">
        <v>58</v>
      </c>
      <c r="AS1679" s="12" t="s">
        <v>62</v>
      </c>
      <c r="AT1679" s="12"/>
      <c r="AU1679" s="45" t="s">
        <v>2594</v>
      </c>
      <c r="AV1679" s="15"/>
      <c r="AW1679" s="12" t="str">
        <f>B1679&amp;C1679&amp;L1679&amp;M1679&amp;O1679&amp;U1679&amp;AL1679&amp;AM1679</f>
        <v>GuadeloupeIllets Pigeon, Grand Cul-de-Sac Marin reservesScarus taeniopterusbiomassden4.61111048302471Kopp2010</v>
      </c>
    </row>
    <row r="1680" spans="1:49" ht="14.5" x14ac:dyDescent="0.35">
      <c r="A1680" s="12">
        <v>1679</v>
      </c>
      <c r="B1680" s="12" t="s">
        <v>992</v>
      </c>
      <c r="C1680" s="12" t="s">
        <v>993</v>
      </c>
      <c r="D1680" s="12" t="s">
        <v>2593</v>
      </c>
      <c r="E1680" s="12" t="s">
        <v>68</v>
      </c>
      <c r="F1680" s="13" t="s">
        <v>50</v>
      </c>
      <c r="G1680" s="13" t="s">
        <v>51</v>
      </c>
      <c r="H1680" s="13" t="s">
        <v>108</v>
      </c>
      <c r="I1680" s="13" t="s">
        <v>156</v>
      </c>
      <c r="J1680" s="14">
        <v>25</v>
      </c>
      <c r="K1680" s="17"/>
      <c r="L1680" s="14" t="s">
        <v>995</v>
      </c>
      <c r="M1680" s="14"/>
      <c r="N1680" s="14" t="s">
        <v>85</v>
      </c>
      <c r="O1680" s="17" t="s">
        <v>70</v>
      </c>
      <c r="P1680" s="14"/>
      <c r="Q1680" s="14"/>
      <c r="R1680" s="14"/>
      <c r="S1680" s="14">
        <v>0.108108</v>
      </c>
      <c r="T1680" s="14">
        <v>5.2972970000000004</v>
      </c>
      <c r="U1680" s="19">
        <f t="shared" si="112"/>
        <v>49.000046250046253</v>
      </c>
      <c r="V1680" s="41">
        <f t="shared" si="115"/>
        <v>4800.0046250046253</v>
      </c>
      <c r="W1680" s="14"/>
      <c r="X1680" s="14" t="s">
        <v>58</v>
      </c>
      <c r="Y1680" s="14">
        <v>40</v>
      </c>
      <c r="Z1680" s="14" t="s">
        <v>56</v>
      </c>
      <c r="AA1680" s="14"/>
      <c r="AB1680" s="14" t="s">
        <v>57</v>
      </c>
      <c r="AC1680" s="14">
        <v>2004</v>
      </c>
      <c r="AD1680" s="14">
        <v>0</v>
      </c>
      <c r="AE1680" s="14"/>
      <c r="AF1680" s="14"/>
      <c r="AG1680" s="14">
        <v>1987</v>
      </c>
      <c r="AH1680" s="14">
        <f t="shared" si="113"/>
        <v>17</v>
      </c>
      <c r="AI1680" s="17">
        <f t="shared" si="114"/>
        <v>17</v>
      </c>
      <c r="AJ1680" s="14"/>
      <c r="AK1680" s="14" t="s">
        <v>56</v>
      </c>
      <c r="AL1680" s="13" t="s">
        <v>994</v>
      </c>
      <c r="AM1680" s="14">
        <v>2010</v>
      </c>
      <c r="AN1680" s="12" t="s">
        <v>685</v>
      </c>
      <c r="AO1680" s="12" t="s">
        <v>56</v>
      </c>
      <c r="AP1680" s="12"/>
      <c r="AQ1680" s="12" t="s">
        <v>56</v>
      </c>
      <c r="AR1680" s="12" t="s">
        <v>58</v>
      </c>
      <c r="AS1680" s="12" t="s">
        <v>62</v>
      </c>
      <c r="AT1680" s="12"/>
      <c r="AU1680" s="45" t="s">
        <v>2594</v>
      </c>
      <c r="AV1680" s="15"/>
      <c r="AW1680" s="12" t="str">
        <f>B1680&amp;C1680&amp;L1680&amp;M1680&amp;O1680&amp;U1680&amp;AL1680&amp;AM1680</f>
        <v>GuadeloupeIllets Pigeon, Grand Cul-de-Sac Marin reservesScarus vetulabiomassden49.0000462500463Kopp2010</v>
      </c>
    </row>
    <row r="1681" spans="1:49" ht="14.5" x14ac:dyDescent="0.35">
      <c r="A1681" s="12">
        <v>1680</v>
      </c>
      <c r="B1681" s="12" t="s">
        <v>992</v>
      </c>
      <c r="C1681" s="12" t="s">
        <v>993</v>
      </c>
      <c r="D1681" s="12" t="s">
        <v>2593</v>
      </c>
      <c r="E1681" s="12" t="s">
        <v>68</v>
      </c>
      <c r="F1681" s="13" t="s">
        <v>50</v>
      </c>
      <c r="G1681" s="13" t="s">
        <v>51</v>
      </c>
      <c r="H1681" s="13" t="s">
        <v>108</v>
      </c>
      <c r="I1681" s="13" t="s">
        <v>156</v>
      </c>
      <c r="J1681" s="14">
        <v>25</v>
      </c>
      <c r="K1681" s="17"/>
      <c r="L1681" s="14" t="s">
        <v>996</v>
      </c>
      <c r="M1681" s="14"/>
      <c r="N1681" s="14" t="s">
        <v>85</v>
      </c>
      <c r="O1681" s="17" t="s">
        <v>70</v>
      </c>
      <c r="P1681" s="14"/>
      <c r="Q1681" s="14"/>
      <c r="R1681" s="14"/>
      <c r="S1681" s="14">
        <v>1.405405</v>
      </c>
      <c r="T1681" s="14">
        <v>6.5405410000000002</v>
      </c>
      <c r="U1681" s="19">
        <f t="shared" si="112"/>
        <v>4.653847823225334</v>
      </c>
      <c r="V1681" s="41">
        <f t="shared" si="115"/>
        <v>365.3847823225334</v>
      </c>
      <c r="W1681" s="14"/>
      <c r="X1681" s="14" t="s">
        <v>58</v>
      </c>
      <c r="Y1681" s="14">
        <v>40</v>
      </c>
      <c r="Z1681" s="14" t="s">
        <v>56</v>
      </c>
      <c r="AA1681" s="14"/>
      <c r="AB1681" s="14" t="s">
        <v>57</v>
      </c>
      <c r="AC1681" s="14">
        <v>2004</v>
      </c>
      <c r="AD1681" s="14">
        <v>0</v>
      </c>
      <c r="AE1681" s="14"/>
      <c r="AF1681" s="14"/>
      <c r="AG1681" s="14">
        <v>1987</v>
      </c>
      <c r="AH1681" s="14">
        <f t="shared" si="113"/>
        <v>17</v>
      </c>
      <c r="AI1681" s="17">
        <f t="shared" si="114"/>
        <v>17</v>
      </c>
      <c r="AJ1681" s="14"/>
      <c r="AK1681" s="14" t="s">
        <v>56</v>
      </c>
      <c r="AL1681" s="13" t="s">
        <v>994</v>
      </c>
      <c r="AM1681" s="14">
        <v>2010</v>
      </c>
      <c r="AN1681" s="12" t="s">
        <v>685</v>
      </c>
      <c r="AO1681" s="12" t="s">
        <v>56</v>
      </c>
      <c r="AP1681" s="12"/>
      <c r="AQ1681" s="12" t="s">
        <v>56</v>
      </c>
      <c r="AR1681" s="12" t="s">
        <v>58</v>
      </c>
      <c r="AS1681" s="12" t="s">
        <v>62</v>
      </c>
      <c r="AT1681" s="12"/>
      <c r="AU1681" s="45" t="s">
        <v>2594</v>
      </c>
      <c r="AV1681" s="15"/>
      <c r="AW1681" s="12" t="str">
        <f>B1681&amp;C1681&amp;L1681&amp;M1681&amp;O1681&amp;U1681&amp;AL1681&amp;AM1681</f>
        <v>GuadeloupeIllets Pigeon, Grand Cul-de-Sac Marin reservesSparisoma aurofrenatusbiomassden4.65384782322533Kopp2010</v>
      </c>
    </row>
    <row r="1682" spans="1:49" ht="14.5" x14ac:dyDescent="0.35">
      <c r="A1682" s="12">
        <v>1681</v>
      </c>
      <c r="B1682" s="12" t="s">
        <v>992</v>
      </c>
      <c r="C1682" s="12" t="s">
        <v>993</v>
      </c>
      <c r="D1682" s="12" t="s">
        <v>2593</v>
      </c>
      <c r="E1682" s="12" t="s">
        <v>68</v>
      </c>
      <c r="F1682" s="13" t="s">
        <v>50</v>
      </c>
      <c r="G1682" s="13" t="s">
        <v>51</v>
      </c>
      <c r="H1682" s="13" t="s">
        <v>108</v>
      </c>
      <c r="I1682" s="13" t="s">
        <v>156</v>
      </c>
      <c r="J1682" s="14">
        <v>25</v>
      </c>
      <c r="K1682" s="17"/>
      <c r="L1682" s="14" t="s">
        <v>921</v>
      </c>
      <c r="M1682" s="14"/>
      <c r="N1682" s="14" t="s">
        <v>85</v>
      </c>
      <c r="O1682" s="17" t="s">
        <v>70</v>
      </c>
      <c r="P1682" s="14"/>
      <c r="Q1682" s="14"/>
      <c r="R1682" s="14"/>
      <c r="S1682" s="14">
        <v>0.97297299999999998</v>
      </c>
      <c r="T1682" s="14">
        <v>0.81081099999999995</v>
      </c>
      <c r="U1682" s="19">
        <f t="shared" si="112"/>
        <v>0.83333350462962485</v>
      </c>
      <c r="V1682" s="41">
        <f t="shared" si="115"/>
        <v>-16.666649537037515</v>
      </c>
      <c r="W1682" s="14"/>
      <c r="X1682" s="14" t="s">
        <v>58</v>
      </c>
      <c r="Y1682" s="14">
        <v>40</v>
      </c>
      <c r="Z1682" s="14" t="s">
        <v>56</v>
      </c>
      <c r="AA1682" s="14"/>
      <c r="AB1682" s="14" t="s">
        <v>57</v>
      </c>
      <c r="AC1682" s="14">
        <v>2004</v>
      </c>
      <c r="AD1682" s="14">
        <v>0</v>
      </c>
      <c r="AE1682" s="14"/>
      <c r="AF1682" s="14"/>
      <c r="AG1682" s="14">
        <v>1987</v>
      </c>
      <c r="AH1682" s="14">
        <f t="shared" si="113"/>
        <v>17</v>
      </c>
      <c r="AI1682" s="17">
        <f t="shared" si="114"/>
        <v>17</v>
      </c>
      <c r="AJ1682" s="14"/>
      <c r="AK1682" s="14" t="s">
        <v>56</v>
      </c>
      <c r="AL1682" s="13" t="s">
        <v>994</v>
      </c>
      <c r="AM1682" s="14">
        <v>2010</v>
      </c>
      <c r="AN1682" s="12" t="s">
        <v>685</v>
      </c>
      <c r="AO1682" s="12" t="s">
        <v>56</v>
      </c>
      <c r="AP1682" s="12"/>
      <c r="AQ1682" s="12" t="s">
        <v>56</v>
      </c>
      <c r="AR1682" s="12" t="s">
        <v>58</v>
      </c>
      <c r="AS1682" s="12" t="s">
        <v>62</v>
      </c>
      <c r="AT1682" s="12"/>
      <c r="AU1682" s="45" t="s">
        <v>2594</v>
      </c>
      <c r="AV1682" s="15"/>
      <c r="AW1682" s="12" t="str">
        <f>B1682&amp;C1682&amp;L1682&amp;M1682&amp;O1682&amp;U1682&amp;AL1682&amp;AM1682</f>
        <v>GuadeloupeIllets Pigeon, Grand Cul-de-Sac Marin reservesSparisoma chrysopterumbiomassden0.833333504629625Kopp2010</v>
      </c>
    </row>
    <row r="1683" spans="1:49" ht="14.5" x14ac:dyDescent="0.35">
      <c r="A1683" s="12">
        <v>1682</v>
      </c>
      <c r="B1683" s="15" t="s">
        <v>992</v>
      </c>
      <c r="C1683" s="12" t="s">
        <v>993</v>
      </c>
      <c r="D1683" s="12" t="s">
        <v>2593</v>
      </c>
      <c r="E1683" s="15" t="s">
        <v>68</v>
      </c>
      <c r="F1683" s="13" t="s">
        <v>50</v>
      </c>
      <c r="G1683" s="13" t="s">
        <v>51</v>
      </c>
      <c r="H1683" s="16" t="s">
        <v>108</v>
      </c>
      <c r="I1683" s="16" t="s">
        <v>156</v>
      </c>
      <c r="J1683" s="17">
        <v>25</v>
      </c>
      <c r="K1683" s="17"/>
      <c r="L1683" s="17" t="s">
        <v>922</v>
      </c>
      <c r="M1683" s="17"/>
      <c r="N1683" s="14" t="s">
        <v>85</v>
      </c>
      <c r="O1683" s="17" t="s">
        <v>70</v>
      </c>
      <c r="P1683" s="17"/>
      <c r="Q1683" s="17"/>
      <c r="R1683" s="17"/>
      <c r="S1683" s="17">
        <v>1.513514</v>
      </c>
      <c r="T1683" s="17">
        <v>1.8918919999999999</v>
      </c>
      <c r="U1683" s="20">
        <f t="shared" si="112"/>
        <v>1.2499996696429632</v>
      </c>
      <c r="V1683" s="41">
        <f t="shared" si="115"/>
        <v>24.999966964296316</v>
      </c>
      <c r="W1683" s="17"/>
      <c r="X1683" s="17" t="s">
        <v>58</v>
      </c>
      <c r="Y1683" s="14">
        <v>40</v>
      </c>
      <c r="Z1683" s="17" t="s">
        <v>56</v>
      </c>
      <c r="AA1683" s="17"/>
      <c r="AB1683" s="17" t="s">
        <v>57</v>
      </c>
      <c r="AC1683" s="17">
        <v>2004</v>
      </c>
      <c r="AD1683" s="17">
        <v>0</v>
      </c>
      <c r="AE1683" s="17"/>
      <c r="AF1683" s="17"/>
      <c r="AG1683" s="14">
        <v>1987</v>
      </c>
      <c r="AH1683" s="14">
        <f t="shared" si="113"/>
        <v>17</v>
      </c>
      <c r="AI1683" s="17">
        <f t="shared" si="114"/>
        <v>17</v>
      </c>
      <c r="AJ1683" s="17"/>
      <c r="AK1683" s="17" t="s">
        <v>56</v>
      </c>
      <c r="AL1683" s="16" t="s">
        <v>994</v>
      </c>
      <c r="AM1683" s="17">
        <v>2010</v>
      </c>
      <c r="AN1683" s="15" t="s">
        <v>685</v>
      </c>
      <c r="AO1683" s="15" t="s">
        <v>56</v>
      </c>
      <c r="AP1683" s="15"/>
      <c r="AQ1683" s="15" t="s">
        <v>56</v>
      </c>
      <c r="AR1683" s="15" t="s">
        <v>58</v>
      </c>
      <c r="AS1683" s="15" t="s">
        <v>62</v>
      </c>
      <c r="AT1683" s="15"/>
      <c r="AU1683" s="45" t="s">
        <v>2594</v>
      </c>
      <c r="AV1683" s="15"/>
      <c r="AW1683" s="12" t="str">
        <f>B1683&amp;C1683&amp;L1683&amp;M1683&amp;O1683&amp;U1683&amp;AL1683&amp;AM1683</f>
        <v>GuadeloupeIllets Pigeon, Grand Cul-de-Sac Marin reservesSparisoma rubripinnebiomassden1.24999966964296Kopp2010</v>
      </c>
    </row>
    <row r="1684" spans="1:49" ht="14.5" x14ac:dyDescent="0.35">
      <c r="A1684" s="12">
        <v>1683</v>
      </c>
      <c r="B1684" s="15" t="s">
        <v>992</v>
      </c>
      <c r="C1684" s="12" t="s">
        <v>993</v>
      </c>
      <c r="D1684" s="12" t="s">
        <v>2593</v>
      </c>
      <c r="E1684" s="15" t="s">
        <v>68</v>
      </c>
      <c r="F1684" s="13" t="s">
        <v>50</v>
      </c>
      <c r="G1684" s="13" t="s">
        <v>51</v>
      </c>
      <c r="H1684" s="16" t="s">
        <v>108</v>
      </c>
      <c r="I1684" s="16" t="s">
        <v>156</v>
      </c>
      <c r="J1684" s="17">
        <v>25</v>
      </c>
      <c r="K1684" s="17"/>
      <c r="L1684" s="17" t="s">
        <v>917</v>
      </c>
      <c r="M1684" s="17"/>
      <c r="N1684" s="14" t="s">
        <v>85</v>
      </c>
      <c r="O1684" s="17" t="s">
        <v>70</v>
      </c>
      <c r="P1684" s="17"/>
      <c r="Q1684" s="17"/>
      <c r="R1684" s="17"/>
      <c r="S1684" s="17">
        <v>1.783784</v>
      </c>
      <c r="T1684" s="17">
        <v>13.89189</v>
      </c>
      <c r="U1684" s="20">
        <f t="shared" si="112"/>
        <v>7.7878767832876621</v>
      </c>
      <c r="V1684" s="41">
        <f t="shared" si="115"/>
        <v>678.78767832876622</v>
      </c>
      <c r="W1684" s="17"/>
      <c r="X1684" s="17" t="s">
        <v>58</v>
      </c>
      <c r="Y1684" s="14">
        <v>40</v>
      </c>
      <c r="Z1684" s="17" t="s">
        <v>56</v>
      </c>
      <c r="AA1684" s="17"/>
      <c r="AB1684" s="17" t="s">
        <v>57</v>
      </c>
      <c r="AC1684" s="17">
        <v>2004</v>
      </c>
      <c r="AD1684" s="17">
        <v>0</v>
      </c>
      <c r="AE1684" s="17"/>
      <c r="AF1684" s="17"/>
      <c r="AG1684" s="14">
        <v>1987</v>
      </c>
      <c r="AH1684" s="14">
        <f t="shared" si="113"/>
        <v>17</v>
      </c>
      <c r="AI1684" s="17">
        <f t="shared" si="114"/>
        <v>17</v>
      </c>
      <c r="AJ1684" s="17"/>
      <c r="AK1684" s="17" t="s">
        <v>56</v>
      </c>
      <c r="AL1684" s="16" t="s">
        <v>994</v>
      </c>
      <c r="AM1684" s="17">
        <v>2010</v>
      </c>
      <c r="AN1684" s="15" t="s">
        <v>685</v>
      </c>
      <c r="AO1684" s="15" t="s">
        <v>56</v>
      </c>
      <c r="AP1684" s="15"/>
      <c r="AQ1684" s="15" t="s">
        <v>56</v>
      </c>
      <c r="AR1684" s="15" t="s">
        <v>58</v>
      </c>
      <c r="AS1684" s="15" t="s">
        <v>62</v>
      </c>
      <c r="AT1684" s="15"/>
      <c r="AU1684" s="45" t="s">
        <v>2594</v>
      </c>
      <c r="AV1684" s="15"/>
      <c r="AW1684" s="12" t="str">
        <f>B1684&amp;C1684&amp;L1684&amp;M1684&amp;O1684&amp;U1684&amp;AL1684&amp;AM1684</f>
        <v>GuadeloupeIllets Pigeon, Grand Cul-de-Sac Marin reservesSparisoma viridebiomassden7.78787678328766Kopp2010</v>
      </c>
    </row>
    <row r="1685" spans="1:49" ht="14.5" x14ac:dyDescent="0.35">
      <c r="A1685" s="12">
        <v>1684</v>
      </c>
      <c r="B1685" s="12" t="s">
        <v>992</v>
      </c>
      <c r="C1685" s="12" t="s">
        <v>993</v>
      </c>
      <c r="D1685" s="12" t="s">
        <v>2593</v>
      </c>
      <c r="E1685" s="12" t="s">
        <v>68</v>
      </c>
      <c r="F1685" s="13" t="s">
        <v>50</v>
      </c>
      <c r="G1685" s="13" t="s">
        <v>51</v>
      </c>
      <c r="H1685" s="13" t="s">
        <v>108</v>
      </c>
      <c r="I1685" s="13" t="s">
        <v>156</v>
      </c>
      <c r="J1685" s="14">
        <v>25</v>
      </c>
      <c r="K1685" s="17"/>
      <c r="L1685" s="14" t="s">
        <v>997</v>
      </c>
      <c r="M1685" s="14"/>
      <c r="N1685" s="14" t="s">
        <v>85</v>
      </c>
      <c r="O1685" s="17" t="s">
        <v>70</v>
      </c>
      <c r="P1685" s="14"/>
      <c r="Q1685" s="14"/>
      <c r="R1685" s="14"/>
      <c r="S1685" s="14">
        <v>3.5675680000000001</v>
      </c>
      <c r="T1685" s="14">
        <v>8.6486490000000007</v>
      </c>
      <c r="U1685" s="19">
        <f t="shared" si="112"/>
        <v>2.4242422288797298</v>
      </c>
      <c r="V1685" s="41">
        <f t="shared" si="115"/>
        <v>142.42422288797297</v>
      </c>
      <c r="W1685" s="14"/>
      <c r="X1685" s="14" t="s">
        <v>58</v>
      </c>
      <c r="Y1685" s="14">
        <v>40</v>
      </c>
      <c r="Z1685" s="14" t="s">
        <v>56</v>
      </c>
      <c r="AA1685" s="14"/>
      <c r="AB1685" s="14" t="s">
        <v>57</v>
      </c>
      <c r="AC1685" s="14">
        <v>2004</v>
      </c>
      <c r="AD1685" s="14">
        <v>0</v>
      </c>
      <c r="AE1685" s="14"/>
      <c r="AF1685" s="14"/>
      <c r="AG1685" s="14">
        <v>1987</v>
      </c>
      <c r="AH1685" s="14">
        <f t="shared" si="113"/>
        <v>17</v>
      </c>
      <c r="AI1685" s="17">
        <f t="shared" si="114"/>
        <v>17</v>
      </c>
      <c r="AJ1685" s="14"/>
      <c r="AK1685" s="14" t="s">
        <v>56</v>
      </c>
      <c r="AL1685" s="13" t="s">
        <v>994</v>
      </c>
      <c r="AM1685" s="14">
        <v>2010</v>
      </c>
      <c r="AN1685" s="12" t="s">
        <v>685</v>
      </c>
      <c r="AO1685" s="12" t="s">
        <v>56</v>
      </c>
      <c r="AP1685" s="12"/>
      <c r="AQ1685" s="12" t="s">
        <v>56</v>
      </c>
      <c r="AR1685" s="12" t="s">
        <v>58</v>
      </c>
      <c r="AS1685" s="12" t="s">
        <v>62</v>
      </c>
      <c r="AT1685" s="12"/>
      <c r="AU1685" s="45" t="s">
        <v>2594</v>
      </c>
      <c r="AV1685" s="15"/>
      <c r="AW1685" s="12" t="str">
        <f>B1685&amp;C1685&amp;L1685&amp;M1685&amp;O1685&amp;U1685&amp;AL1685&amp;AM1685</f>
        <v>GuadeloupeIllets Pigeon, Grand Cul-de-Sac Marin reservesAcanthurus bahianusbiomassden2.42424222887973Kopp2010</v>
      </c>
    </row>
    <row r="1686" spans="1:49" ht="14.5" x14ac:dyDescent="0.35">
      <c r="A1686" s="12">
        <v>1685</v>
      </c>
      <c r="B1686" s="15" t="s">
        <v>992</v>
      </c>
      <c r="C1686" s="12" t="s">
        <v>993</v>
      </c>
      <c r="D1686" s="12" t="s">
        <v>2593</v>
      </c>
      <c r="E1686" s="15" t="s">
        <v>68</v>
      </c>
      <c r="F1686" s="13" t="s">
        <v>50</v>
      </c>
      <c r="G1686" s="13" t="s">
        <v>51</v>
      </c>
      <c r="H1686" s="16" t="s">
        <v>108</v>
      </c>
      <c r="I1686" s="16" t="s">
        <v>156</v>
      </c>
      <c r="J1686" s="17">
        <v>25</v>
      </c>
      <c r="K1686" s="17"/>
      <c r="L1686" s="17" t="s">
        <v>998</v>
      </c>
      <c r="M1686" s="17"/>
      <c r="N1686" s="14" t="s">
        <v>85</v>
      </c>
      <c r="O1686" s="17" t="s">
        <v>70</v>
      </c>
      <c r="P1686" s="17"/>
      <c r="Q1686" s="17"/>
      <c r="R1686" s="17"/>
      <c r="S1686" s="17">
        <v>6.9729729999999996</v>
      </c>
      <c r="T1686" s="17">
        <v>1.6756759999999999</v>
      </c>
      <c r="U1686" s="20">
        <f t="shared" si="112"/>
        <v>0.24031012309957317</v>
      </c>
      <c r="V1686" s="41">
        <f t="shared" si="115"/>
        <v>-75.968987690042681</v>
      </c>
      <c r="W1686" s="17"/>
      <c r="X1686" s="17" t="s">
        <v>58</v>
      </c>
      <c r="Y1686" s="14">
        <v>40</v>
      </c>
      <c r="Z1686" s="17" t="s">
        <v>56</v>
      </c>
      <c r="AA1686" s="17"/>
      <c r="AB1686" s="17" t="s">
        <v>57</v>
      </c>
      <c r="AC1686" s="17">
        <v>2004</v>
      </c>
      <c r="AD1686" s="17">
        <v>0</v>
      </c>
      <c r="AE1686" s="17"/>
      <c r="AF1686" s="17"/>
      <c r="AG1686" s="14">
        <v>1987</v>
      </c>
      <c r="AH1686" s="14">
        <f t="shared" si="113"/>
        <v>17</v>
      </c>
      <c r="AI1686" s="17">
        <f t="shared" si="114"/>
        <v>17</v>
      </c>
      <c r="AJ1686" s="17"/>
      <c r="AK1686" s="17" t="s">
        <v>56</v>
      </c>
      <c r="AL1686" s="16" t="s">
        <v>994</v>
      </c>
      <c r="AM1686" s="17">
        <v>2010</v>
      </c>
      <c r="AN1686" s="15" t="s">
        <v>685</v>
      </c>
      <c r="AO1686" s="15" t="s">
        <v>56</v>
      </c>
      <c r="AP1686" s="15"/>
      <c r="AQ1686" s="15" t="s">
        <v>56</v>
      </c>
      <c r="AR1686" s="15" t="s">
        <v>58</v>
      </c>
      <c r="AS1686" s="15" t="s">
        <v>62</v>
      </c>
      <c r="AT1686" s="15"/>
      <c r="AU1686" s="45" t="s">
        <v>2594</v>
      </c>
      <c r="AV1686" s="15"/>
      <c r="AW1686" s="12" t="str">
        <f>B1686&amp;C1686&amp;L1686&amp;M1686&amp;O1686&amp;U1686&amp;AL1686&amp;AM1686</f>
        <v>GuadeloupeIllets Pigeon, Grand Cul-de-Sac Marin reservesAcanthurus chirurgusbiomassden0.240310123099573Kopp2010</v>
      </c>
    </row>
    <row r="1687" spans="1:49" ht="14.5" x14ac:dyDescent="0.35">
      <c r="A1687" s="12">
        <v>1686</v>
      </c>
      <c r="B1687" s="15" t="s">
        <v>992</v>
      </c>
      <c r="C1687" s="15" t="s">
        <v>993</v>
      </c>
      <c r="D1687" s="15" t="s">
        <v>2593</v>
      </c>
      <c r="E1687" s="15" t="s">
        <v>68</v>
      </c>
      <c r="F1687" s="13" t="s">
        <v>50</v>
      </c>
      <c r="G1687" s="13" t="s">
        <v>51</v>
      </c>
      <c r="H1687" s="16" t="s">
        <v>108</v>
      </c>
      <c r="I1687" s="16" t="s">
        <v>156</v>
      </c>
      <c r="J1687" s="17">
        <v>25</v>
      </c>
      <c r="K1687" s="17"/>
      <c r="L1687" s="17" t="s">
        <v>999</v>
      </c>
      <c r="M1687" s="17"/>
      <c r="N1687" s="14" t="s">
        <v>85</v>
      </c>
      <c r="O1687" s="17" t="s">
        <v>70</v>
      </c>
      <c r="P1687" s="17"/>
      <c r="Q1687" s="17"/>
      <c r="R1687" s="17"/>
      <c r="S1687" s="17">
        <v>10.48649</v>
      </c>
      <c r="T1687" s="17">
        <v>7.1891889999999998</v>
      </c>
      <c r="U1687" s="20">
        <f t="shared" si="112"/>
        <v>0.68556676256783733</v>
      </c>
      <c r="V1687" s="41">
        <f t="shared" si="115"/>
        <v>-31.443323743216268</v>
      </c>
      <c r="W1687" s="17"/>
      <c r="X1687" s="17" t="s">
        <v>58</v>
      </c>
      <c r="Y1687" s="14">
        <v>40</v>
      </c>
      <c r="Z1687" s="17" t="s">
        <v>56</v>
      </c>
      <c r="AA1687" s="17"/>
      <c r="AB1687" s="17" t="s">
        <v>57</v>
      </c>
      <c r="AC1687" s="17">
        <v>2004</v>
      </c>
      <c r="AD1687" s="17">
        <v>0</v>
      </c>
      <c r="AE1687" s="17"/>
      <c r="AF1687" s="17"/>
      <c r="AG1687" s="17">
        <v>1987</v>
      </c>
      <c r="AH1687" s="14">
        <f t="shared" si="113"/>
        <v>17</v>
      </c>
      <c r="AI1687" s="17">
        <f t="shared" si="114"/>
        <v>17</v>
      </c>
      <c r="AJ1687" s="17"/>
      <c r="AK1687" s="17" t="s">
        <v>56</v>
      </c>
      <c r="AL1687" s="16" t="s">
        <v>994</v>
      </c>
      <c r="AM1687" s="17">
        <v>2010</v>
      </c>
      <c r="AN1687" s="15" t="s">
        <v>685</v>
      </c>
      <c r="AO1687" s="15" t="s">
        <v>56</v>
      </c>
      <c r="AP1687" s="15"/>
      <c r="AQ1687" s="15" t="s">
        <v>56</v>
      </c>
      <c r="AR1687" s="15" t="s">
        <v>58</v>
      </c>
      <c r="AS1687" s="15" t="s">
        <v>62</v>
      </c>
      <c r="AT1687" s="15"/>
      <c r="AU1687" s="45" t="s">
        <v>2594</v>
      </c>
      <c r="AV1687" s="15"/>
      <c r="AW1687" s="12" t="str">
        <f>B1687&amp;C1687&amp;L1687&amp;M1687&amp;O1687&amp;U1687&amp;AL1687&amp;AM1687</f>
        <v>GuadeloupeIllets Pigeon, Grand Cul-de-Sac Marin reservesAcanthurus coeruleusbiomassden0.685566762567837Kopp2010</v>
      </c>
    </row>
    <row r="1688" spans="1:49" ht="14.5" x14ac:dyDescent="0.35">
      <c r="A1688" s="12">
        <v>1687</v>
      </c>
      <c r="B1688" s="15" t="s">
        <v>992</v>
      </c>
      <c r="C1688" s="15" t="s">
        <v>993</v>
      </c>
      <c r="D1688" s="15" t="s">
        <v>2593</v>
      </c>
      <c r="E1688" s="15" t="s">
        <v>68</v>
      </c>
      <c r="F1688" s="13" t="s">
        <v>50</v>
      </c>
      <c r="G1688" s="13" t="s">
        <v>51</v>
      </c>
      <c r="H1688" s="16" t="s">
        <v>108</v>
      </c>
      <c r="I1688" s="16" t="s">
        <v>156</v>
      </c>
      <c r="J1688" s="17">
        <v>25</v>
      </c>
      <c r="K1688" s="17"/>
      <c r="L1688" s="17" t="s">
        <v>997</v>
      </c>
      <c r="M1688" s="17"/>
      <c r="N1688" s="14" t="s">
        <v>85</v>
      </c>
      <c r="O1688" s="17" t="s">
        <v>104</v>
      </c>
      <c r="P1688" s="17" t="s">
        <v>568</v>
      </c>
      <c r="Q1688" s="17"/>
      <c r="R1688" s="17"/>
      <c r="S1688" s="17">
        <v>12.80303</v>
      </c>
      <c r="T1688" s="17">
        <v>14.859439999999999</v>
      </c>
      <c r="U1688" s="20">
        <f t="shared" si="112"/>
        <v>1.1606190097187932</v>
      </c>
      <c r="V1688" s="41">
        <f t="shared" si="115"/>
        <v>16.061900971879318</v>
      </c>
      <c r="W1688" s="17"/>
      <c r="X1688" s="17" t="s">
        <v>58</v>
      </c>
      <c r="Y1688" s="14">
        <v>40</v>
      </c>
      <c r="Z1688" s="17" t="s">
        <v>56</v>
      </c>
      <c r="AA1688" s="17"/>
      <c r="AB1688" s="17" t="s">
        <v>57</v>
      </c>
      <c r="AC1688" s="17">
        <v>2004</v>
      </c>
      <c r="AD1688" s="17">
        <v>0</v>
      </c>
      <c r="AE1688" s="17"/>
      <c r="AF1688" s="17"/>
      <c r="AG1688" s="17">
        <v>1987</v>
      </c>
      <c r="AH1688" s="14">
        <f t="shared" si="113"/>
        <v>17</v>
      </c>
      <c r="AI1688" s="17">
        <f t="shared" si="114"/>
        <v>17</v>
      </c>
      <c r="AJ1688" s="17"/>
      <c r="AK1688" s="17" t="s">
        <v>56</v>
      </c>
      <c r="AL1688" s="16" t="s">
        <v>994</v>
      </c>
      <c r="AM1688" s="17">
        <v>2010</v>
      </c>
      <c r="AN1688" s="15" t="s">
        <v>685</v>
      </c>
      <c r="AO1688" s="15" t="s">
        <v>56</v>
      </c>
      <c r="AP1688" s="15"/>
      <c r="AQ1688" s="15" t="s">
        <v>56</v>
      </c>
      <c r="AR1688" s="15" t="s">
        <v>58</v>
      </c>
      <c r="AS1688" s="15" t="s">
        <v>62</v>
      </c>
      <c r="AT1688" s="15"/>
      <c r="AU1688" s="45" t="s">
        <v>2594</v>
      </c>
      <c r="AV1688" s="15"/>
      <c r="AW1688" s="12" t="str">
        <f>B1688&amp;C1688&amp;L1688&amp;M1688&amp;O1688&amp;U1688&amp;AL1688&amp;AM1688</f>
        <v>GuadeloupeIllets Pigeon, Grand Cul-de-Sac Marin reservesAcanthurus bahianussize1.16061900971879Kopp2010</v>
      </c>
    </row>
    <row r="1689" spans="1:49" ht="14.5" x14ac:dyDescent="0.35">
      <c r="A1689" s="12">
        <v>1688</v>
      </c>
      <c r="B1689" s="15" t="s">
        <v>992</v>
      </c>
      <c r="C1689" s="15" t="s">
        <v>993</v>
      </c>
      <c r="D1689" s="15" t="s">
        <v>2593</v>
      </c>
      <c r="E1689" s="15" t="s">
        <v>68</v>
      </c>
      <c r="F1689" s="13" t="s">
        <v>50</v>
      </c>
      <c r="G1689" s="13" t="s">
        <v>51</v>
      </c>
      <c r="H1689" s="16" t="s">
        <v>108</v>
      </c>
      <c r="I1689" s="16" t="s">
        <v>156</v>
      </c>
      <c r="J1689" s="17">
        <v>25</v>
      </c>
      <c r="K1689" s="17"/>
      <c r="L1689" s="17" t="s">
        <v>998</v>
      </c>
      <c r="M1689" s="17"/>
      <c r="N1689" s="14" t="s">
        <v>85</v>
      </c>
      <c r="O1689" s="17" t="s">
        <v>104</v>
      </c>
      <c r="P1689" s="17" t="s">
        <v>568</v>
      </c>
      <c r="Q1689" s="17"/>
      <c r="R1689" s="17"/>
      <c r="S1689" s="17">
        <v>19.195049999999998</v>
      </c>
      <c r="T1689" s="17">
        <v>16.393940000000001</v>
      </c>
      <c r="U1689" s="20">
        <f t="shared" si="112"/>
        <v>0.85407123190614254</v>
      </c>
      <c r="V1689" s="41">
        <f t="shared" si="115"/>
        <v>-14.592876809385746</v>
      </c>
      <c r="W1689" s="17"/>
      <c r="X1689" s="17" t="s">
        <v>58</v>
      </c>
      <c r="Y1689" s="14">
        <v>40</v>
      </c>
      <c r="Z1689" s="17" t="s">
        <v>56</v>
      </c>
      <c r="AA1689" s="17"/>
      <c r="AB1689" s="17" t="s">
        <v>57</v>
      </c>
      <c r="AC1689" s="17">
        <v>2004</v>
      </c>
      <c r="AD1689" s="17">
        <v>0</v>
      </c>
      <c r="AE1689" s="17"/>
      <c r="AF1689" s="17"/>
      <c r="AG1689" s="17">
        <v>1987</v>
      </c>
      <c r="AH1689" s="14">
        <f t="shared" si="113"/>
        <v>17</v>
      </c>
      <c r="AI1689" s="17">
        <f t="shared" si="114"/>
        <v>17</v>
      </c>
      <c r="AJ1689" s="17"/>
      <c r="AK1689" s="17" t="s">
        <v>56</v>
      </c>
      <c r="AL1689" s="16" t="s">
        <v>994</v>
      </c>
      <c r="AM1689" s="17">
        <v>2010</v>
      </c>
      <c r="AN1689" s="15" t="s">
        <v>685</v>
      </c>
      <c r="AO1689" s="15" t="s">
        <v>56</v>
      </c>
      <c r="AP1689" s="15"/>
      <c r="AQ1689" s="15" t="s">
        <v>56</v>
      </c>
      <c r="AR1689" s="15" t="s">
        <v>58</v>
      </c>
      <c r="AS1689" s="15" t="s">
        <v>62</v>
      </c>
      <c r="AT1689" s="15"/>
      <c r="AU1689" s="45" t="s">
        <v>2594</v>
      </c>
      <c r="AV1689" s="15"/>
      <c r="AW1689" s="12" t="str">
        <f>B1689&amp;C1689&amp;L1689&amp;M1689&amp;O1689&amp;U1689&amp;AL1689&amp;AM1689</f>
        <v>GuadeloupeIllets Pigeon, Grand Cul-de-Sac Marin reservesAcanthurus chirurgussize0.854071231906143Kopp2010</v>
      </c>
    </row>
    <row r="1690" spans="1:49" ht="14.5" x14ac:dyDescent="0.35">
      <c r="A1690" s="12">
        <v>1689</v>
      </c>
      <c r="B1690" s="12" t="s">
        <v>992</v>
      </c>
      <c r="C1690" s="15" t="s">
        <v>993</v>
      </c>
      <c r="D1690" s="15" t="s">
        <v>2593</v>
      </c>
      <c r="E1690" s="12" t="s">
        <v>68</v>
      </c>
      <c r="F1690" s="13" t="s">
        <v>50</v>
      </c>
      <c r="G1690" s="13" t="s">
        <v>51</v>
      </c>
      <c r="H1690" s="13" t="s">
        <v>108</v>
      </c>
      <c r="I1690" s="13" t="s">
        <v>156</v>
      </c>
      <c r="J1690" s="17">
        <v>25</v>
      </c>
      <c r="K1690" s="17"/>
      <c r="L1690" s="14" t="s">
        <v>999</v>
      </c>
      <c r="M1690" s="14"/>
      <c r="N1690" s="14" t="s">
        <v>85</v>
      </c>
      <c r="O1690" s="17" t="s">
        <v>104</v>
      </c>
      <c r="P1690" s="14" t="s">
        <v>568</v>
      </c>
      <c r="Q1690" s="14"/>
      <c r="R1690" s="14"/>
      <c r="S1690" s="14">
        <v>15.98039</v>
      </c>
      <c r="T1690" s="14">
        <v>15.90517</v>
      </c>
      <c r="U1690" s="19">
        <f t="shared" si="112"/>
        <v>0.9952929809597888</v>
      </c>
      <c r="V1690" s="41">
        <f t="shared" si="115"/>
        <v>-0.47070190402112022</v>
      </c>
      <c r="W1690" s="14"/>
      <c r="X1690" s="14" t="s">
        <v>58</v>
      </c>
      <c r="Y1690" s="14">
        <v>40</v>
      </c>
      <c r="Z1690" s="14" t="s">
        <v>56</v>
      </c>
      <c r="AA1690" s="14"/>
      <c r="AB1690" s="14" t="s">
        <v>57</v>
      </c>
      <c r="AC1690" s="14">
        <v>2004</v>
      </c>
      <c r="AD1690" s="14">
        <v>0</v>
      </c>
      <c r="AE1690" s="14"/>
      <c r="AF1690" s="14"/>
      <c r="AG1690" s="14">
        <v>1987</v>
      </c>
      <c r="AH1690" s="14">
        <f t="shared" si="113"/>
        <v>17</v>
      </c>
      <c r="AI1690" s="17">
        <f t="shared" si="114"/>
        <v>17</v>
      </c>
      <c r="AJ1690" s="14"/>
      <c r="AK1690" s="14" t="s">
        <v>56</v>
      </c>
      <c r="AL1690" s="13" t="s">
        <v>994</v>
      </c>
      <c r="AM1690" s="14">
        <v>2010</v>
      </c>
      <c r="AN1690" s="12" t="s">
        <v>685</v>
      </c>
      <c r="AO1690" s="12" t="s">
        <v>56</v>
      </c>
      <c r="AP1690" s="12"/>
      <c r="AQ1690" s="12" t="s">
        <v>56</v>
      </c>
      <c r="AR1690" s="12" t="s">
        <v>58</v>
      </c>
      <c r="AS1690" s="12" t="s">
        <v>62</v>
      </c>
      <c r="AT1690" s="12"/>
      <c r="AU1690" s="45" t="s">
        <v>2594</v>
      </c>
      <c r="AV1690" s="15"/>
      <c r="AW1690" s="12" t="str">
        <f>B1690&amp;C1690&amp;L1690&amp;M1690&amp;O1690&amp;U1690&amp;AL1690&amp;AM1690</f>
        <v>GuadeloupeIllets Pigeon, Grand Cul-de-Sac Marin reservesAcanthurus coeruleussize0.995292980959789Kopp2010</v>
      </c>
    </row>
    <row r="1691" spans="1:49" ht="14.5" x14ac:dyDescent="0.35">
      <c r="A1691" s="12">
        <v>1690</v>
      </c>
      <c r="B1691" s="12" t="s">
        <v>992</v>
      </c>
      <c r="C1691" s="15" t="s">
        <v>993</v>
      </c>
      <c r="D1691" s="15" t="s">
        <v>2593</v>
      </c>
      <c r="E1691" s="12" t="s">
        <v>68</v>
      </c>
      <c r="F1691" s="13" t="s">
        <v>50</v>
      </c>
      <c r="G1691" s="13" t="s">
        <v>51</v>
      </c>
      <c r="H1691" s="13" t="s">
        <v>108</v>
      </c>
      <c r="I1691" s="13" t="s">
        <v>156</v>
      </c>
      <c r="J1691" s="17">
        <v>25</v>
      </c>
      <c r="K1691" s="17"/>
      <c r="L1691" s="14" t="s">
        <v>923</v>
      </c>
      <c r="M1691" s="14"/>
      <c r="N1691" s="14" t="s">
        <v>85</v>
      </c>
      <c r="O1691" s="17" t="s">
        <v>104</v>
      </c>
      <c r="P1691" s="14" t="s">
        <v>568</v>
      </c>
      <c r="Q1691" s="14"/>
      <c r="R1691" s="14"/>
      <c r="S1691" s="14">
        <v>14.241490000000001</v>
      </c>
      <c r="T1691" s="14">
        <v>14.498340000000001</v>
      </c>
      <c r="U1691" s="19">
        <f t="shared" si="112"/>
        <v>1.0180353319772018</v>
      </c>
      <c r="V1691" s="41">
        <f t="shared" si="115"/>
        <v>1.8035331977201752</v>
      </c>
      <c r="W1691" s="14"/>
      <c r="X1691" s="14" t="s">
        <v>58</v>
      </c>
      <c r="Y1691" s="14">
        <v>40</v>
      </c>
      <c r="Z1691" s="14" t="s">
        <v>56</v>
      </c>
      <c r="AA1691" s="14"/>
      <c r="AB1691" s="14" t="s">
        <v>57</v>
      </c>
      <c r="AC1691" s="14">
        <v>2004</v>
      </c>
      <c r="AD1691" s="14">
        <v>0</v>
      </c>
      <c r="AE1691" s="14"/>
      <c r="AF1691" s="14"/>
      <c r="AG1691" s="14">
        <v>1987</v>
      </c>
      <c r="AH1691" s="14">
        <f t="shared" si="113"/>
        <v>17</v>
      </c>
      <c r="AI1691" s="17">
        <f t="shared" si="114"/>
        <v>17</v>
      </c>
      <c r="AJ1691" s="14"/>
      <c r="AK1691" s="14" t="s">
        <v>56</v>
      </c>
      <c r="AL1691" s="13" t="s">
        <v>994</v>
      </c>
      <c r="AM1691" s="14">
        <v>2010</v>
      </c>
      <c r="AN1691" s="12" t="s">
        <v>685</v>
      </c>
      <c r="AO1691" s="12" t="s">
        <v>56</v>
      </c>
      <c r="AP1691" s="12"/>
      <c r="AQ1691" s="12" t="s">
        <v>56</v>
      </c>
      <c r="AR1691" s="12" t="s">
        <v>58</v>
      </c>
      <c r="AS1691" s="12" t="s">
        <v>62</v>
      </c>
      <c r="AT1691" s="12"/>
      <c r="AU1691" s="45" t="s">
        <v>2594</v>
      </c>
      <c r="AV1691" s="15"/>
      <c r="AW1691" s="12" t="str">
        <f>B1691&amp;C1691&amp;L1691&amp;M1691&amp;O1691&amp;U1691&amp;AL1691&amp;AM1691</f>
        <v>GuadeloupeIllets Pigeon, Grand Cul-de-Sac Marin reservesScarus isertisize1.0180353319772Kopp2010</v>
      </c>
    </row>
    <row r="1692" spans="1:49" ht="14.5" x14ac:dyDescent="0.35">
      <c r="A1692" s="12">
        <v>1691</v>
      </c>
      <c r="B1692" s="12" t="s">
        <v>992</v>
      </c>
      <c r="C1692" s="15" t="s">
        <v>993</v>
      </c>
      <c r="D1692" s="15" t="s">
        <v>2593</v>
      </c>
      <c r="E1692" s="12" t="s">
        <v>68</v>
      </c>
      <c r="F1692" s="13" t="s">
        <v>50</v>
      </c>
      <c r="G1692" s="13" t="s">
        <v>51</v>
      </c>
      <c r="H1692" s="13" t="s">
        <v>108</v>
      </c>
      <c r="I1692" s="13" t="s">
        <v>156</v>
      </c>
      <c r="J1692" s="17">
        <v>25</v>
      </c>
      <c r="K1692" s="17"/>
      <c r="L1692" s="14" t="s">
        <v>924</v>
      </c>
      <c r="M1692" s="14"/>
      <c r="N1692" s="14" t="s">
        <v>85</v>
      </c>
      <c r="O1692" s="17" t="s">
        <v>104</v>
      </c>
      <c r="P1692" s="14" t="s">
        <v>568</v>
      </c>
      <c r="Q1692" s="14"/>
      <c r="R1692" s="14"/>
      <c r="S1692" s="14">
        <v>14.664630000000001</v>
      </c>
      <c r="T1692" s="14">
        <v>18.21285</v>
      </c>
      <c r="U1692" s="19">
        <f t="shared" si="112"/>
        <v>1.241957690033775</v>
      </c>
      <c r="V1692" s="41">
        <f t="shared" si="115"/>
        <v>24.195769003377499</v>
      </c>
      <c r="W1692" s="14"/>
      <c r="X1692" s="14" t="s">
        <v>58</v>
      </c>
      <c r="Y1692" s="14">
        <v>40</v>
      </c>
      <c r="Z1692" s="14" t="s">
        <v>56</v>
      </c>
      <c r="AA1692" s="14"/>
      <c r="AB1692" s="14" t="s">
        <v>57</v>
      </c>
      <c r="AC1692" s="14">
        <v>2004</v>
      </c>
      <c r="AD1692" s="14">
        <v>0</v>
      </c>
      <c r="AE1692" s="14"/>
      <c r="AF1692" s="14"/>
      <c r="AG1692" s="14">
        <v>1987</v>
      </c>
      <c r="AH1692" s="14">
        <f t="shared" si="113"/>
        <v>17</v>
      </c>
      <c r="AI1692" s="17">
        <f t="shared" si="114"/>
        <v>17</v>
      </c>
      <c r="AJ1692" s="14"/>
      <c r="AK1692" s="14" t="s">
        <v>56</v>
      </c>
      <c r="AL1692" s="13" t="s">
        <v>994</v>
      </c>
      <c r="AM1692" s="14">
        <v>2010</v>
      </c>
      <c r="AN1692" s="12" t="s">
        <v>685</v>
      </c>
      <c r="AO1692" s="12" t="s">
        <v>56</v>
      </c>
      <c r="AP1692" s="12"/>
      <c r="AQ1692" s="12" t="s">
        <v>56</v>
      </c>
      <c r="AR1692" s="12" t="s">
        <v>58</v>
      </c>
      <c r="AS1692" s="12" t="s">
        <v>62</v>
      </c>
      <c r="AT1692" s="12"/>
      <c r="AU1692" s="45" t="s">
        <v>2594</v>
      </c>
      <c r="AV1692" s="15"/>
      <c r="AW1692" s="12" t="str">
        <f>B1692&amp;C1692&amp;L1692&amp;M1692&amp;O1692&amp;U1692&amp;AL1692&amp;AM1692</f>
        <v>GuadeloupeIllets Pigeon, Grand Cul-de-Sac Marin reservesScarus taeniopterussize1.24195769003377Kopp2010</v>
      </c>
    </row>
    <row r="1693" spans="1:49" ht="14.5" x14ac:dyDescent="0.35">
      <c r="A1693" s="12">
        <v>1692</v>
      </c>
      <c r="B1693" s="15" t="s">
        <v>992</v>
      </c>
      <c r="C1693" s="15" t="s">
        <v>993</v>
      </c>
      <c r="D1693" s="15" t="s">
        <v>2593</v>
      </c>
      <c r="E1693" s="15" t="s">
        <v>68</v>
      </c>
      <c r="F1693" s="13" t="s">
        <v>50</v>
      </c>
      <c r="G1693" s="13" t="s">
        <v>51</v>
      </c>
      <c r="H1693" s="16" t="s">
        <v>108</v>
      </c>
      <c r="I1693" s="16" t="s">
        <v>156</v>
      </c>
      <c r="J1693" s="17">
        <v>25</v>
      </c>
      <c r="K1693" s="17"/>
      <c r="L1693" s="17" t="s">
        <v>995</v>
      </c>
      <c r="M1693" s="17"/>
      <c r="N1693" s="14" t="s">
        <v>85</v>
      </c>
      <c r="O1693" s="17" t="s">
        <v>104</v>
      </c>
      <c r="P1693" s="17" t="s">
        <v>568</v>
      </c>
      <c r="Q1693" s="17"/>
      <c r="R1693" s="17"/>
      <c r="S1693" s="17">
        <v>10.38462</v>
      </c>
      <c r="T1693" s="17">
        <v>31.265799999999999</v>
      </c>
      <c r="U1693" s="20">
        <f t="shared" si="112"/>
        <v>3.0107794026165617</v>
      </c>
      <c r="V1693" s="41">
        <f t="shared" si="115"/>
        <v>201.07794026165618</v>
      </c>
      <c r="W1693" s="17"/>
      <c r="X1693" s="17" t="s">
        <v>58</v>
      </c>
      <c r="Y1693" s="14">
        <v>40</v>
      </c>
      <c r="Z1693" s="17" t="s">
        <v>56</v>
      </c>
      <c r="AA1693" s="17"/>
      <c r="AB1693" s="17" t="s">
        <v>57</v>
      </c>
      <c r="AC1693" s="17">
        <v>2004</v>
      </c>
      <c r="AD1693" s="17">
        <v>0</v>
      </c>
      <c r="AE1693" s="17"/>
      <c r="AF1693" s="17"/>
      <c r="AG1693" s="17">
        <v>1987</v>
      </c>
      <c r="AH1693" s="14">
        <f t="shared" si="113"/>
        <v>17</v>
      </c>
      <c r="AI1693" s="17">
        <f t="shared" si="114"/>
        <v>17</v>
      </c>
      <c r="AJ1693" s="17"/>
      <c r="AK1693" s="17" t="s">
        <v>56</v>
      </c>
      <c r="AL1693" s="16" t="s">
        <v>994</v>
      </c>
      <c r="AM1693" s="17">
        <v>2010</v>
      </c>
      <c r="AN1693" s="15" t="s">
        <v>685</v>
      </c>
      <c r="AO1693" s="15" t="s">
        <v>56</v>
      </c>
      <c r="AP1693" s="15"/>
      <c r="AQ1693" s="15" t="s">
        <v>56</v>
      </c>
      <c r="AR1693" s="15" t="s">
        <v>58</v>
      </c>
      <c r="AS1693" s="15" t="s">
        <v>62</v>
      </c>
      <c r="AT1693" s="15"/>
      <c r="AU1693" s="45" t="s">
        <v>2594</v>
      </c>
      <c r="AV1693" s="15"/>
      <c r="AW1693" s="12" t="str">
        <f>B1693&amp;C1693&amp;L1693&amp;M1693&amp;O1693&amp;U1693&amp;AL1693&amp;AM1693</f>
        <v>GuadeloupeIllets Pigeon, Grand Cul-de-Sac Marin reservesScarus vetulasize3.01077940261656Kopp2010</v>
      </c>
    </row>
    <row r="1694" spans="1:49" ht="14.5" x14ac:dyDescent="0.35">
      <c r="A1694" s="12">
        <v>1693</v>
      </c>
      <c r="B1694" s="12" t="s">
        <v>992</v>
      </c>
      <c r="C1694" s="15" t="s">
        <v>993</v>
      </c>
      <c r="D1694" s="15" t="s">
        <v>2593</v>
      </c>
      <c r="E1694" s="12" t="s">
        <v>68</v>
      </c>
      <c r="F1694" s="13" t="s">
        <v>50</v>
      </c>
      <c r="G1694" s="13" t="s">
        <v>51</v>
      </c>
      <c r="H1694" s="13" t="s">
        <v>108</v>
      </c>
      <c r="I1694" s="13" t="s">
        <v>156</v>
      </c>
      <c r="J1694" s="17">
        <v>25</v>
      </c>
      <c r="K1694" s="17"/>
      <c r="L1694" s="14" t="s">
        <v>996</v>
      </c>
      <c r="M1694" s="14"/>
      <c r="N1694" s="14" t="s">
        <v>85</v>
      </c>
      <c r="O1694" s="17" t="s">
        <v>104</v>
      </c>
      <c r="P1694" s="14" t="s">
        <v>568</v>
      </c>
      <c r="Q1694" s="14"/>
      <c r="R1694" s="14"/>
      <c r="S1694" s="14">
        <v>17.98387</v>
      </c>
      <c r="T1694" s="14">
        <v>17.7836</v>
      </c>
      <c r="U1694" s="19">
        <f t="shared" si="112"/>
        <v>0.98886390971464988</v>
      </c>
      <c r="V1694" s="41">
        <f t="shared" si="115"/>
        <v>-1.113609028535012</v>
      </c>
      <c r="W1694" s="14"/>
      <c r="X1694" s="14" t="s">
        <v>58</v>
      </c>
      <c r="Y1694" s="14">
        <v>40</v>
      </c>
      <c r="Z1694" s="14" t="s">
        <v>56</v>
      </c>
      <c r="AA1694" s="14"/>
      <c r="AB1694" s="14" t="s">
        <v>57</v>
      </c>
      <c r="AC1694" s="14">
        <v>2004</v>
      </c>
      <c r="AD1694" s="14">
        <v>0</v>
      </c>
      <c r="AE1694" s="14"/>
      <c r="AF1694" s="14"/>
      <c r="AG1694" s="14">
        <v>1987</v>
      </c>
      <c r="AH1694" s="14">
        <f t="shared" si="113"/>
        <v>17</v>
      </c>
      <c r="AI1694" s="17">
        <f t="shared" si="114"/>
        <v>17</v>
      </c>
      <c r="AJ1694" s="14"/>
      <c r="AK1694" s="14" t="s">
        <v>56</v>
      </c>
      <c r="AL1694" s="13" t="s">
        <v>994</v>
      </c>
      <c r="AM1694" s="14">
        <v>2010</v>
      </c>
      <c r="AN1694" s="12" t="s">
        <v>685</v>
      </c>
      <c r="AO1694" s="12" t="s">
        <v>56</v>
      </c>
      <c r="AP1694" s="12"/>
      <c r="AQ1694" s="12" t="s">
        <v>56</v>
      </c>
      <c r="AR1694" s="12" t="s">
        <v>58</v>
      </c>
      <c r="AS1694" s="12" t="s">
        <v>62</v>
      </c>
      <c r="AT1694" s="12"/>
      <c r="AU1694" s="45" t="s">
        <v>2594</v>
      </c>
      <c r="AV1694" s="15"/>
      <c r="AW1694" s="12" t="str">
        <f>B1694&amp;C1694&amp;L1694&amp;M1694&amp;O1694&amp;U1694&amp;AL1694&amp;AM1694</f>
        <v>GuadeloupeIllets Pigeon, Grand Cul-de-Sac Marin reservesSparisoma aurofrenatussize0.98886390971465Kopp2010</v>
      </c>
    </row>
    <row r="1695" spans="1:49" ht="14.5" x14ac:dyDescent="0.35">
      <c r="A1695" s="12">
        <v>1694</v>
      </c>
      <c r="B1695" s="12" t="s">
        <v>992</v>
      </c>
      <c r="C1695" s="15" t="s">
        <v>993</v>
      </c>
      <c r="D1695" s="15" t="s">
        <v>2593</v>
      </c>
      <c r="E1695" s="12" t="s">
        <v>68</v>
      </c>
      <c r="F1695" s="13" t="s">
        <v>50</v>
      </c>
      <c r="G1695" s="13" t="s">
        <v>51</v>
      </c>
      <c r="H1695" s="13" t="s">
        <v>108</v>
      </c>
      <c r="I1695" s="13" t="s">
        <v>156</v>
      </c>
      <c r="J1695" s="17">
        <v>25</v>
      </c>
      <c r="K1695" s="17"/>
      <c r="L1695" s="14" t="s">
        <v>921</v>
      </c>
      <c r="M1695" s="14"/>
      <c r="N1695" s="14" t="s">
        <v>85</v>
      </c>
      <c r="O1695" s="17" t="s">
        <v>104</v>
      </c>
      <c r="P1695" s="14" t="s">
        <v>568</v>
      </c>
      <c r="Q1695" s="14"/>
      <c r="R1695" s="14"/>
      <c r="S1695" s="14">
        <v>7.457865</v>
      </c>
      <c r="T1695" s="14">
        <v>26.19191</v>
      </c>
      <c r="U1695" s="19">
        <f t="shared" si="112"/>
        <v>3.5119849983876081</v>
      </c>
      <c r="V1695" s="41">
        <f t="shared" si="115"/>
        <v>251.19849983876082</v>
      </c>
      <c r="W1695" s="14"/>
      <c r="X1695" s="14" t="s">
        <v>58</v>
      </c>
      <c r="Y1695" s="14">
        <v>40</v>
      </c>
      <c r="Z1695" s="14" t="s">
        <v>56</v>
      </c>
      <c r="AA1695" s="14"/>
      <c r="AB1695" s="14" t="s">
        <v>57</v>
      </c>
      <c r="AC1695" s="14">
        <v>2004</v>
      </c>
      <c r="AD1695" s="14">
        <v>0</v>
      </c>
      <c r="AE1695" s="14"/>
      <c r="AF1695" s="14"/>
      <c r="AG1695" s="14">
        <v>1987</v>
      </c>
      <c r="AH1695" s="14">
        <f t="shared" si="113"/>
        <v>17</v>
      </c>
      <c r="AI1695" s="17">
        <f t="shared" si="114"/>
        <v>17</v>
      </c>
      <c r="AJ1695" s="14"/>
      <c r="AK1695" s="14" t="s">
        <v>56</v>
      </c>
      <c r="AL1695" s="13" t="s">
        <v>994</v>
      </c>
      <c r="AM1695" s="14">
        <v>2010</v>
      </c>
      <c r="AN1695" s="12" t="s">
        <v>685</v>
      </c>
      <c r="AO1695" s="12" t="s">
        <v>56</v>
      </c>
      <c r="AP1695" s="12"/>
      <c r="AQ1695" s="12" t="s">
        <v>56</v>
      </c>
      <c r="AR1695" s="12" t="s">
        <v>58</v>
      </c>
      <c r="AS1695" s="12" t="s">
        <v>62</v>
      </c>
      <c r="AT1695" s="12"/>
      <c r="AU1695" s="45" t="s">
        <v>2594</v>
      </c>
      <c r="AV1695" s="15"/>
      <c r="AW1695" s="12" t="str">
        <f>B1695&amp;C1695&amp;L1695&amp;M1695&amp;O1695&amp;U1695&amp;AL1695&amp;AM1695</f>
        <v>GuadeloupeIllets Pigeon, Grand Cul-de-Sac Marin reservesSparisoma chrysopterumsize3.51198499838761Kopp2010</v>
      </c>
    </row>
    <row r="1696" spans="1:49" ht="14.5" x14ac:dyDescent="0.35">
      <c r="A1696" s="12">
        <v>1695</v>
      </c>
      <c r="B1696" s="12" t="s">
        <v>992</v>
      </c>
      <c r="C1696" s="15" t="s">
        <v>993</v>
      </c>
      <c r="D1696" s="15" t="s">
        <v>2593</v>
      </c>
      <c r="E1696" s="12" t="s">
        <v>68</v>
      </c>
      <c r="F1696" s="13" t="s">
        <v>50</v>
      </c>
      <c r="G1696" s="13" t="s">
        <v>51</v>
      </c>
      <c r="H1696" s="13" t="s">
        <v>108</v>
      </c>
      <c r="I1696" s="13" t="s">
        <v>156</v>
      </c>
      <c r="J1696" s="17">
        <v>25</v>
      </c>
      <c r="K1696" s="17"/>
      <c r="L1696" s="14" t="s">
        <v>922</v>
      </c>
      <c r="M1696" s="14"/>
      <c r="N1696" s="14" t="s">
        <v>85</v>
      </c>
      <c r="O1696" s="17" t="s">
        <v>104</v>
      </c>
      <c r="P1696" s="14" t="s">
        <v>568</v>
      </c>
      <c r="Q1696" s="14"/>
      <c r="R1696" s="14"/>
      <c r="S1696" s="14">
        <v>15.55612</v>
      </c>
      <c r="T1696" s="14">
        <v>29.35417</v>
      </c>
      <c r="U1696" s="19">
        <f t="shared" si="112"/>
        <v>1.8869853151042806</v>
      </c>
      <c r="V1696" s="41">
        <f t="shared" si="115"/>
        <v>88.698531510428055</v>
      </c>
      <c r="W1696" s="14"/>
      <c r="X1696" s="14" t="s">
        <v>58</v>
      </c>
      <c r="Y1696" s="14">
        <v>40</v>
      </c>
      <c r="Z1696" s="14" t="s">
        <v>56</v>
      </c>
      <c r="AA1696" s="14"/>
      <c r="AB1696" s="14" t="s">
        <v>57</v>
      </c>
      <c r="AC1696" s="14">
        <v>2004</v>
      </c>
      <c r="AD1696" s="14">
        <v>0</v>
      </c>
      <c r="AE1696" s="14"/>
      <c r="AF1696" s="14"/>
      <c r="AG1696" s="14">
        <v>1987</v>
      </c>
      <c r="AH1696" s="14">
        <f t="shared" si="113"/>
        <v>17</v>
      </c>
      <c r="AI1696" s="17">
        <f t="shared" si="114"/>
        <v>17</v>
      </c>
      <c r="AJ1696" s="14"/>
      <c r="AK1696" s="14" t="s">
        <v>56</v>
      </c>
      <c r="AL1696" s="13" t="s">
        <v>994</v>
      </c>
      <c r="AM1696" s="14">
        <v>2010</v>
      </c>
      <c r="AN1696" s="12" t="s">
        <v>685</v>
      </c>
      <c r="AO1696" s="12" t="s">
        <v>56</v>
      </c>
      <c r="AP1696" s="12"/>
      <c r="AQ1696" s="12" t="s">
        <v>56</v>
      </c>
      <c r="AR1696" s="12" t="s">
        <v>58</v>
      </c>
      <c r="AS1696" s="12" t="s">
        <v>62</v>
      </c>
      <c r="AT1696" s="12"/>
      <c r="AU1696" s="45" t="s">
        <v>2594</v>
      </c>
      <c r="AV1696" s="15"/>
      <c r="AW1696" s="12" t="str">
        <f>B1696&amp;C1696&amp;L1696&amp;M1696&amp;O1696&amp;U1696&amp;AL1696&amp;AM1696</f>
        <v>GuadeloupeIllets Pigeon, Grand Cul-de-Sac Marin reservesSparisoma rubripinnesize1.88698531510428Kopp2010</v>
      </c>
    </row>
    <row r="1697" spans="1:49" ht="14.5" x14ac:dyDescent="0.35">
      <c r="A1697" s="12">
        <v>1696</v>
      </c>
      <c r="B1697" s="12" t="s">
        <v>992</v>
      </c>
      <c r="C1697" s="15" t="s">
        <v>993</v>
      </c>
      <c r="D1697" s="15" t="s">
        <v>2593</v>
      </c>
      <c r="E1697" s="12" t="s">
        <v>68</v>
      </c>
      <c r="F1697" s="13" t="s">
        <v>50</v>
      </c>
      <c r="G1697" s="13" t="s">
        <v>51</v>
      </c>
      <c r="H1697" s="13" t="s">
        <v>108</v>
      </c>
      <c r="I1697" s="13" t="s">
        <v>156</v>
      </c>
      <c r="J1697" s="17">
        <v>25</v>
      </c>
      <c r="K1697" s="17"/>
      <c r="L1697" s="14" t="s">
        <v>917</v>
      </c>
      <c r="M1697" s="14"/>
      <c r="N1697" s="14" t="s">
        <v>85</v>
      </c>
      <c r="O1697" s="17" t="s">
        <v>104</v>
      </c>
      <c r="P1697" s="14" t="s">
        <v>568</v>
      </c>
      <c r="Q1697" s="14"/>
      <c r="R1697" s="14"/>
      <c r="S1697" s="14">
        <v>23.352799999999998</v>
      </c>
      <c r="T1697" s="14">
        <v>27.554939999999998</v>
      </c>
      <c r="U1697" s="19">
        <f t="shared" si="112"/>
        <v>1.179941591586448</v>
      </c>
      <c r="V1697" s="41">
        <f t="shared" si="115"/>
        <v>17.994159158644795</v>
      </c>
      <c r="W1697" s="14"/>
      <c r="X1697" s="14" t="s">
        <v>58</v>
      </c>
      <c r="Y1697" s="14">
        <v>40</v>
      </c>
      <c r="Z1697" s="14" t="s">
        <v>56</v>
      </c>
      <c r="AA1697" s="14"/>
      <c r="AB1697" s="14" t="s">
        <v>57</v>
      </c>
      <c r="AC1697" s="14">
        <v>2004</v>
      </c>
      <c r="AD1697" s="14">
        <v>0</v>
      </c>
      <c r="AE1697" s="14"/>
      <c r="AF1697" s="14"/>
      <c r="AG1697" s="14">
        <v>1987</v>
      </c>
      <c r="AH1697" s="14">
        <f t="shared" si="113"/>
        <v>17</v>
      </c>
      <c r="AI1697" s="17">
        <f t="shared" si="114"/>
        <v>17</v>
      </c>
      <c r="AJ1697" s="14"/>
      <c r="AK1697" s="14" t="s">
        <v>56</v>
      </c>
      <c r="AL1697" s="13" t="s">
        <v>994</v>
      </c>
      <c r="AM1697" s="14">
        <v>2010</v>
      </c>
      <c r="AN1697" s="12" t="s">
        <v>685</v>
      </c>
      <c r="AO1697" s="12" t="s">
        <v>56</v>
      </c>
      <c r="AP1697" s="12"/>
      <c r="AQ1697" s="12" t="s">
        <v>56</v>
      </c>
      <c r="AR1697" s="12" t="s">
        <v>58</v>
      </c>
      <c r="AS1697" s="12" t="s">
        <v>62</v>
      </c>
      <c r="AT1697" s="12"/>
      <c r="AU1697" s="45" t="s">
        <v>2594</v>
      </c>
      <c r="AV1697" s="15"/>
      <c r="AW1697" s="12" t="str">
        <f>B1697&amp;C1697&amp;L1697&amp;M1697&amp;O1697&amp;U1697&amp;AL1697&amp;AM1697</f>
        <v>GuadeloupeIllets Pigeon, Grand Cul-de-Sac Marin reservesSparisoma viridesize1.17994159158645Kopp2010</v>
      </c>
    </row>
    <row r="1698" spans="1:49" ht="14.5" x14ac:dyDescent="0.35">
      <c r="A1698" s="12">
        <v>1697</v>
      </c>
      <c r="B1698" s="12" t="s">
        <v>992</v>
      </c>
      <c r="C1698" s="15" t="s">
        <v>993</v>
      </c>
      <c r="D1698" s="15" t="s">
        <v>2593</v>
      </c>
      <c r="E1698" s="12" t="s">
        <v>68</v>
      </c>
      <c r="F1698" s="13" t="s">
        <v>50</v>
      </c>
      <c r="G1698" s="13" t="s">
        <v>51</v>
      </c>
      <c r="H1698" s="13" t="s">
        <v>108</v>
      </c>
      <c r="I1698" s="13" t="s">
        <v>156</v>
      </c>
      <c r="J1698" s="17">
        <v>25</v>
      </c>
      <c r="K1698" s="17"/>
      <c r="L1698" s="14" t="s">
        <v>267</v>
      </c>
      <c r="M1698" s="14"/>
      <c r="N1698" s="14" t="s">
        <v>170</v>
      </c>
      <c r="O1698" s="17" t="s">
        <v>104</v>
      </c>
      <c r="P1698" s="14" t="s">
        <v>568</v>
      </c>
      <c r="Q1698" s="14"/>
      <c r="R1698" s="14"/>
      <c r="S1698" s="14">
        <v>11.9</v>
      </c>
      <c r="T1698" s="14">
        <v>16.100000000000001</v>
      </c>
      <c r="U1698" s="19">
        <f t="shared" si="112"/>
        <v>1.3529411764705883</v>
      </c>
      <c r="V1698" s="41">
        <f t="shared" si="115"/>
        <v>35.294117647058833</v>
      </c>
      <c r="W1698" s="14"/>
      <c r="X1698" s="14" t="s">
        <v>58</v>
      </c>
      <c r="Y1698" s="14">
        <v>40</v>
      </c>
      <c r="Z1698" s="14" t="s">
        <v>56</v>
      </c>
      <c r="AA1698" s="14"/>
      <c r="AB1698" s="14" t="s">
        <v>57</v>
      </c>
      <c r="AC1698" s="14">
        <v>2004</v>
      </c>
      <c r="AD1698" s="14">
        <v>0</v>
      </c>
      <c r="AE1698" s="14"/>
      <c r="AF1698" s="14"/>
      <c r="AG1698" s="14">
        <v>1987</v>
      </c>
      <c r="AH1698" s="14">
        <f t="shared" si="113"/>
        <v>17</v>
      </c>
      <c r="AI1698" s="17">
        <f t="shared" si="114"/>
        <v>17</v>
      </c>
      <c r="AJ1698" s="14"/>
      <c r="AK1698" s="14" t="s">
        <v>56</v>
      </c>
      <c r="AL1698" s="13" t="s">
        <v>994</v>
      </c>
      <c r="AM1698" s="14">
        <v>2010</v>
      </c>
      <c r="AN1698" s="12" t="s">
        <v>685</v>
      </c>
      <c r="AO1698" s="12" t="s">
        <v>56</v>
      </c>
      <c r="AP1698" s="12"/>
      <c r="AQ1698" s="12" t="s">
        <v>56</v>
      </c>
      <c r="AR1698" s="12" t="s">
        <v>58</v>
      </c>
      <c r="AS1698" s="12" t="s">
        <v>62</v>
      </c>
      <c r="AT1698" s="12"/>
      <c r="AU1698" s="45" t="s">
        <v>2594</v>
      </c>
      <c r="AV1698" s="15"/>
      <c r="AW1698" s="12" t="str">
        <f>B1698&amp;C1698&amp;L1698&amp;M1698&amp;O1698&amp;U1698&amp;AL1698&amp;AM1698</f>
        <v>GuadeloupeIllets Pigeon, Grand Cul-de-Sac Marin reservesScaridaesize1.35294117647059Kopp2010</v>
      </c>
    </row>
    <row r="1699" spans="1:49" ht="14.5" x14ac:dyDescent="0.35">
      <c r="A1699" s="12">
        <v>1698</v>
      </c>
      <c r="B1699" s="12" t="s">
        <v>66</v>
      </c>
      <c r="C1699" s="15" t="s">
        <v>1081</v>
      </c>
      <c r="D1699" s="15" t="s">
        <v>2826</v>
      </c>
      <c r="E1699" s="12" t="s">
        <v>68</v>
      </c>
      <c r="F1699" s="13" t="s">
        <v>50</v>
      </c>
      <c r="G1699" s="13" t="s">
        <v>51</v>
      </c>
      <c r="H1699" s="13" t="s">
        <v>329</v>
      </c>
      <c r="I1699" s="13" t="s">
        <v>53</v>
      </c>
      <c r="J1699" s="17">
        <v>1.26</v>
      </c>
      <c r="K1699" s="17"/>
      <c r="L1699" s="14" t="s">
        <v>1084</v>
      </c>
      <c r="M1699" s="14"/>
      <c r="N1699" s="14" t="s">
        <v>85</v>
      </c>
      <c r="O1699" s="17" t="s">
        <v>104</v>
      </c>
      <c r="P1699" s="14" t="s">
        <v>568</v>
      </c>
      <c r="Q1699" s="14"/>
      <c r="R1699" s="14"/>
      <c r="S1699" s="14">
        <v>28.5</v>
      </c>
      <c r="T1699" s="14">
        <v>39.700000000000003</v>
      </c>
      <c r="U1699" s="19">
        <f t="shared" si="112"/>
        <v>1.392982456140351</v>
      </c>
      <c r="V1699" s="41">
        <f t="shared" si="115"/>
        <v>39.298245614035096</v>
      </c>
      <c r="W1699" s="14"/>
      <c r="X1699" s="14" t="s">
        <v>56</v>
      </c>
      <c r="Z1699" s="14" t="s">
        <v>56</v>
      </c>
      <c r="AA1699" s="14"/>
      <c r="AB1699" s="14" t="s">
        <v>57</v>
      </c>
      <c r="AC1699" s="14">
        <v>2003</v>
      </c>
      <c r="AD1699" s="14">
        <v>1</v>
      </c>
      <c r="AE1699" s="14"/>
      <c r="AF1699" s="14"/>
      <c r="AG1699" s="14">
        <v>1988</v>
      </c>
      <c r="AH1699" s="14">
        <f t="shared" si="113"/>
        <v>15</v>
      </c>
      <c r="AI1699" s="17">
        <f t="shared" si="114"/>
        <v>16</v>
      </c>
      <c r="AJ1699" s="14"/>
      <c r="AK1699" s="14" t="s">
        <v>56</v>
      </c>
      <c r="AL1699" s="13" t="s">
        <v>1085</v>
      </c>
      <c r="AM1699" s="14">
        <v>2008</v>
      </c>
      <c r="AN1699" s="12" t="s">
        <v>1086</v>
      </c>
      <c r="AO1699" s="12" t="s">
        <v>56</v>
      </c>
      <c r="AP1699" s="12"/>
      <c r="AQ1699" s="12" t="s">
        <v>56</v>
      </c>
      <c r="AR1699" s="12" t="s">
        <v>58</v>
      </c>
      <c r="AS1699" s="12" t="s">
        <v>62</v>
      </c>
      <c r="AT1699" s="12"/>
      <c r="AU1699" s="45" t="s">
        <v>2633</v>
      </c>
      <c r="AV1699" s="15" t="s">
        <v>767</v>
      </c>
      <c r="AW1699" s="12" t="str">
        <f>B1699&amp;C1699&amp;L1699&amp;M1699&amp;O1699&amp;U1699&amp;AL1699&amp;AM1699</f>
        <v>AustraliaKingston Reef Marine SanctuaryEpinephelides armatussize1.39298245614035Kleczowski2008</v>
      </c>
    </row>
    <row r="1700" spans="1:49" ht="14.5" x14ac:dyDescent="0.35">
      <c r="A1700" s="12">
        <v>1699</v>
      </c>
      <c r="B1700" s="12" t="s">
        <v>66</v>
      </c>
      <c r="C1700" s="15" t="s">
        <v>1081</v>
      </c>
      <c r="D1700" s="15" t="s">
        <v>2826</v>
      </c>
      <c r="E1700" s="12" t="s">
        <v>68</v>
      </c>
      <c r="F1700" s="13" t="s">
        <v>50</v>
      </c>
      <c r="G1700" s="13" t="s">
        <v>51</v>
      </c>
      <c r="H1700" s="13" t="s">
        <v>329</v>
      </c>
      <c r="I1700" s="13" t="s">
        <v>53</v>
      </c>
      <c r="J1700" s="17">
        <v>1.26</v>
      </c>
      <c r="K1700" s="17"/>
      <c r="L1700" s="14" t="s">
        <v>1087</v>
      </c>
      <c r="M1700" s="14"/>
      <c r="N1700" s="14" t="s">
        <v>85</v>
      </c>
      <c r="O1700" s="17" t="s">
        <v>104</v>
      </c>
      <c r="P1700" s="14" t="s">
        <v>568</v>
      </c>
      <c r="Q1700" s="14"/>
      <c r="R1700" s="14"/>
      <c r="S1700" s="14">
        <v>20.5</v>
      </c>
      <c r="T1700" s="14">
        <v>22.1</v>
      </c>
      <c r="U1700" s="19">
        <f t="shared" si="112"/>
        <v>1.0780487804878049</v>
      </c>
      <c r="V1700" s="41">
        <f t="shared" si="115"/>
        <v>7.8048780487804947</v>
      </c>
      <c r="W1700" s="14"/>
      <c r="X1700" s="14" t="s">
        <v>56</v>
      </c>
      <c r="Z1700" s="14" t="s">
        <v>56</v>
      </c>
      <c r="AA1700" s="14"/>
      <c r="AB1700" s="14" t="s">
        <v>57</v>
      </c>
      <c r="AC1700" s="14">
        <v>2003</v>
      </c>
      <c r="AD1700" s="14">
        <v>1</v>
      </c>
      <c r="AE1700" s="14"/>
      <c r="AF1700" s="14"/>
      <c r="AG1700" s="14">
        <v>1988</v>
      </c>
      <c r="AH1700" s="14">
        <f t="shared" si="113"/>
        <v>15</v>
      </c>
      <c r="AI1700" s="17">
        <f t="shared" si="114"/>
        <v>16</v>
      </c>
      <c r="AJ1700" s="14"/>
      <c r="AK1700" s="14" t="s">
        <v>56</v>
      </c>
      <c r="AL1700" s="13" t="s">
        <v>1085</v>
      </c>
      <c r="AM1700" s="14">
        <v>2008</v>
      </c>
      <c r="AN1700" s="12" t="s">
        <v>1086</v>
      </c>
      <c r="AO1700" s="12" t="s">
        <v>56</v>
      </c>
      <c r="AP1700" s="12"/>
      <c r="AQ1700" s="12" t="s">
        <v>56</v>
      </c>
      <c r="AR1700" s="12" t="s">
        <v>58</v>
      </c>
      <c r="AS1700" s="12" t="s">
        <v>62</v>
      </c>
      <c r="AT1700" s="12"/>
      <c r="AU1700" s="45" t="s">
        <v>2633</v>
      </c>
      <c r="AV1700" s="15" t="s">
        <v>767</v>
      </c>
      <c r="AW1700" s="12" t="str">
        <f>B1700&amp;C1700&amp;L1700&amp;M1700&amp;O1700&amp;U1700&amp;AL1700&amp;AM1700</f>
        <v>AustraliaKingston Reef Marine SanctuaryCoris auricularissize1.0780487804878Kleczowski2008</v>
      </c>
    </row>
    <row r="1701" spans="1:49" ht="14.5" x14ac:dyDescent="0.35">
      <c r="A1701" s="12">
        <v>1700</v>
      </c>
      <c r="B1701" s="15" t="s">
        <v>66</v>
      </c>
      <c r="C1701" s="15" t="s">
        <v>1081</v>
      </c>
      <c r="D1701" s="15" t="s">
        <v>2826</v>
      </c>
      <c r="E1701" s="15" t="s">
        <v>68</v>
      </c>
      <c r="F1701" s="13" t="s">
        <v>50</v>
      </c>
      <c r="G1701" s="13" t="s">
        <v>51</v>
      </c>
      <c r="H1701" s="16" t="s">
        <v>329</v>
      </c>
      <c r="I1701" s="16" t="s">
        <v>53</v>
      </c>
      <c r="J1701" s="17">
        <v>1.26</v>
      </c>
      <c r="K1701" s="17"/>
      <c r="L1701" s="17" t="s">
        <v>1088</v>
      </c>
      <c r="M1701" s="17"/>
      <c r="N1701" s="14" t="s">
        <v>85</v>
      </c>
      <c r="O1701" s="17" t="s">
        <v>104</v>
      </c>
      <c r="P1701" s="17" t="s">
        <v>568</v>
      </c>
      <c r="Q1701" s="17"/>
      <c r="R1701" s="17"/>
      <c r="S1701" s="17">
        <v>30.1</v>
      </c>
      <c r="T1701" s="17">
        <v>31.7</v>
      </c>
      <c r="U1701" s="20">
        <f t="shared" si="112"/>
        <v>1.0531561461794019</v>
      </c>
      <c r="V1701" s="41">
        <f t="shared" si="115"/>
        <v>5.3156146179401897</v>
      </c>
      <c r="W1701" s="17"/>
      <c r="X1701" s="17" t="s">
        <v>56</v>
      </c>
      <c r="Z1701" s="17" t="s">
        <v>56</v>
      </c>
      <c r="AA1701" s="17"/>
      <c r="AB1701" s="17" t="s">
        <v>57</v>
      </c>
      <c r="AC1701" s="17">
        <v>2003</v>
      </c>
      <c r="AD1701" s="17">
        <v>1</v>
      </c>
      <c r="AE1701" s="17"/>
      <c r="AF1701" s="17"/>
      <c r="AG1701" s="17">
        <v>1988</v>
      </c>
      <c r="AH1701" s="14">
        <f t="shared" si="113"/>
        <v>15</v>
      </c>
      <c r="AI1701" s="17">
        <f t="shared" si="114"/>
        <v>16</v>
      </c>
      <c r="AJ1701" s="17"/>
      <c r="AK1701" s="17" t="s">
        <v>56</v>
      </c>
      <c r="AL1701" s="16" t="s">
        <v>1085</v>
      </c>
      <c r="AM1701" s="17">
        <v>2008</v>
      </c>
      <c r="AN1701" s="15" t="s">
        <v>1086</v>
      </c>
      <c r="AO1701" s="15" t="s">
        <v>56</v>
      </c>
      <c r="AP1701" s="15"/>
      <c r="AQ1701" s="15" t="s">
        <v>56</v>
      </c>
      <c r="AR1701" s="15" t="s">
        <v>58</v>
      </c>
      <c r="AS1701" s="15" t="s">
        <v>62</v>
      </c>
      <c r="AT1701" s="15"/>
      <c r="AU1701" s="45" t="s">
        <v>2633</v>
      </c>
      <c r="AV1701" s="15" t="s">
        <v>767</v>
      </c>
      <c r="AW1701" s="12" t="str">
        <f>B1701&amp;C1701&amp;L1701&amp;M1701&amp;O1701&amp;U1701&amp;AL1701&amp;AM1701</f>
        <v>AustraliaKingston Reef Marine SanctuaryNotolabrus parilussize1.0531561461794Kleczowski2008</v>
      </c>
    </row>
    <row r="1702" spans="1:49" ht="14.5" x14ac:dyDescent="0.35">
      <c r="A1702" s="12">
        <v>1701</v>
      </c>
      <c r="B1702" s="12" t="s">
        <v>66</v>
      </c>
      <c r="C1702" s="15" t="s">
        <v>1081</v>
      </c>
      <c r="D1702" s="15" t="s">
        <v>2826</v>
      </c>
      <c r="E1702" s="15" t="s">
        <v>68</v>
      </c>
      <c r="F1702" s="13" t="s">
        <v>50</v>
      </c>
      <c r="G1702" s="13" t="s">
        <v>51</v>
      </c>
      <c r="H1702" s="16" t="s">
        <v>329</v>
      </c>
      <c r="I1702" s="16" t="s">
        <v>53</v>
      </c>
      <c r="J1702" s="17">
        <v>1.26</v>
      </c>
      <c r="K1702" s="17"/>
      <c r="L1702" s="17" t="s">
        <v>1089</v>
      </c>
      <c r="M1702" s="17"/>
      <c r="N1702" s="14" t="s">
        <v>85</v>
      </c>
      <c r="O1702" s="17" t="s">
        <v>104</v>
      </c>
      <c r="P1702" s="17" t="s">
        <v>568</v>
      </c>
      <c r="Q1702" s="17"/>
      <c r="R1702" s="17"/>
      <c r="S1702" s="17">
        <v>20.399999999999999</v>
      </c>
      <c r="T1702" s="17">
        <v>24.8</v>
      </c>
      <c r="U1702" s="20">
        <f t="shared" si="112"/>
        <v>1.215686274509804</v>
      </c>
      <c r="V1702" s="41">
        <f t="shared" si="115"/>
        <v>21.568627450980404</v>
      </c>
      <c r="W1702" s="17"/>
      <c r="X1702" s="17" t="s">
        <v>56</v>
      </c>
      <c r="Z1702" s="17" t="s">
        <v>56</v>
      </c>
      <c r="AA1702" s="17"/>
      <c r="AB1702" s="17" t="s">
        <v>57</v>
      </c>
      <c r="AC1702" s="17">
        <v>2003</v>
      </c>
      <c r="AD1702" s="17">
        <v>1</v>
      </c>
      <c r="AE1702" s="17"/>
      <c r="AF1702" s="17"/>
      <c r="AG1702" s="17">
        <v>1988</v>
      </c>
      <c r="AH1702" s="14">
        <f t="shared" si="113"/>
        <v>15</v>
      </c>
      <c r="AI1702" s="17">
        <f t="shared" si="114"/>
        <v>16</v>
      </c>
      <c r="AJ1702" s="17"/>
      <c r="AK1702" s="17" t="s">
        <v>56</v>
      </c>
      <c r="AL1702" s="16" t="s">
        <v>1085</v>
      </c>
      <c r="AM1702" s="17">
        <v>2008</v>
      </c>
      <c r="AN1702" s="15" t="s">
        <v>1086</v>
      </c>
      <c r="AO1702" s="15" t="s">
        <v>56</v>
      </c>
      <c r="AP1702" s="15"/>
      <c r="AQ1702" s="15" t="s">
        <v>56</v>
      </c>
      <c r="AR1702" s="15" t="s">
        <v>58</v>
      </c>
      <c r="AS1702" s="15" t="s">
        <v>62</v>
      </c>
      <c r="AT1702" s="15"/>
      <c r="AU1702" s="45" t="s">
        <v>2633</v>
      </c>
      <c r="AV1702" s="15" t="s">
        <v>767</v>
      </c>
      <c r="AW1702" s="12" t="str">
        <f>B1702&amp;C1702&amp;L1702&amp;M1702&amp;O1702&amp;U1702&amp;AL1702&amp;AM1702</f>
        <v>AustraliaKingston Reef Marine SanctuaryOphthalmolepis lineolatussize1.2156862745098Kleczowski2008</v>
      </c>
    </row>
    <row r="1703" spans="1:49" ht="14.5" x14ac:dyDescent="0.35">
      <c r="A1703" s="12">
        <v>1702</v>
      </c>
      <c r="B1703" s="15" t="s">
        <v>477</v>
      </c>
      <c r="C1703" s="43" t="s">
        <v>1363</v>
      </c>
      <c r="D1703" s="43" t="s">
        <v>1375</v>
      </c>
      <c r="E1703" s="15" t="s">
        <v>68</v>
      </c>
      <c r="F1703" s="13" t="s">
        <v>50</v>
      </c>
      <c r="G1703" s="13" t="s">
        <v>454</v>
      </c>
      <c r="H1703" s="16" t="s">
        <v>481</v>
      </c>
      <c r="I1703" s="16" t="s">
        <v>53</v>
      </c>
      <c r="J1703" s="17">
        <v>0.94</v>
      </c>
      <c r="K1703" s="17"/>
      <c r="L1703" s="17"/>
      <c r="M1703" s="17" t="s">
        <v>1385</v>
      </c>
      <c r="N1703" s="17" t="s">
        <v>1070</v>
      </c>
      <c r="O1703" s="17" t="s">
        <v>86</v>
      </c>
      <c r="P1703" s="17"/>
      <c r="Q1703" s="17"/>
      <c r="R1703" s="17"/>
      <c r="S1703" s="17">
        <v>8.4699449999999992</v>
      </c>
      <c r="T1703" s="17">
        <v>18.510929999999998</v>
      </c>
      <c r="U1703" s="20">
        <f t="shared" si="112"/>
        <v>2.1854840851977198</v>
      </c>
      <c r="V1703" s="41">
        <f t="shared" si="115"/>
        <v>118.54840851977198</v>
      </c>
      <c r="W1703" s="17"/>
      <c r="X1703" s="17" t="s">
        <v>56</v>
      </c>
      <c r="Z1703" s="17" t="s">
        <v>58</v>
      </c>
      <c r="AA1703" s="17"/>
      <c r="AB1703" s="17" t="s">
        <v>57</v>
      </c>
      <c r="AC1703" s="17">
        <v>1992</v>
      </c>
      <c r="AD1703" s="17">
        <v>13</v>
      </c>
      <c r="AE1703" s="17"/>
      <c r="AF1703" s="17"/>
      <c r="AG1703" s="17">
        <v>1983</v>
      </c>
      <c r="AH1703" s="14">
        <f t="shared" si="113"/>
        <v>9</v>
      </c>
      <c r="AI1703" s="17">
        <f t="shared" si="114"/>
        <v>22</v>
      </c>
      <c r="AJ1703" s="17"/>
      <c r="AK1703" s="17" t="s">
        <v>56</v>
      </c>
      <c r="AL1703" s="16" t="s">
        <v>1386</v>
      </c>
      <c r="AM1703" s="17">
        <v>2012</v>
      </c>
      <c r="AN1703" s="15" t="s">
        <v>332</v>
      </c>
      <c r="AO1703" s="15" t="s">
        <v>56</v>
      </c>
      <c r="AP1703" s="15"/>
      <c r="AQ1703" s="15" t="s">
        <v>56</v>
      </c>
      <c r="AR1703" s="15" t="s">
        <v>58</v>
      </c>
      <c r="AS1703" s="15" t="s">
        <v>62</v>
      </c>
      <c r="AT1703" s="15"/>
      <c r="AU1703" s="45"/>
      <c r="AV1703" s="15"/>
      <c r="AW1703" s="12" t="str">
        <f>B1703&amp;C1703&amp;L1703&amp;M1703&amp;O1703&amp;U1703&amp;AL1703&amp;AM1703</f>
        <v>SpainMedes Islands Marine Reservered coraldensity2.18548408519772Linares2012</v>
      </c>
    </row>
    <row r="1704" spans="1:49" ht="14.5" x14ac:dyDescent="0.35">
      <c r="A1704" s="12">
        <v>1703</v>
      </c>
      <c r="B1704" s="15" t="s">
        <v>477</v>
      </c>
      <c r="C1704" s="43" t="s">
        <v>1363</v>
      </c>
      <c r="D1704" s="43" t="s">
        <v>1375</v>
      </c>
      <c r="E1704" s="15" t="s">
        <v>68</v>
      </c>
      <c r="F1704" s="13" t="s">
        <v>50</v>
      </c>
      <c r="G1704" s="13" t="s">
        <v>454</v>
      </c>
      <c r="H1704" s="16" t="s">
        <v>481</v>
      </c>
      <c r="I1704" s="16" t="s">
        <v>53</v>
      </c>
      <c r="J1704" s="17">
        <v>0.94</v>
      </c>
      <c r="K1704" s="17"/>
      <c r="L1704" s="17"/>
      <c r="M1704" s="17" t="s">
        <v>1385</v>
      </c>
      <c r="N1704" s="17" t="s">
        <v>1070</v>
      </c>
      <c r="O1704" s="17" t="s">
        <v>104</v>
      </c>
      <c r="P1704" s="17" t="s">
        <v>1387</v>
      </c>
      <c r="Q1704" s="17"/>
      <c r="R1704" s="17"/>
      <c r="S1704" s="17">
        <v>0.35930200000000001</v>
      </c>
      <c r="T1704" s="17">
        <v>0.40837200000000001</v>
      </c>
      <c r="U1704" s="20">
        <f t="shared" si="112"/>
        <v>1.1365703502902851</v>
      </c>
      <c r="V1704" s="41">
        <f t="shared" si="115"/>
        <v>13.657035029028508</v>
      </c>
      <c r="W1704" s="17"/>
      <c r="X1704" s="17" t="s">
        <v>56</v>
      </c>
      <c r="Z1704" s="17" t="s">
        <v>58</v>
      </c>
      <c r="AA1704" s="17"/>
      <c r="AB1704" s="17" t="s">
        <v>57</v>
      </c>
      <c r="AC1704" s="17">
        <v>1992</v>
      </c>
      <c r="AD1704" s="17">
        <v>13</v>
      </c>
      <c r="AE1704" s="17"/>
      <c r="AF1704" s="17"/>
      <c r="AG1704" s="17">
        <v>1983</v>
      </c>
      <c r="AH1704" s="14">
        <f t="shared" si="113"/>
        <v>9</v>
      </c>
      <c r="AI1704" s="17">
        <f t="shared" si="114"/>
        <v>22</v>
      </c>
      <c r="AJ1704" s="17"/>
      <c r="AK1704" s="17" t="s">
        <v>56</v>
      </c>
      <c r="AL1704" s="16" t="s">
        <v>1386</v>
      </c>
      <c r="AM1704" s="17">
        <v>2012</v>
      </c>
      <c r="AN1704" s="15" t="s">
        <v>332</v>
      </c>
      <c r="AO1704" s="15" t="s">
        <v>56</v>
      </c>
      <c r="AP1704" s="15"/>
      <c r="AQ1704" s="15" t="s">
        <v>56</v>
      </c>
      <c r="AR1704" s="15" t="s">
        <v>58</v>
      </c>
      <c r="AS1704" s="15" t="s">
        <v>62</v>
      </c>
      <c r="AT1704" s="15"/>
      <c r="AU1704" s="45"/>
      <c r="AV1704" s="15"/>
      <c r="AW1704" s="12" t="str">
        <f>B1704&amp;C1704&amp;L1704&amp;M1704&amp;O1704&amp;U1704&amp;AL1704&amp;AM1704</f>
        <v>SpainMedes Islands Marine Reservered coralsize1.13657035029029Linares2012</v>
      </c>
    </row>
    <row r="1705" spans="1:49" ht="14.5" x14ac:dyDescent="0.35">
      <c r="A1705" s="12">
        <v>1704</v>
      </c>
      <c r="B1705" s="15" t="s">
        <v>1388</v>
      </c>
      <c r="C1705" s="43" t="s">
        <v>1389</v>
      </c>
      <c r="D1705" s="15" t="s">
        <v>1390</v>
      </c>
      <c r="E1705" s="15" t="s">
        <v>68</v>
      </c>
      <c r="F1705" s="13" t="s">
        <v>50</v>
      </c>
      <c r="G1705" s="13" t="s">
        <v>51</v>
      </c>
      <c r="H1705" s="16" t="s">
        <v>329</v>
      </c>
      <c r="I1705" s="16" t="s">
        <v>156</v>
      </c>
      <c r="J1705" s="17">
        <v>1.4</v>
      </c>
      <c r="K1705" s="17"/>
      <c r="L1705" s="17"/>
      <c r="M1705" s="17" t="s">
        <v>69</v>
      </c>
      <c r="N1705" s="17" t="s">
        <v>1070</v>
      </c>
      <c r="O1705" s="17" t="s">
        <v>55</v>
      </c>
      <c r="P1705" s="17"/>
      <c r="Q1705" s="17"/>
      <c r="R1705" s="17"/>
      <c r="S1705" s="17">
        <v>119</v>
      </c>
      <c r="T1705" s="17">
        <v>117</v>
      </c>
      <c r="U1705" s="20">
        <f t="shared" si="112"/>
        <v>0.98319327731092432</v>
      </c>
      <c r="V1705" s="41">
        <f t="shared" si="115"/>
        <v>-1.6806722689075682</v>
      </c>
      <c r="W1705" s="17"/>
      <c r="X1705" s="17" t="s">
        <v>56</v>
      </c>
      <c r="Z1705" s="17" t="s">
        <v>56</v>
      </c>
      <c r="AA1705" s="17"/>
      <c r="AB1705" s="17" t="s">
        <v>57</v>
      </c>
      <c r="AC1705" s="17">
        <v>2017</v>
      </c>
      <c r="AD1705" s="17">
        <v>0</v>
      </c>
      <c r="AE1705" s="17"/>
      <c r="AF1705" s="17"/>
      <c r="AG1705" s="17">
        <v>1998</v>
      </c>
      <c r="AH1705" s="14">
        <f t="shared" si="113"/>
        <v>19</v>
      </c>
      <c r="AI1705" s="17">
        <f t="shared" si="114"/>
        <v>19</v>
      </c>
      <c r="AJ1705" s="17"/>
      <c r="AK1705" s="17" t="s">
        <v>56</v>
      </c>
      <c r="AL1705" s="16" t="s">
        <v>1394</v>
      </c>
      <c r="AM1705" s="17">
        <v>2019</v>
      </c>
      <c r="AN1705" s="15" t="s">
        <v>343</v>
      </c>
      <c r="AO1705" s="15" t="s">
        <v>56</v>
      </c>
      <c r="AP1705" s="15"/>
      <c r="AQ1705" s="15" t="s">
        <v>56</v>
      </c>
      <c r="AR1705" s="15" t="s">
        <v>58</v>
      </c>
      <c r="AS1705" s="15" t="s">
        <v>62</v>
      </c>
      <c r="AT1705" s="15"/>
      <c r="AU1705" s="45"/>
      <c r="AV1705" s="15"/>
      <c r="AW1705" s="12" t="str">
        <f>B1705&amp;C1705&amp;L1705&amp;M1705&amp;O1705&amp;U1705&amp;AL1705&amp;AM1705</f>
        <v>TanzaniaMisali Island Marine Conservation Area non-extraction zonefishrichness0.983193277310924Jones2019</v>
      </c>
    </row>
    <row r="1706" spans="1:49" ht="14.5" x14ac:dyDescent="0.35">
      <c r="A1706" s="12">
        <v>1705</v>
      </c>
      <c r="B1706" s="15" t="s">
        <v>1388</v>
      </c>
      <c r="C1706" s="43" t="s">
        <v>1389</v>
      </c>
      <c r="D1706" s="15" t="s">
        <v>1390</v>
      </c>
      <c r="E1706" s="15" t="s">
        <v>68</v>
      </c>
      <c r="F1706" s="16" t="s">
        <v>50</v>
      </c>
      <c r="G1706" s="16" t="s">
        <v>51</v>
      </c>
      <c r="H1706" s="16" t="s">
        <v>329</v>
      </c>
      <c r="I1706" s="16" t="s">
        <v>156</v>
      </c>
      <c r="J1706" s="17">
        <v>1.4</v>
      </c>
      <c r="K1706" s="17"/>
      <c r="L1706" s="14"/>
      <c r="M1706" s="17" t="s">
        <v>69</v>
      </c>
      <c r="N1706" s="17" t="s">
        <v>1070</v>
      </c>
      <c r="O1706" s="17" t="s">
        <v>86</v>
      </c>
      <c r="P1706" s="17"/>
      <c r="Q1706" s="17"/>
      <c r="R1706" s="17"/>
      <c r="S1706" s="17">
        <v>1360</v>
      </c>
      <c r="T1706" s="17">
        <v>1548.5709999999999</v>
      </c>
      <c r="U1706" s="20">
        <f t="shared" si="112"/>
        <v>1.1386551470588235</v>
      </c>
      <c r="V1706" s="41">
        <f t="shared" si="115"/>
        <v>13.865514705882354</v>
      </c>
      <c r="W1706" s="17"/>
      <c r="X1706" s="17" t="s">
        <v>56</v>
      </c>
      <c r="Z1706" s="17" t="s">
        <v>56</v>
      </c>
      <c r="AA1706" s="17"/>
      <c r="AB1706" s="17" t="s">
        <v>57</v>
      </c>
      <c r="AC1706" s="17">
        <v>2017</v>
      </c>
      <c r="AD1706" s="17">
        <v>0</v>
      </c>
      <c r="AE1706" s="17"/>
      <c r="AF1706" s="17"/>
      <c r="AG1706" s="17">
        <v>1998</v>
      </c>
      <c r="AH1706" s="14">
        <f t="shared" si="113"/>
        <v>19</v>
      </c>
      <c r="AI1706" s="17">
        <f t="shared" si="114"/>
        <v>19</v>
      </c>
      <c r="AJ1706" s="17"/>
      <c r="AK1706" s="17" t="s">
        <v>56</v>
      </c>
      <c r="AL1706" s="16" t="s">
        <v>1394</v>
      </c>
      <c r="AM1706" s="17">
        <v>2019</v>
      </c>
      <c r="AN1706" s="15" t="s">
        <v>343</v>
      </c>
      <c r="AO1706" s="15" t="s">
        <v>56</v>
      </c>
      <c r="AP1706" s="15"/>
      <c r="AQ1706" s="15" t="s">
        <v>56</v>
      </c>
      <c r="AR1706" s="15" t="s">
        <v>58</v>
      </c>
      <c r="AS1706" s="15" t="s">
        <v>62</v>
      </c>
      <c r="AT1706" s="15"/>
      <c r="AU1706" s="45"/>
      <c r="AV1706" s="15"/>
      <c r="AW1706" s="12" t="str">
        <f>B1706&amp;C1706&amp;L1706&amp;M1706&amp;O1706&amp;U1706&amp;AL1706&amp;AM1706</f>
        <v>TanzaniaMisali Island Marine Conservation Area non-extraction zonefishdensity1.13865514705882Jones2019</v>
      </c>
    </row>
    <row r="1707" spans="1:49" ht="14.5" x14ac:dyDescent="0.35">
      <c r="A1707" s="12">
        <v>1706</v>
      </c>
      <c r="B1707" s="15" t="s">
        <v>1388</v>
      </c>
      <c r="C1707" s="43" t="s">
        <v>1389</v>
      </c>
      <c r="D1707" s="15" t="s">
        <v>1390</v>
      </c>
      <c r="E1707" s="15" t="s">
        <v>68</v>
      </c>
      <c r="F1707" s="16" t="s">
        <v>50</v>
      </c>
      <c r="G1707" s="16" t="s">
        <v>51</v>
      </c>
      <c r="H1707" s="16" t="s">
        <v>329</v>
      </c>
      <c r="I1707" s="16" t="s">
        <v>156</v>
      </c>
      <c r="J1707" s="17">
        <v>1.4</v>
      </c>
      <c r="K1707" s="17"/>
      <c r="L1707" s="17"/>
      <c r="M1707" s="17" t="s">
        <v>1395</v>
      </c>
      <c r="N1707" s="53" t="s">
        <v>98</v>
      </c>
      <c r="O1707" s="17" t="s">
        <v>86</v>
      </c>
      <c r="P1707" s="17"/>
      <c r="Q1707" s="17"/>
      <c r="R1707" s="17"/>
      <c r="S1707" s="17">
        <v>80</v>
      </c>
      <c r="T1707" s="17">
        <v>97.142859999999999</v>
      </c>
      <c r="U1707" s="20">
        <f t="shared" si="112"/>
        <v>1.2142857499999999</v>
      </c>
      <c r="V1707" s="41">
        <f t="shared" si="115"/>
        <v>21.428574999999995</v>
      </c>
      <c r="W1707" s="17"/>
      <c r="X1707" s="17" t="s">
        <v>56</v>
      </c>
      <c r="Z1707" s="17" t="s">
        <v>56</v>
      </c>
      <c r="AA1707" s="17"/>
      <c r="AB1707" s="17" t="s">
        <v>57</v>
      </c>
      <c r="AC1707" s="17">
        <v>2017</v>
      </c>
      <c r="AD1707" s="17">
        <v>0</v>
      </c>
      <c r="AE1707" s="17"/>
      <c r="AF1707" s="17"/>
      <c r="AG1707" s="17">
        <v>1998</v>
      </c>
      <c r="AH1707" s="14">
        <f t="shared" si="113"/>
        <v>19</v>
      </c>
      <c r="AI1707" s="17">
        <f t="shared" si="114"/>
        <v>19</v>
      </c>
      <c r="AJ1707" s="17"/>
      <c r="AK1707" s="17" t="s">
        <v>56</v>
      </c>
      <c r="AL1707" s="16" t="s">
        <v>1394</v>
      </c>
      <c r="AM1707" s="17">
        <v>2019</v>
      </c>
      <c r="AN1707" s="15" t="s">
        <v>343</v>
      </c>
      <c r="AO1707" s="15" t="s">
        <v>56</v>
      </c>
      <c r="AP1707" s="15"/>
      <c r="AQ1707" s="15" t="s">
        <v>56</v>
      </c>
      <c r="AR1707" s="15" t="s">
        <v>58</v>
      </c>
      <c r="AS1707" s="15" t="s">
        <v>62</v>
      </c>
      <c r="AT1707" s="15"/>
      <c r="AU1707" s="45"/>
      <c r="AV1707" s="15"/>
      <c r="AW1707" s="12" t="str">
        <f>B1707&amp;C1707&amp;L1707&amp;M1707&amp;O1707&amp;U1707&amp;AL1707&amp;AM1707</f>
        <v>TanzaniaMisali Island Marine Conservation Area non-extraction zoneurchin predatorsdensity1.21428575Jones2019</v>
      </c>
    </row>
    <row r="1708" spans="1:49" ht="14.5" x14ac:dyDescent="0.35">
      <c r="A1708" s="12">
        <v>1707</v>
      </c>
      <c r="B1708" s="15" t="s">
        <v>1388</v>
      </c>
      <c r="C1708" s="43" t="s">
        <v>1389</v>
      </c>
      <c r="D1708" s="15" t="s">
        <v>1390</v>
      </c>
      <c r="E1708" s="12" t="s">
        <v>68</v>
      </c>
      <c r="F1708" s="13" t="s">
        <v>50</v>
      </c>
      <c r="G1708" s="13" t="s">
        <v>51</v>
      </c>
      <c r="H1708" s="16" t="s">
        <v>329</v>
      </c>
      <c r="I1708" s="16" t="s">
        <v>156</v>
      </c>
      <c r="J1708" s="17">
        <v>1.4</v>
      </c>
      <c r="K1708" s="17"/>
      <c r="L1708" s="17" t="s">
        <v>188</v>
      </c>
      <c r="M1708" s="17"/>
      <c r="N1708" s="17" t="s">
        <v>170</v>
      </c>
      <c r="O1708" s="17" t="s">
        <v>86</v>
      </c>
      <c r="P1708" s="17"/>
      <c r="Q1708" s="17"/>
      <c r="R1708" s="17"/>
      <c r="S1708" s="17">
        <v>611.42859999999996</v>
      </c>
      <c r="T1708" s="17">
        <v>794.28570000000002</v>
      </c>
      <c r="U1708" s="19">
        <f t="shared" si="112"/>
        <v>1.2990653364922742</v>
      </c>
      <c r="V1708" s="41">
        <f t="shared" si="115"/>
        <v>29.90653364922742</v>
      </c>
      <c r="W1708" s="14"/>
      <c r="X1708" s="17" t="s">
        <v>56</v>
      </c>
      <c r="Z1708" s="17" t="s">
        <v>56</v>
      </c>
      <c r="AA1708" s="17"/>
      <c r="AB1708" s="17" t="s">
        <v>57</v>
      </c>
      <c r="AC1708" s="17">
        <v>2017</v>
      </c>
      <c r="AD1708" s="17">
        <v>0</v>
      </c>
      <c r="AE1708" s="17"/>
      <c r="AF1708" s="17"/>
      <c r="AG1708" s="17">
        <v>1998</v>
      </c>
      <c r="AH1708" s="14">
        <f t="shared" si="113"/>
        <v>19</v>
      </c>
      <c r="AI1708" s="17">
        <f t="shared" si="114"/>
        <v>19</v>
      </c>
      <c r="AJ1708" s="17"/>
      <c r="AK1708" s="17" t="s">
        <v>56</v>
      </c>
      <c r="AL1708" s="16" t="s">
        <v>1394</v>
      </c>
      <c r="AM1708" s="17">
        <v>2019</v>
      </c>
      <c r="AN1708" s="15" t="s">
        <v>343</v>
      </c>
      <c r="AO1708" s="15" t="s">
        <v>56</v>
      </c>
      <c r="AP1708" s="15"/>
      <c r="AQ1708" s="15" t="s">
        <v>56</v>
      </c>
      <c r="AR1708" s="15" t="s">
        <v>58</v>
      </c>
      <c r="AS1708" s="15" t="s">
        <v>62</v>
      </c>
      <c r="AT1708" s="12"/>
      <c r="AU1708" s="45"/>
      <c r="AV1708" s="15"/>
      <c r="AW1708" s="12" t="str">
        <f>B1708&amp;C1708&amp;L1708&amp;M1708&amp;O1708&amp;U1708&amp;AL1708&amp;AM1708</f>
        <v>TanzaniaMisali Island Marine Conservation Area non-extraction zoneChaetodontidaedensity1.29906533649227Jones2019</v>
      </c>
    </row>
    <row r="1709" spans="1:49" ht="14.5" x14ac:dyDescent="0.35">
      <c r="A1709" s="12">
        <v>1708</v>
      </c>
      <c r="B1709" s="15" t="s">
        <v>1388</v>
      </c>
      <c r="C1709" s="43" t="s">
        <v>1389</v>
      </c>
      <c r="D1709" s="15" t="s">
        <v>1390</v>
      </c>
      <c r="E1709" s="15" t="s">
        <v>68</v>
      </c>
      <c r="F1709" s="16" t="s">
        <v>50</v>
      </c>
      <c r="G1709" s="16" t="s">
        <v>51</v>
      </c>
      <c r="H1709" s="16" t="s">
        <v>329</v>
      </c>
      <c r="I1709" s="16" t="s">
        <v>156</v>
      </c>
      <c r="J1709" s="17">
        <v>1.4</v>
      </c>
      <c r="K1709" s="17"/>
      <c r="L1709" s="14" t="s">
        <v>267</v>
      </c>
      <c r="M1709" s="17"/>
      <c r="N1709" s="17" t="s">
        <v>170</v>
      </c>
      <c r="O1709" s="17" t="s">
        <v>86</v>
      </c>
      <c r="P1709" s="17"/>
      <c r="Q1709" s="17"/>
      <c r="R1709" s="17"/>
      <c r="S1709" s="17">
        <v>714.28570000000002</v>
      </c>
      <c r="T1709" s="17">
        <v>942.85709999999995</v>
      </c>
      <c r="U1709" s="20">
        <f t="shared" si="112"/>
        <v>1.3199999663999993</v>
      </c>
      <c r="V1709" s="41">
        <f t="shared" si="115"/>
        <v>31.999996639999928</v>
      </c>
      <c r="W1709" s="17"/>
      <c r="X1709" s="17" t="s">
        <v>56</v>
      </c>
      <c r="Z1709" s="17" t="s">
        <v>56</v>
      </c>
      <c r="AA1709" s="17"/>
      <c r="AB1709" s="17" t="s">
        <v>57</v>
      </c>
      <c r="AC1709" s="17">
        <v>2017</v>
      </c>
      <c r="AD1709" s="17">
        <v>0</v>
      </c>
      <c r="AE1709" s="17"/>
      <c r="AF1709" s="17"/>
      <c r="AG1709" s="17">
        <v>1998</v>
      </c>
      <c r="AH1709" s="14">
        <f t="shared" si="113"/>
        <v>19</v>
      </c>
      <c r="AI1709" s="17">
        <f t="shared" si="114"/>
        <v>19</v>
      </c>
      <c r="AJ1709" s="17"/>
      <c r="AK1709" s="17" t="s">
        <v>56</v>
      </c>
      <c r="AL1709" s="16" t="s">
        <v>1394</v>
      </c>
      <c r="AM1709" s="17">
        <v>2019</v>
      </c>
      <c r="AN1709" s="15" t="s">
        <v>343</v>
      </c>
      <c r="AO1709" s="15" t="s">
        <v>56</v>
      </c>
      <c r="AP1709" s="15"/>
      <c r="AQ1709" s="15" t="s">
        <v>56</v>
      </c>
      <c r="AR1709" s="15" t="s">
        <v>58</v>
      </c>
      <c r="AS1709" s="15" t="s">
        <v>62</v>
      </c>
      <c r="AT1709" s="15"/>
      <c r="AU1709" s="45"/>
      <c r="AV1709" s="15"/>
      <c r="AW1709" s="12" t="str">
        <f>B1709&amp;C1709&amp;L1709&amp;M1709&amp;O1709&amp;U1709&amp;AL1709&amp;AM1709</f>
        <v>TanzaniaMisali Island Marine Conservation Area non-extraction zoneScaridaedensity1.3199999664Jones2019</v>
      </c>
    </row>
    <row r="1710" spans="1:49" ht="14.5" x14ac:dyDescent="0.35">
      <c r="A1710" s="12">
        <v>1709</v>
      </c>
      <c r="B1710" s="15" t="s">
        <v>1388</v>
      </c>
      <c r="C1710" s="43" t="s">
        <v>1389</v>
      </c>
      <c r="D1710" s="15" t="s">
        <v>1390</v>
      </c>
      <c r="E1710" s="15" t="s">
        <v>68</v>
      </c>
      <c r="F1710" s="16" t="s">
        <v>50</v>
      </c>
      <c r="G1710" s="16" t="s">
        <v>51</v>
      </c>
      <c r="H1710" s="16" t="s">
        <v>329</v>
      </c>
      <c r="I1710" s="16" t="s">
        <v>156</v>
      </c>
      <c r="J1710" s="17">
        <v>1.4</v>
      </c>
      <c r="K1710" s="17"/>
      <c r="L1710" s="17"/>
      <c r="M1710" s="17" t="s">
        <v>1396</v>
      </c>
      <c r="N1710" s="53" t="s">
        <v>98</v>
      </c>
      <c r="O1710" s="17" t="s">
        <v>86</v>
      </c>
      <c r="P1710" s="17"/>
      <c r="Q1710" s="17"/>
      <c r="R1710" s="17"/>
      <c r="S1710" s="17">
        <v>234.28569999999999</v>
      </c>
      <c r="T1710" s="17">
        <v>251.42859999999999</v>
      </c>
      <c r="U1710" s="20">
        <f t="shared" si="112"/>
        <v>1.0731709190957877</v>
      </c>
      <c r="V1710" s="41">
        <f t="shared" si="115"/>
        <v>7.3170919095787657</v>
      </c>
      <c r="W1710" s="17"/>
      <c r="X1710" s="17" t="s">
        <v>56</v>
      </c>
      <c r="Z1710" s="17" t="s">
        <v>56</v>
      </c>
      <c r="AA1710" s="17"/>
      <c r="AB1710" s="17" t="s">
        <v>57</v>
      </c>
      <c r="AC1710" s="17">
        <v>2017</v>
      </c>
      <c r="AD1710" s="17">
        <v>0</v>
      </c>
      <c r="AE1710" s="17"/>
      <c r="AF1710" s="17"/>
      <c r="AG1710" s="17">
        <v>1998</v>
      </c>
      <c r="AH1710" s="14">
        <f t="shared" si="113"/>
        <v>19</v>
      </c>
      <c r="AI1710" s="17">
        <f t="shared" si="114"/>
        <v>19</v>
      </c>
      <c r="AJ1710" s="17"/>
      <c r="AK1710" s="17" t="s">
        <v>56</v>
      </c>
      <c r="AL1710" s="16" t="s">
        <v>1394</v>
      </c>
      <c r="AM1710" s="17">
        <v>2019</v>
      </c>
      <c r="AN1710" s="15" t="s">
        <v>343</v>
      </c>
      <c r="AO1710" s="15" t="s">
        <v>56</v>
      </c>
      <c r="AP1710" s="15"/>
      <c r="AQ1710" s="15" t="s">
        <v>56</v>
      </c>
      <c r="AR1710" s="15" t="s">
        <v>58</v>
      </c>
      <c r="AS1710" s="15" t="s">
        <v>62</v>
      </c>
      <c r="AT1710" s="15"/>
      <c r="AU1710" s="45"/>
      <c r="AV1710" s="15"/>
      <c r="AW1710" s="12" t="str">
        <f>B1710&amp;C1710&amp;L1710&amp;M1710&amp;O1710&amp;U1710&amp;AL1710&amp;AM1710</f>
        <v>TanzaniaMisali Island Marine Conservation Area non-extraction zoneLarge-bodied predatory fishdensity1.07317091909579Jones2019</v>
      </c>
    </row>
    <row r="1711" spans="1:49" ht="14.5" x14ac:dyDescent="0.35">
      <c r="A1711" s="12">
        <v>1710</v>
      </c>
      <c r="B1711" s="15" t="s">
        <v>968</v>
      </c>
      <c r="C1711" s="15" t="s">
        <v>2723</v>
      </c>
      <c r="D1711" s="15" t="s">
        <v>1878</v>
      </c>
      <c r="E1711" s="12" t="s">
        <v>68</v>
      </c>
      <c r="F1711" s="13" t="s">
        <v>480</v>
      </c>
      <c r="G1711" s="13" t="s">
        <v>51</v>
      </c>
      <c r="H1711" s="16" t="s">
        <v>78</v>
      </c>
      <c r="I1711" s="16" t="s">
        <v>156</v>
      </c>
      <c r="J1711" s="17">
        <f>425+403</f>
        <v>828</v>
      </c>
      <c r="K1711" s="17"/>
      <c r="L1711" s="17"/>
      <c r="M1711" s="17" t="s">
        <v>54</v>
      </c>
      <c r="N1711" s="17" t="s">
        <v>1070</v>
      </c>
      <c r="O1711" s="17" t="s">
        <v>55</v>
      </c>
      <c r="P1711" s="17"/>
      <c r="Q1711" s="17"/>
      <c r="R1711" s="17"/>
      <c r="S1711" s="17">
        <v>20</v>
      </c>
      <c r="T1711" s="17">
        <v>18</v>
      </c>
      <c r="U1711" s="19">
        <f t="shared" si="112"/>
        <v>0.9</v>
      </c>
      <c r="V1711" s="41">
        <f t="shared" si="115"/>
        <v>-9.9999999999999982</v>
      </c>
      <c r="W1711" s="14"/>
      <c r="X1711" s="17" t="s">
        <v>58</v>
      </c>
      <c r="Y1711" s="14">
        <v>70</v>
      </c>
      <c r="Z1711" s="17" t="s">
        <v>56</v>
      </c>
      <c r="AA1711" s="17"/>
      <c r="AB1711" s="17" t="s">
        <v>57</v>
      </c>
      <c r="AC1711" s="17">
        <v>2012</v>
      </c>
      <c r="AD1711" s="17">
        <v>0</v>
      </c>
      <c r="AE1711" s="17"/>
      <c r="AF1711" s="17"/>
      <c r="AG1711" s="17">
        <v>2012</v>
      </c>
      <c r="AH1711" s="14">
        <f t="shared" si="113"/>
        <v>0</v>
      </c>
      <c r="AI1711" s="17">
        <f t="shared" si="114"/>
        <v>0</v>
      </c>
      <c r="AJ1711" s="17"/>
      <c r="AK1711" s="17" t="s">
        <v>56</v>
      </c>
      <c r="AL1711" s="16" t="s">
        <v>1879</v>
      </c>
      <c r="AM1711" s="17">
        <v>2016</v>
      </c>
      <c r="AN1711" s="15" t="s">
        <v>459</v>
      </c>
      <c r="AO1711" s="15" t="s">
        <v>56</v>
      </c>
      <c r="AP1711" s="15"/>
      <c r="AQ1711" s="15" t="s">
        <v>56</v>
      </c>
      <c r="AR1711" s="15" t="s">
        <v>58</v>
      </c>
      <c r="AS1711" s="15" t="s">
        <v>62</v>
      </c>
      <c r="AT1711" s="12"/>
      <c r="AU1711" s="45" t="s">
        <v>1880</v>
      </c>
      <c r="AV1711" s="15"/>
      <c r="AW1711" s="12" t="str">
        <f>B1711&amp;C1711&amp;L1711&amp;M1711&amp;O1711&amp;U1711&amp;AL1711&amp;AM1711</f>
        <v>IndonesiaBatbitim NTZ &amp; Daram NTZFishrichness0.9Jaiteh2016</v>
      </c>
    </row>
    <row r="1712" spans="1:49" ht="14.5" x14ac:dyDescent="0.35">
      <c r="A1712" s="12">
        <v>1711</v>
      </c>
      <c r="B1712" s="15" t="s">
        <v>551</v>
      </c>
      <c r="C1712" s="43" t="s">
        <v>1960</v>
      </c>
      <c r="D1712" s="15" t="s">
        <v>2559</v>
      </c>
      <c r="E1712" s="15" t="s">
        <v>68</v>
      </c>
      <c r="F1712" s="13" t="s">
        <v>50</v>
      </c>
      <c r="G1712" s="13" t="s">
        <v>51</v>
      </c>
      <c r="H1712" s="16" t="s">
        <v>52</v>
      </c>
      <c r="I1712" s="16" t="s">
        <v>53</v>
      </c>
      <c r="J1712" s="17">
        <v>0.87</v>
      </c>
      <c r="K1712" s="17"/>
      <c r="L1712" s="17" t="s">
        <v>566</v>
      </c>
      <c r="M1712" s="17" t="s">
        <v>1103</v>
      </c>
      <c r="N1712" s="14" t="s">
        <v>85</v>
      </c>
      <c r="O1712" s="17" t="s">
        <v>86</v>
      </c>
      <c r="P1712" s="17"/>
      <c r="Q1712" s="17"/>
      <c r="R1712" s="17"/>
      <c r="S1712" s="17">
        <v>37.046979999999998</v>
      </c>
      <c r="T1712" s="17">
        <v>144.69800000000001</v>
      </c>
      <c r="U1712" s="20">
        <f t="shared" si="112"/>
        <v>3.9057974496166765</v>
      </c>
      <c r="V1712" s="41">
        <f t="shared" si="115"/>
        <v>290.57974496166764</v>
      </c>
      <c r="W1712" s="17"/>
      <c r="X1712" s="17" t="s">
        <v>56</v>
      </c>
      <c r="Z1712" s="17" t="s">
        <v>56</v>
      </c>
      <c r="AA1712" s="17"/>
      <c r="AB1712" s="17" t="s">
        <v>57</v>
      </c>
      <c r="AC1712" s="17">
        <v>2006</v>
      </c>
      <c r="AD1712" s="17">
        <v>1</v>
      </c>
      <c r="AE1712" s="17"/>
      <c r="AF1712" s="17"/>
      <c r="AG1712" s="17">
        <v>1993</v>
      </c>
      <c r="AH1712" s="14">
        <f t="shared" si="113"/>
        <v>13</v>
      </c>
      <c r="AI1712" s="17">
        <f t="shared" si="114"/>
        <v>14</v>
      </c>
      <c r="AJ1712" s="17"/>
      <c r="AK1712" s="17" t="s">
        <v>56</v>
      </c>
      <c r="AL1712" s="16" t="s">
        <v>1104</v>
      </c>
      <c r="AM1712" s="17">
        <v>2009</v>
      </c>
      <c r="AN1712" s="15" t="s">
        <v>183</v>
      </c>
      <c r="AO1712" s="15" t="s">
        <v>56</v>
      </c>
      <c r="AP1712" s="15"/>
      <c r="AQ1712" s="15" t="s">
        <v>56</v>
      </c>
      <c r="AR1712" s="15" t="s">
        <v>58</v>
      </c>
      <c r="AS1712" s="15" t="s">
        <v>62</v>
      </c>
      <c r="AT1712" s="15"/>
      <c r="AU1712" s="45"/>
      <c r="AV1712" s="15"/>
      <c r="AW1712" s="12" t="str">
        <f>B1712&amp;C1712&amp;L1712&amp;M1712&amp;O1712&amp;U1712&amp;AL1712&amp;AM1712</f>
        <v>New ZealandTe Awaatu Channel Marine ReserveJasus edwardsiired rock lobstersdensity3.90579744961668Jack2009</v>
      </c>
    </row>
    <row r="1713" spans="1:49" ht="14.5" x14ac:dyDescent="0.35">
      <c r="A1713" s="12">
        <v>1712</v>
      </c>
      <c r="B1713" s="15" t="s">
        <v>551</v>
      </c>
      <c r="C1713" s="15" t="s">
        <v>1102</v>
      </c>
      <c r="D1713" s="15" t="s">
        <v>2559</v>
      </c>
      <c r="E1713" s="12" t="s">
        <v>68</v>
      </c>
      <c r="F1713" s="13" t="s">
        <v>50</v>
      </c>
      <c r="G1713" s="13" t="s">
        <v>51</v>
      </c>
      <c r="H1713" s="16" t="s">
        <v>52</v>
      </c>
      <c r="I1713" s="16" t="s">
        <v>53</v>
      </c>
      <c r="J1713" s="17">
        <v>4.2640000000000002</v>
      </c>
      <c r="K1713" s="17"/>
      <c r="L1713" s="17" t="s">
        <v>566</v>
      </c>
      <c r="M1713" s="17" t="s">
        <v>1103</v>
      </c>
      <c r="N1713" s="14" t="s">
        <v>85</v>
      </c>
      <c r="O1713" s="17" t="s">
        <v>86</v>
      </c>
      <c r="P1713" s="17"/>
      <c r="Q1713" s="17"/>
      <c r="R1713" s="17"/>
      <c r="S1713" s="17">
        <v>37.046979999999998</v>
      </c>
      <c r="T1713" s="17">
        <v>44.295299999999997</v>
      </c>
      <c r="U1713" s="19">
        <f t="shared" si="112"/>
        <v>1.1956521152331445</v>
      </c>
      <c r="V1713" s="41">
        <f t="shared" si="115"/>
        <v>19.565211523314453</v>
      </c>
      <c r="W1713" s="14"/>
      <c r="X1713" s="17" t="s">
        <v>56</v>
      </c>
      <c r="Z1713" s="17" t="s">
        <v>56</v>
      </c>
      <c r="AA1713" s="17"/>
      <c r="AB1713" s="17" t="s">
        <v>57</v>
      </c>
      <c r="AC1713" s="17">
        <v>2006</v>
      </c>
      <c r="AD1713" s="17">
        <v>1</v>
      </c>
      <c r="AE1713" s="17"/>
      <c r="AF1713" s="17"/>
      <c r="AG1713" s="17">
        <v>2005</v>
      </c>
      <c r="AH1713" s="14">
        <f t="shared" si="113"/>
        <v>1</v>
      </c>
      <c r="AI1713" s="17">
        <f t="shared" si="114"/>
        <v>2</v>
      </c>
      <c r="AJ1713" s="17"/>
      <c r="AK1713" s="17" t="s">
        <v>56</v>
      </c>
      <c r="AL1713" s="16" t="s">
        <v>1104</v>
      </c>
      <c r="AM1713" s="17">
        <v>2009</v>
      </c>
      <c r="AN1713" s="15" t="s">
        <v>183</v>
      </c>
      <c r="AO1713" s="15" t="s">
        <v>56</v>
      </c>
      <c r="AP1713" s="15"/>
      <c r="AQ1713" s="15" t="s">
        <v>56</v>
      </c>
      <c r="AR1713" s="15" t="s">
        <v>58</v>
      </c>
      <c r="AS1713" s="15" t="s">
        <v>62</v>
      </c>
      <c r="AT1713" s="12"/>
      <c r="AU1713" s="45"/>
      <c r="AV1713" s="15"/>
      <c r="AW1713" s="12" t="str">
        <f>B1713&amp;C1713&amp;L1713&amp;M1713&amp;O1713&amp;U1713&amp;AL1713&amp;AM1713</f>
        <v>New ZealandKuta Parera ReserveJasus edwardsiired rock lobstersdensity1.19565211523314Jack2009</v>
      </c>
    </row>
    <row r="1714" spans="1:49" ht="14.5" x14ac:dyDescent="0.35">
      <c r="A1714" s="12">
        <v>1713</v>
      </c>
      <c r="B1714" s="15" t="s">
        <v>551</v>
      </c>
      <c r="C1714" s="43" t="s">
        <v>1960</v>
      </c>
      <c r="D1714" s="15" t="s">
        <v>2559</v>
      </c>
      <c r="E1714" s="12" t="s">
        <v>68</v>
      </c>
      <c r="F1714" s="13" t="s">
        <v>50</v>
      </c>
      <c r="G1714" s="13" t="s">
        <v>51</v>
      </c>
      <c r="H1714" s="16" t="s">
        <v>52</v>
      </c>
      <c r="I1714" s="16" t="s">
        <v>53</v>
      </c>
      <c r="J1714" s="17">
        <v>0.87</v>
      </c>
      <c r="K1714" s="17"/>
      <c r="L1714" s="17"/>
      <c r="M1714" s="17" t="s">
        <v>2800</v>
      </c>
      <c r="N1714" s="17" t="s">
        <v>1070</v>
      </c>
      <c r="O1714" s="17" t="s">
        <v>101</v>
      </c>
      <c r="P1714" s="17"/>
      <c r="Q1714" s="17"/>
      <c r="R1714" s="17"/>
      <c r="S1714" s="17">
        <v>15.52632</v>
      </c>
      <c r="T1714" s="17">
        <v>27.807020000000001</v>
      </c>
      <c r="U1714" s="19">
        <f t="shared" si="112"/>
        <v>1.7909601244853901</v>
      </c>
      <c r="V1714" s="41">
        <f t="shared" si="115"/>
        <v>79.096012448539014</v>
      </c>
      <c r="W1714" s="14"/>
      <c r="X1714" s="17" t="s">
        <v>56</v>
      </c>
      <c r="Z1714" s="17" t="s">
        <v>56</v>
      </c>
      <c r="AA1714" s="17"/>
      <c r="AB1714" s="17" t="s">
        <v>57</v>
      </c>
      <c r="AC1714" s="17">
        <v>2006</v>
      </c>
      <c r="AD1714" s="17">
        <v>1</v>
      </c>
      <c r="AE1714" s="17"/>
      <c r="AF1714" s="17"/>
      <c r="AG1714" s="17">
        <v>1993</v>
      </c>
      <c r="AH1714" s="14">
        <f t="shared" si="113"/>
        <v>13</v>
      </c>
      <c r="AI1714" s="17">
        <f t="shared" si="114"/>
        <v>14</v>
      </c>
      <c r="AJ1714" s="17"/>
      <c r="AK1714" s="17" t="s">
        <v>56</v>
      </c>
      <c r="AL1714" s="16" t="s">
        <v>1104</v>
      </c>
      <c r="AM1714" s="17">
        <v>2009</v>
      </c>
      <c r="AN1714" s="15" t="s">
        <v>183</v>
      </c>
      <c r="AO1714" s="15" t="s">
        <v>56</v>
      </c>
      <c r="AP1714" s="15"/>
      <c r="AQ1714" s="15" t="s">
        <v>56</v>
      </c>
      <c r="AR1714" s="15" t="s">
        <v>58</v>
      </c>
      <c r="AS1714" s="15" t="s">
        <v>62</v>
      </c>
      <c r="AT1714" s="12"/>
      <c r="AU1714" s="45"/>
      <c r="AV1714" s="15"/>
      <c r="AW1714" s="12" t="str">
        <f>B1714&amp;C1714&amp;L1714&amp;M1714&amp;O1714&amp;U1714&amp;AL1714&amp;AM1714</f>
        <v>New ZealandTe Awaatu Channel Marine Reserveprey musselscover1.79096012448539Jack2009</v>
      </c>
    </row>
    <row r="1715" spans="1:49" ht="14.5" x14ac:dyDescent="0.35">
      <c r="A1715" s="12">
        <v>1714</v>
      </c>
      <c r="B1715" s="15" t="s">
        <v>551</v>
      </c>
      <c r="C1715" s="15" t="s">
        <v>1102</v>
      </c>
      <c r="D1715" s="15" t="s">
        <v>2559</v>
      </c>
      <c r="E1715" s="12" t="s">
        <v>68</v>
      </c>
      <c r="F1715" s="13" t="s">
        <v>50</v>
      </c>
      <c r="G1715" s="13" t="s">
        <v>51</v>
      </c>
      <c r="H1715" s="16" t="s">
        <v>52</v>
      </c>
      <c r="I1715" s="16" t="s">
        <v>53</v>
      </c>
      <c r="J1715" s="17">
        <v>4.2640000000000002</v>
      </c>
      <c r="K1715" s="17"/>
      <c r="L1715" s="17"/>
      <c r="M1715" s="17" t="s">
        <v>2800</v>
      </c>
      <c r="N1715" s="17" t="s">
        <v>1070</v>
      </c>
      <c r="O1715" s="17" t="s">
        <v>101</v>
      </c>
      <c r="P1715" s="17"/>
      <c r="Q1715" s="17"/>
      <c r="R1715" s="17"/>
      <c r="S1715" s="17">
        <v>15.52632</v>
      </c>
      <c r="T1715" s="17">
        <v>18.157889999999998</v>
      </c>
      <c r="U1715" s="19">
        <f t="shared" si="112"/>
        <v>1.1694909031889076</v>
      </c>
      <c r="V1715" s="41">
        <f t="shared" si="115"/>
        <v>16.949090318890757</v>
      </c>
      <c r="W1715" s="14"/>
      <c r="X1715" s="17" t="s">
        <v>56</v>
      </c>
      <c r="Z1715" s="17" t="s">
        <v>56</v>
      </c>
      <c r="AA1715" s="17"/>
      <c r="AB1715" s="17" t="s">
        <v>57</v>
      </c>
      <c r="AC1715" s="17">
        <v>2006</v>
      </c>
      <c r="AD1715" s="17">
        <v>1</v>
      </c>
      <c r="AE1715" s="17"/>
      <c r="AF1715" s="17"/>
      <c r="AG1715" s="17">
        <v>2005</v>
      </c>
      <c r="AH1715" s="14">
        <f t="shared" si="113"/>
        <v>1</v>
      </c>
      <c r="AI1715" s="17">
        <f t="shared" si="114"/>
        <v>2</v>
      </c>
      <c r="AJ1715" s="17"/>
      <c r="AK1715" s="17" t="s">
        <v>56</v>
      </c>
      <c r="AL1715" s="16" t="s">
        <v>1104</v>
      </c>
      <c r="AM1715" s="17">
        <v>2009</v>
      </c>
      <c r="AN1715" s="15" t="s">
        <v>183</v>
      </c>
      <c r="AO1715" s="15" t="s">
        <v>56</v>
      </c>
      <c r="AP1715" s="15"/>
      <c r="AQ1715" s="15" t="s">
        <v>56</v>
      </c>
      <c r="AR1715" s="15" t="s">
        <v>58</v>
      </c>
      <c r="AS1715" s="15" t="s">
        <v>62</v>
      </c>
      <c r="AT1715" s="12"/>
      <c r="AU1715" s="45"/>
      <c r="AV1715" s="15"/>
      <c r="AW1715" s="12" t="str">
        <f>B1715&amp;C1715&amp;L1715&amp;M1715&amp;O1715&amp;U1715&amp;AL1715&amp;AM1715</f>
        <v>New ZealandKuta Parera Reserveprey musselscover1.16949090318891Jack2009</v>
      </c>
    </row>
    <row r="1716" spans="1:49" ht="14.5" x14ac:dyDescent="0.35">
      <c r="A1716" s="12">
        <v>1715</v>
      </c>
      <c r="B1716" s="15" t="s">
        <v>551</v>
      </c>
      <c r="C1716" s="43" t="s">
        <v>1960</v>
      </c>
      <c r="D1716" s="15" t="s">
        <v>2559</v>
      </c>
      <c r="E1716" s="12" t="s">
        <v>68</v>
      </c>
      <c r="F1716" s="13" t="s">
        <v>50</v>
      </c>
      <c r="G1716" s="13" t="s">
        <v>51</v>
      </c>
      <c r="H1716" s="16" t="s">
        <v>52</v>
      </c>
      <c r="I1716" s="16" t="s">
        <v>53</v>
      </c>
      <c r="J1716" s="17">
        <v>0.87</v>
      </c>
      <c r="K1716" s="17"/>
      <c r="L1716" s="17" t="s">
        <v>566</v>
      </c>
      <c r="M1716" s="17" t="s">
        <v>1103</v>
      </c>
      <c r="N1716" s="14" t="s">
        <v>85</v>
      </c>
      <c r="O1716" s="17" t="s">
        <v>86</v>
      </c>
      <c r="P1716" s="17"/>
      <c r="Q1716" s="17"/>
      <c r="R1716" s="17"/>
      <c r="S1716" s="17">
        <v>4.5652169999999996</v>
      </c>
      <c r="T1716" s="17">
        <v>48.695650000000001</v>
      </c>
      <c r="U1716" s="19">
        <f t="shared" si="112"/>
        <v>10.666667104761943</v>
      </c>
      <c r="V1716" s="41">
        <f t="shared" si="115"/>
        <v>966.66671047619434</v>
      </c>
      <c r="W1716" s="14"/>
      <c r="X1716" s="17" t="s">
        <v>56</v>
      </c>
      <c r="Z1716" s="17" t="s">
        <v>56</v>
      </c>
      <c r="AA1716" s="17"/>
      <c r="AB1716" s="17" t="s">
        <v>57</v>
      </c>
      <c r="AC1716" s="17">
        <v>2006</v>
      </c>
      <c r="AD1716" s="17">
        <v>1</v>
      </c>
      <c r="AE1716" s="17"/>
      <c r="AF1716" s="17"/>
      <c r="AG1716" s="17">
        <v>1993</v>
      </c>
      <c r="AH1716" s="14">
        <f t="shared" si="113"/>
        <v>13</v>
      </c>
      <c r="AI1716" s="17">
        <f t="shared" si="114"/>
        <v>14</v>
      </c>
      <c r="AJ1716" s="17"/>
      <c r="AK1716" s="17" t="s">
        <v>56</v>
      </c>
      <c r="AL1716" s="16" t="s">
        <v>1104</v>
      </c>
      <c r="AM1716" s="17">
        <v>2010</v>
      </c>
      <c r="AN1716" s="15" t="s">
        <v>183</v>
      </c>
      <c r="AO1716" s="15" t="s">
        <v>56</v>
      </c>
      <c r="AP1716" s="15"/>
      <c r="AQ1716" s="15" t="s">
        <v>56</v>
      </c>
      <c r="AR1716" s="15" t="s">
        <v>58</v>
      </c>
      <c r="AS1716" s="15" t="s">
        <v>62</v>
      </c>
      <c r="AT1716" s="12"/>
      <c r="AU1716" s="45"/>
      <c r="AV1716" s="15"/>
      <c r="AW1716" s="12" t="str">
        <f>B1716&amp;C1716&amp;L1716&amp;M1716&amp;O1716&amp;U1716&amp;AL1716&amp;AM1716</f>
        <v>New ZealandTe Awaatu Channel Marine ReserveJasus edwardsiired rock lobstersdensity10.6666671047619Jack2010</v>
      </c>
    </row>
    <row r="1717" spans="1:49" ht="14.5" x14ac:dyDescent="0.35">
      <c r="A1717" s="12">
        <v>1716</v>
      </c>
      <c r="B1717" s="15" t="s">
        <v>551</v>
      </c>
      <c r="C1717" s="15" t="s">
        <v>1102</v>
      </c>
      <c r="D1717" s="15" t="s">
        <v>2559</v>
      </c>
      <c r="E1717" s="15" t="s">
        <v>68</v>
      </c>
      <c r="F1717" s="16" t="s">
        <v>50</v>
      </c>
      <c r="G1717" s="16" t="s">
        <v>51</v>
      </c>
      <c r="H1717" s="16" t="s">
        <v>52</v>
      </c>
      <c r="I1717" s="16" t="s">
        <v>53</v>
      </c>
      <c r="J1717" s="17">
        <v>4.2640000000000002</v>
      </c>
      <c r="K1717" s="17"/>
      <c r="L1717" s="17" t="s">
        <v>566</v>
      </c>
      <c r="M1717" s="17" t="s">
        <v>1103</v>
      </c>
      <c r="N1717" s="14" t="s">
        <v>85</v>
      </c>
      <c r="O1717" s="17" t="s">
        <v>86</v>
      </c>
      <c r="P1717" s="17"/>
      <c r="Q1717" s="17"/>
      <c r="R1717" s="17"/>
      <c r="S1717" s="17">
        <v>4.5652169999999996</v>
      </c>
      <c r="T1717" s="17">
        <v>6.3043480000000001</v>
      </c>
      <c r="U1717" s="20">
        <f t="shared" si="112"/>
        <v>1.3809525374149796</v>
      </c>
      <c r="V1717" s="41">
        <f t="shared" si="115"/>
        <v>38.095253741497956</v>
      </c>
      <c r="W1717" s="17"/>
      <c r="X1717" s="17" t="s">
        <v>56</v>
      </c>
      <c r="Z1717" s="17" t="s">
        <v>56</v>
      </c>
      <c r="AA1717" s="17"/>
      <c r="AB1717" s="17" t="s">
        <v>57</v>
      </c>
      <c r="AC1717" s="17">
        <v>2006</v>
      </c>
      <c r="AD1717" s="17">
        <v>1</v>
      </c>
      <c r="AE1717" s="17"/>
      <c r="AF1717" s="17"/>
      <c r="AG1717" s="17">
        <v>2005</v>
      </c>
      <c r="AH1717" s="14">
        <f t="shared" si="113"/>
        <v>1</v>
      </c>
      <c r="AI1717" s="17">
        <f t="shared" si="114"/>
        <v>2</v>
      </c>
      <c r="AJ1717" s="17"/>
      <c r="AK1717" s="17" t="s">
        <v>56</v>
      </c>
      <c r="AL1717" s="16" t="s">
        <v>1104</v>
      </c>
      <c r="AM1717" s="17">
        <v>2010</v>
      </c>
      <c r="AN1717" s="15" t="s">
        <v>183</v>
      </c>
      <c r="AO1717" s="15" t="s">
        <v>56</v>
      </c>
      <c r="AP1717" s="15"/>
      <c r="AQ1717" s="15" t="s">
        <v>56</v>
      </c>
      <c r="AR1717" s="15" t="s">
        <v>58</v>
      </c>
      <c r="AS1717" s="15" t="s">
        <v>62</v>
      </c>
      <c r="AT1717" s="15"/>
      <c r="AU1717" s="45"/>
      <c r="AV1717" s="15"/>
      <c r="AW1717" s="12" t="str">
        <f>B1717&amp;C1717&amp;L1717&amp;M1717&amp;O1717&amp;U1717&amp;AL1717&amp;AM1717</f>
        <v>New ZealandKuta Parera ReserveJasus edwardsiired rock lobstersdensity1.38095253741498Jack2010</v>
      </c>
    </row>
    <row r="1718" spans="1:49" ht="14.5" x14ac:dyDescent="0.35">
      <c r="A1718" s="12">
        <v>1717</v>
      </c>
      <c r="B1718" s="15" t="s">
        <v>551</v>
      </c>
      <c r="C1718" s="43" t="s">
        <v>1960</v>
      </c>
      <c r="D1718" s="15" t="s">
        <v>2559</v>
      </c>
      <c r="E1718" s="12" t="s">
        <v>68</v>
      </c>
      <c r="F1718" s="13" t="s">
        <v>50</v>
      </c>
      <c r="G1718" s="13" t="s">
        <v>51</v>
      </c>
      <c r="H1718" s="16" t="s">
        <v>52</v>
      </c>
      <c r="I1718" s="16" t="s">
        <v>53</v>
      </c>
      <c r="J1718" s="17">
        <v>0.87</v>
      </c>
      <c r="K1718" s="17"/>
      <c r="L1718" s="17" t="s">
        <v>566</v>
      </c>
      <c r="M1718" s="17" t="s">
        <v>1103</v>
      </c>
      <c r="N1718" s="14" t="s">
        <v>85</v>
      </c>
      <c r="O1718" s="17" t="s">
        <v>104</v>
      </c>
      <c r="P1718" s="17" t="s">
        <v>1105</v>
      </c>
      <c r="Q1718" s="17"/>
      <c r="R1718" s="17"/>
      <c r="S1718" s="17">
        <v>11.187010000000001</v>
      </c>
      <c r="T1718" s="17">
        <v>11.008319999999999</v>
      </c>
      <c r="U1718" s="19">
        <f t="shared" si="112"/>
        <v>0.984027009898087</v>
      </c>
      <c r="V1718" s="41">
        <f t="shared" si="115"/>
        <v>-1.5972990101912998</v>
      </c>
      <c r="W1718" s="14"/>
      <c r="X1718" s="17" t="s">
        <v>56</v>
      </c>
      <c r="Z1718" s="17" t="s">
        <v>56</v>
      </c>
      <c r="AA1718" s="17"/>
      <c r="AB1718" s="17" t="s">
        <v>57</v>
      </c>
      <c r="AC1718" s="17">
        <v>2006</v>
      </c>
      <c r="AD1718" s="17">
        <v>1</v>
      </c>
      <c r="AE1718" s="17"/>
      <c r="AF1718" s="17"/>
      <c r="AG1718" s="17">
        <v>1993</v>
      </c>
      <c r="AH1718" s="14">
        <f t="shared" si="113"/>
        <v>13</v>
      </c>
      <c r="AI1718" s="17">
        <f t="shared" si="114"/>
        <v>14</v>
      </c>
      <c r="AJ1718" s="17"/>
      <c r="AK1718" s="17" t="s">
        <v>56</v>
      </c>
      <c r="AL1718" s="16" t="s">
        <v>1104</v>
      </c>
      <c r="AM1718" s="17">
        <v>2010</v>
      </c>
      <c r="AN1718" s="15" t="s">
        <v>183</v>
      </c>
      <c r="AO1718" s="15" t="s">
        <v>56</v>
      </c>
      <c r="AP1718" s="15"/>
      <c r="AQ1718" s="15" t="s">
        <v>56</v>
      </c>
      <c r="AR1718" s="15" t="s">
        <v>58</v>
      </c>
      <c r="AS1718" s="15" t="s">
        <v>62</v>
      </c>
      <c r="AT1718" s="12"/>
      <c r="AU1718" s="45" t="s">
        <v>1106</v>
      </c>
      <c r="AV1718" s="15"/>
      <c r="AW1718" s="12" t="str">
        <f>B1718&amp;C1718&amp;L1718&amp;M1718&amp;O1718&amp;U1718&amp;AL1718&amp;AM1718</f>
        <v>New ZealandTe Awaatu Channel Marine ReserveJasus edwardsiired rock lobsterssize0.984027009898087Jack2010</v>
      </c>
    </row>
    <row r="1719" spans="1:49" ht="14.5" x14ac:dyDescent="0.35">
      <c r="A1719" s="12">
        <v>1718</v>
      </c>
      <c r="B1719" s="15" t="s">
        <v>551</v>
      </c>
      <c r="C1719" s="12" t="s">
        <v>1102</v>
      </c>
      <c r="D1719" s="12" t="s">
        <v>2559</v>
      </c>
      <c r="E1719" s="12" t="s">
        <v>68</v>
      </c>
      <c r="F1719" s="13" t="s">
        <v>50</v>
      </c>
      <c r="G1719" s="13" t="s">
        <v>51</v>
      </c>
      <c r="H1719" s="13" t="s">
        <v>52</v>
      </c>
      <c r="I1719" s="13" t="s">
        <v>53</v>
      </c>
      <c r="J1719" s="17">
        <v>4.2640000000000002</v>
      </c>
      <c r="K1719" s="14"/>
      <c r="L1719" s="14" t="s">
        <v>566</v>
      </c>
      <c r="M1719" s="14" t="s">
        <v>1103</v>
      </c>
      <c r="N1719" s="14" t="s">
        <v>85</v>
      </c>
      <c r="O1719" s="17" t="s">
        <v>104</v>
      </c>
      <c r="P1719" s="14" t="s">
        <v>1105</v>
      </c>
      <c r="Q1719" s="14"/>
      <c r="R1719" s="14"/>
      <c r="S1719" s="14">
        <v>11.187010000000001</v>
      </c>
      <c r="T1719" s="14">
        <v>11.177809999999999</v>
      </c>
      <c r="U1719" s="19">
        <f t="shared" si="112"/>
        <v>0.99917761761185508</v>
      </c>
      <c r="V1719" s="41">
        <f t="shared" si="115"/>
        <v>-8.2238238814491549E-2</v>
      </c>
      <c r="W1719" s="14"/>
      <c r="X1719" s="14" t="s">
        <v>56</v>
      </c>
      <c r="Z1719" s="14" t="s">
        <v>56</v>
      </c>
      <c r="AA1719" s="14"/>
      <c r="AB1719" s="14" t="s">
        <v>57</v>
      </c>
      <c r="AC1719" s="14">
        <v>2006</v>
      </c>
      <c r="AD1719" s="14">
        <v>1</v>
      </c>
      <c r="AE1719" s="14"/>
      <c r="AF1719" s="14"/>
      <c r="AG1719" s="14">
        <v>2005</v>
      </c>
      <c r="AH1719" s="14">
        <f t="shared" si="113"/>
        <v>1</v>
      </c>
      <c r="AI1719" s="17">
        <f t="shared" si="114"/>
        <v>2</v>
      </c>
      <c r="AJ1719" s="14"/>
      <c r="AK1719" s="14" t="s">
        <v>56</v>
      </c>
      <c r="AL1719" s="13" t="s">
        <v>1104</v>
      </c>
      <c r="AM1719" s="14">
        <v>2010</v>
      </c>
      <c r="AN1719" s="12" t="s">
        <v>183</v>
      </c>
      <c r="AO1719" s="12" t="s">
        <v>56</v>
      </c>
      <c r="AP1719" s="12"/>
      <c r="AQ1719" s="12" t="s">
        <v>56</v>
      </c>
      <c r="AR1719" s="12" t="s">
        <v>58</v>
      </c>
      <c r="AS1719" s="12" t="s">
        <v>62</v>
      </c>
      <c r="AT1719" s="12"/>
      <c r="AU1719" s="45" t="s">
        <v>1106</v>
      </c>
      <c r="AV1719" s="15"/>
      <c r="AW1719" s="12" t="str">
        <f>B1719&amp;C1719&amp;L1719&amp;M1719&amp;O1719&amp;U1719&amp;AL1719&amp;AM1719</f>
        <v>New ZealandKuta Parera ReserveJasus edwardsiired rock lobsterssize0.999177617611855Jack2010</v>
      </c>
    </row>
    <row r="1720" spans="1:49" ht="14.5" x14ac:dyDescent="0.35">
      <c r="A1720" s="12">
        <v>1719</v>
      </c>
      <c r="B1720" s="15" t="s">
        <v>599</v>
      </c>
      <c r="C1720" s="15" t="s">
        <v>600</v>
      </c>
      <c r="D1720" s="15" t="s">
        <v>600</v>
      </c>
      <c r="E1720" s="15" t="s">
        <v>68</v>
      </c>
      <c r="F1720" s="16" t="s">
        <v>50</v>
      </c>
      <c r="G1720" s="16" t="s">
        <v>51</v>
      </c>
      <c r="H1720" s="16" t="s">
        <v>78</v>
      </c>
      <c r="I1720" s="16" t="s">
        <v>53</v>
      </c>
      <c r="J1720" s="17">
        <v>0.81</v>
      </c>
      <c r="K1720" s="17"/>
      <c r="L1720" s="17" t="s">
        <v>188</v>
      </c>
      <c r="M1720" s="17" t="s">
        <v>962</v>
      </c>
      <c r="N1720" s="17" t="s">
        <v>170</v>
      </c>
      <c r="O1720" s="17" t="s">
        <v>86</v>
      </c>
      <c r="P1720" s="17"/>
      <c r="Q1720" s="17"/>
      <c r="R1720" s="17">
        <v>146</v>
      </c>
      <c r="S1720" s="17"/>
      <c r="T1720" s="17">
        <v>202</v>
      </c>
      <c r="U1720" s="20">
        <f t="shared" si="112"/>
        <v>1.3835616438356164</v>
      </c>
      <c r="V1720" s="41">
        <f t="shared" si="115"/>
        <v>38.356164383561641</v>
      </c>
      <c r="W1720" s="17"/>
      <c r="X1720" s="17" t="s">
        <v>56</v>
      </c>
      <c r="Z1720" s="17" t="s">
        <v>56</v>
      </c>
      <c r="AA1720" s="17"/>
      <c r="AB1720" s="17" t="s">
        <v>192</v>
      </c>
      <c r="AC1720" s="17">
        <v>2001</v>
      </c>
      <c r="AD1720" s="17">
        <v>5</v>
      </c>
      <c r="AE1720" s="17"/>
      <c r="AF1720" s="17"/>
      <c r="AG1720" s="17">
        <v>2005</v>
      </c>
      <c r="AH1720" s="14">
        <f t="shared" si="113"/>
        <v>-4</v>
      </c>
      <c r="AI1720" s="17">
        <f t="shared" si="114"/>
        <v>1</v>
      </c>
      <c r="AJ1720" s="17"/>
      <c r="AK1720" s="17" t="s">
        <v>58</v>
      </c>
      <c r="AL1720" s="16" t="s">
        <v>601</v>
      </c>
      <c r="AM1720" s="17">
        <v>2011</v>
      </c>
      <c r="AN1720" s="12" t="s">
        <v>602</v>
      </c>
      <c r="AO1720" s="15" t="s">
        <v>56</v>
      </c>
      <c r="AP1720" s="15"/>
      <c r="AQ1720" s="15" t="s">
        <v>56</v>
      </c>
      <c r="AR1720" s="15" t="s">
        <v>58</v>
      </c>
      <c r="AS1720" s="15" t="s">
        <v>62</v>
      </c>
      <c r="AT1720" s="15"/>
      <c r="AU1720" s="45" t="s">
        <v>603</v>
      </c>
      <c r="AV1720" s="15"/>
      <c r="AW1720" s="12" t="str">
        <f>B1720&amp;C1720&amp;L1720&amp;M1720&amp;O1720&amp;U1720&amp;AL1720&amp;AM1720</f>
        <v>TaiwanChinwan Inner Bay no-take areaChaetodontidaebutterflyfishdensity1.38356164383562Hsieh2011</v>
      </c>
    </row>
    <row r="1721" spans="1:49" ht="14.5" x14ac:dyDescent="0.35">
      <c r="A1721" s="12">
        <v>1720</v>
      </c>
      <c r="B1721" s="15" t="s">
        <v>599</v>
      </c>
      <c r="C1721" s="15" t="s">
        <v>600</v>
      </c>
      <c r="D1721" s="15" t="s">
        <v>600</v>
      </c>
      <c r="E1721" s="15" t="s">
        <v>68</v>
      </c>
      <c r="F1721" s="13" t="s">
        <v>50</v>
      </c>
      <c r="G1721" s="13" t="s">
        <v>51</v>
      </c>
      <c r="H1721" s="16" t="s">
        <v>78</v>
      </c>
      <c r="I1721" s="16" t="s">
        <v>53</v>
      </c>
      <c r="J1721" s="17">
        <v>0.81</v>
      </c>
      <c r="K1721" s="17"/>
      <c r="L1721" s="17" t="s">
        <v>543</v>
      </c>
      <c r="M1721" s="17" t="s">
        <v>604</v>
      </c>
      <c r="N1721" s="17" t="s">
        <v>170</v>
      </c>
      <c r="O1721" s="17" t="s">
        <v>86</v>
      </c>
      <c r="P1721" s="17"/>
      <c r="Q1721" s="17"/>
      <c r="R1721" s="17">
        <v>8</v>
      </c>
      <c r="S1721" s="17"/>
      <c r="T1721" s="17">
        <v>6</v>
      </c>
      <c r="U1721" s="20">
        <f t="shared" si="112"/>
        <v>0.75</v>
      </c>
      <c r="V1721" s="41">
        <f t="shared" si="115"/>
        <v>-25</v>
      </c>
      <c r="W1721" s="17"/>
      <c r="X1721" s="17" t="s">
        <v>56</v>
      </c>
      <c r="Z1721" s="17" t="s">
        <v>56</v>
      </c>
      <c r="AA1721" s="17"/>
      <c r="AB1721" s="17" t="s">
        <v>192</v>
      </c>
      <c r="AC1721" s="17">
        <v>2001</v>
      </c>
      <c r="AD1721" s="17">
        <v>5</v>
      </c>
      <c r="AE1721" s="17"/>
      <c r="AF1721" s="17"/>
      <c r="AG1721" s="17">
        <v>2005</v>
      </c>
      <c r="AH1721" s="14">
        <f t="shared" si="113"/>
        <v>-4</v>
      </c>
      <c r="AI1721" s="17">
        <f t="shared" si="114"/>
        <v>1</v>
      </c>
      <c r="AJ1721" s="17"/>
      <c r="AK1721" s="17" t="s">
        <v>58</v>
      </c>
      <c r="AL1721" s="16" t="s">
        <v>601</v>
      </c>
      <c r="AM1721" s="17">
        <v>2011</v>
      </c>
      <c r="AN1721" s="12" t="s">
        <v>602</v>
      </c>
      <c r="AO1721" s="15" t="s">
        <v>56</v>
      </c>
      <c r="AP1721" s="15"/>
      <c r="AQ1721" s="15" t="s">
        <v>56</v>
      </c>
      <c r="AR1721" s="15" t="s">
        <v>58</v>
      </c>
      <c r="AS1721" s="15" t="s">
        <v>62</v>
      </c>
      <c r="AT1721" s="15"/>
      <c r="AU1721" s="45" t="s">
        <v>603</v>
      </c>
      <c r="AV1721" s="15"/>
      <c r="AW1721" s="12" t="str">
        <f>B1721&amp;C1721&amp;L1721&amp;M1721&amp;O1721&amp;U1721&amp;AL1721&amp;AM1721</f>
        <v>TaiwanChinwan Inner Bay no-take areaSerranidaeGrouperdensity0.75Hsieh2011</v>
      </c>
    </row>
    <row r="1722" spans="1:49" ht="14.5" x14ac:dyDescent="0.35">
      <c r="A1722" s="12">
        <v>1721</v>
      </c>
      <c r="B1722" s="15" t="s">
        <v>599</v>
      </c>
      <c r="C1722" s="15" t="s">
        <v>600</v>
      </c>
      <c r="D1722" s="15" t="s">
        <v>600</v>
      </c>
      <c r="E1722" s="15" t="s">
        <v>68</v>
      </c>
      <c r="F1722" s="13" t="s">
        <v>50</v>
      </c>
      <c r="G1722" s="13" t="s">
        <v>51</v>
      </c>
      <c r="H1722" s="16" t="s">
        <v>78</v>
      </c>
      <c r="I1722" s="16" t="s">
        <v>53</v>
      </c>
      <c r="J1722" s="17">
        <v>0.81</v>
      </c>
      <c r="K1722" s="17"/>
      <c r="L1722" s="17" t="s">
        <v>2797</v>
      </c>
      <c r="M1722" s="17" t="s">
        <v>605</v>
      </c>
      <c r="N1722" s="14" t="s">
        <v>85</v>
      </c>
      <c r="O1722" s="17" t="s">
        <v>86</v>
      </c>
      <c r="P1722" s="17"/>
      <c r="Q1722" s="17"/>
      <c r="R1722" s="17">
        <v>2</v>
      </c>
      <c r="S1722" s="17"/>
      <c r="T1722" s="17">
        <v>2</v>
      </c>
      <c r="U1722" s="20">
        <f t="shared" si="112"/>
        <v>1</v>
      </c>
      <c r="V1722" s="41">
        <f t="shared" si="115"/>
        <v>0</v>
      </c>
      <c r="W1722" s="17"/>
      <c r="X1722" s="17" t="s">
        <v>56</v>
      </c>
      <c r="Z1722" s="17" t="s">
        <v>56</v>
      </c>
      <c r="AA1722" s="17"/>
      <c r="AB1722" s="17" t="s">
        <v>192</v>
      </c>
      <c r="AC1722" s="17">
        <v>2001</v>
      </c>
      <c r="AD1722" s="17">
        <v>5</v>
      </c>
      <c r="AE1722" s="17"/>
      <c r="AF1722" s="17"/>
      <c r="AG1722" s="17">
        <v>2005</v>
      </c>
      <c r="AH1722" s="14">
        <f t="shared" si="113"/>
        <v>-4</v>
      </c>
      <c r="AI1722" s="17">
        <f t="shared" si="114"/>
        <v>1</v>
      </c>
      <c r="AJ1722" s="17"/>
      <c r="AK1722" s="17" t="s">
        <v>58</v>
      </c>
      <c r="AL1722" s="16" t="s">
        <v>601</v>
      </c>
      <c r="AM1722" s="17">
        <v>2011</v>
      </c>
      <c r="AN1722" s="12" t="s">
        <v>602</v>
      </c>
      <c r="AO1722" s="15" t="s">
        <v>56</v>
      </c>
      <c r="AP1722" s="15"/>
      <c r="AQ1722" s="15" t="s">
        <v>56</v>
      </c>
      <c r="AR1722" s="15" t="s">
        <v>58</v>
      </c>
      <c r="AS1722" s="15" t="s">
        <v>62</v>
      </c>
      <c r="AT1722" s="15"/>
      <c r="AU1722" s="45" t="s">
        <v>603</v>
      </c>
      <c r="AV1722" s="15"/>
      <c r="AW1722" s="12" t="str">
        <f>B1722&amp;C1722&amp;L1722&amp;M1722&amp;O1722&amp;U1722&amp;AL1722&amp;AM1722</f>
        <v>TaiwanChinwan Inner Bay no-take areaCromileptes altivelisHumpback grouperdensity1Hsieh2011</v>
      </c>
    </row>
    <row r="1723" spans="1:49" ht="14.5" x14ac:dyDescent="0.35">
      <c r="A1723" s="12">
        <v>1722</v>
      </c>
      <c r="B1723" s="15" t="s">
        <v>599</v>
      </c>
      <c r="C1723" s="15" t="s">
        <v>600</v>
      </c>
      <c r="D1723" s="15" t="s">
        <v>600</v>
      </c>
      <c r="E1723" s="15" t="s">
        <v>68</v>
      </c>
      <c r="F1723" s="13" t="s">
        <v>50</v>
      </c>
      <c r="G1723" s="13" t="s">
        <v>51</v>
      </c>
      <c r="H1723" s="16" t="s">
        <v>78</v>
      </c>
      <c r="I1723" s="16" t="s">
        <v>53</v>
      </c>
      <c r="J1723" s="17">
        <v>0.81</v>
      </c>
      <c r="K1723" s="17"/>
      <c r="L1723" s="14" t="s">
        <v>267</v>
      </c>
      <c r="M1723" s="17" t="s">
        <v>268</v>
      </c>
      <c r="N1723" s="17" t="s">
        <v>170</v>
      </c>
      <c r="O1723" s="17" t="s">
        <v>86</v>
      </c>
      <c r="P1723" s="17"/>
      <c r="Q1723" s="17"/>
      <c r="R1723" s="17">
        <v>2</v>
      </c>
      <c r="S1723" s="17"/>
      <c r="T1723" s="17">
        <v>0</v>
      </c>
      <c r="U1723" s="20">
        <f t="shared" si="112"/>
        <v>0</v>
      </c>
      <c r="V1723" s="41">
        <f t="shared" si="115"/>
        <v>-100</v>
      </c>
      <c r="W1723" s="17"/>
      <c r="X1723" s="17" t="s">
        <v>56</v>
      </c>
      <c r="Z1723" s="17" t="s">
        <v>56</v>
      </c>
      <c r="AA1723" s="17"/>
      <c r="AB1723" s="17" t="s">
        <v>192</v>
      </c>
      <c r="AC1723" s="17">
        <v>2001</v>
      </c>
      <c r="AD1723" s="17">
        <v>5</v>
      </c>
      <c r="AE1723" s="17"/>
      <c r="AF1723" s="17"/>
      <c r="AG1723" s="17">
        <v>2005</v>
      </c>
      <c r="AH1723" s="14">
        <f t="shared" si="113"/>
        <v>-4</v>
      </c>
      <c r="AI1723" s="17">
        <f t="shared" si="114"/>
        <v>1</v>
      </c>
      <c r="AJ1723" s="17"/>
      <c r="AK1723" s="17" t="s">
        <v>58</v>
      </c>
      <c r="AL1723" s="16" t="s">
        <v>601</v>
      </c>
      <c r="AM1723" s="17">
        <v>2011</v>
      </c>
      <c r="AN1723" s="12" t="s">
        <v>602</v>
      </c>
      <c r="AO1723" s="15" t="s">
        <v>56</v>
      </c>
      <c r="AP1723" s="15"/>
      <c r="AQ1723" s="15" t="s">
        <v>56</v>
      </c>
      <c r="AR1723" s="15" t="s">
        <v>58</v>
      </c>
      <c r="AS1723" s="15" t="s">
        <v>62</v>
      </c>
      <c r="AT1723" s="15"/>
      <c r="AU1723" s="45" t="s">
        <v>603</v>
      </c>
      <c r="AV1723" s="15"/>
      <c r="AW1723" s="12" t="str">
        <f>B1723&amp;C1723&amp;L1723&amp;M1723&amp;O1723&amp;U1723&amp;AL1723&amp;AM1723</f>
        <v>TaiwanChinwan Inner Bay no-take areaScaridaeParrotfishdensity0Hsieh2011</v>
      </c>
    </row>
    <row r="1724" spans="1:49" ht="14.5" x14ac:dyDescent="0.35">
      <c r="A1724" s="12">
        <v>1723</v>
      </c>
      <c r="B1724" s="15" t="s">
        <v>599</v>
      </c>
      <c r="C1724" s="15" t="s">
        <v>600</v>
      </c>
      <c r="D1724" s="15" t="s">
        <v>600</v>
      </c>
      <c r="E1724" s="15" t="s">
        <v>68</v>
      </c>
      <c r="F1724" s="13" t="s">
        <v>50</v>
      </c>
      <c r="G1724" s="13" t="s">
        <v>51</v>
      </c>
      <c r="H1724" s="16" t="s">
        <v>78</v>
      </c>
      <c r="I1724" s="16" t="s">
        <v>53</v>
      </c>
      <c r="J1724" s="17">
        <v>0.81</v>
      </c>
      <c r="K1724" s="17"/>
      <c r="L1724" s="17" t="s">
        <v>606</v>
      </c>
      <c r="M1724" s="17"/>
      <c r="N1724" s="14" t="s">
        <v>85</v>
      </c>
      <c r="O1724" s="17" t="s">
        <v>101</v>
      </c>
      <c r="P1724" s="17"/>
      <c r="Q1724" s="17"/>
      <c r="R1724" s="17">
        <v>1.54</v>
      </c>
      <c r="S1724" s="17"/>
      <c r="T1724" s="17">
        <v>1.5</v>
      </c>
      <c r="U1724" s="20">
        <f t="shared" si="112"/>
        <v>0.97402597402597402</v>
      </c>
      <c r="V1724" s="41">
        <f t="shared" si="115"/>
        <v>-2.5974025974025983</v>
      </c>
      <c r="W1724" s="17"/>
      <c r="X1724" s="17" t="s">
        <v>56</v>
      </c>
      <c r="Z1724" s="17" t="s">
        <v>56</v>
      </c>
      <c r="AA1724" s="17"/>
      <c r="AB1724" s="17" t="s">
        <v>192</v>
      </c>
      <c r="AC1724" s="17">
        <v>2001</v>
      </c>
      <c r="AD1724" s="17">
        <v>5</v>
      </c>
      <c r="AE1724" s="17"/>
      <c r="AF1724" s="17"/>
      <c r="AG1724" s="17">
        <v>2005</v>
      </c>
      <c r="AH1724" s="14">
        <f t="shared" si="113"/>
        <v>-4</v>
      </c>
      <c r="AI1724" s="17">
        <f t="shared" si="114"/>
        <v>1</v>
      </c>
      <c r="AJ1724" s="17"/>
      <c r="AK1724" s="17" t="s">
        <v>58</v>
      </c>
      <c r="AL1724" s="16" t="s">
        <v>601</v>
      </c>
      <c r="AM1724" s="17">
        <v>2011</v>
      </c>
      <c r="AN1724" s="12" t="s">
        <v>602</v>
      </c>
      <c r="AO1724" s="15" t="s">
        <v>56</v>
      </c>
      <c r="AP1724" s="15"/>
      <c r="AQ1724" s="15" t="s">
        <v>56</v>
      </c>
      <c r="AR1724" s="15" t="s">
        <v>58</v>
      </c>
      <c r="AS1724" s="15" t="s">
        <v>62</v>
      </c>
      <c r="AT1724" s="15"/>
      <c r="AU1724" s="45" t="s">
        <v>603</v>
      </c>
      <c r="AV1724" s="15"/>
      <c r="AW1724" s="12" t="str">
        <f>B1724&amp;C1724&amp;L1724&amp;M1724&amp;O1724&amp;U1724&amp;AL1724&amp;AM1724</f>
        <v>TaiwanChinwan Inner Bay no-take areaPavona frondiferacover0.974025974025974Hsieh2011</v>
      </c>
    </row>
    <row r="1725" spans="1:49" ht="14.5" x14ac:dyDescent="0.35">
      <c r="A1725" s="12">
        <v>1724</v>
      </c>
      <c r="B1725" s="15" t="s">
        <v>299</v>
      </c>
      <c r="C1725" s="15" t="s">
        <v>838</v>
      </c>
      <c r="D1725" s="15" t="s">
        <v>838</v>
      </c>
      <c r="E1725" s="15" t="s">
        <v>814</v>
      </c>
      <c r="F1725" s="13" t="s">
        <v>50</v>
      </c>
      <c r="G1725" s="13" t="s">
        <v>51</v>
      </c>
      <c r="H1725" s="16" t="s">
        <v>108</v>
      </c>
      <c r="I1725" s="16" t="s">
        <v>156</v>
      </c>
      <c r="J1725" s="15">
        <v>72.13</v>
      </c>
      <c r="K1725" s="17"/>
      <c r="L1725" s="17"/>
      <c r="M1725" s="17" t="s">
        <v>291</v>
      </c>
      <c r="N1725" s="53" t="s">
        <v>98</v>
      </c>
      <c r="O1725" s="17" t="s">
        <v>101</v>
      </c>
      <c r="P1725" s="17"/>
      <c r="Q1725" s="17"/>
      <c r="R1725" s="17">
        <v>39.583329999999997</v>
      </c>
      <c r="S1725" s="17"/>
      <c r="T1725" s="17">
        <v>32.5</v>
      </c>
      <c r="U1725" s="20">
        <f t="shared" si="112"/>
        <v>0.82105270072022751</v>
      </c>
      <c r="V1725" s="41">
        <f t="shared" si="115"/>
        <v>-17.894729927977249</v>
      </c>
      <c r="W1725" s="17"/>
      <c r="X1725" s="17" t="s">
        <v>56</v>
      </c>
      <c r="Y1725" s="12"/>
      <c r="Z1725" s="17" t="s">
        <v>56</v>
      </c>
      <c r="AA1725" s="17"/>
      <c r="AB1725" s="17" t="s">
        <v>192</v>
      </c>
      <c r="AC1725" s="17">
        <v>1998</v>
      </c>
      <c r="AD1725" s="17">
        <v>11</v>
      </c>
      <c r="AE1725" s="17"/>
      <c r="AF1725" s="17"/>
      <c r="AG1725" s="17">
        <v>2006</v>
      </c>
      <c r="AH1725" s="14">
        <f t="shared" si="113"/>
        <v>-8</v>
      </c>
      <c r="AI1725" s="17">
        <f t="shared" si="114"/>
        <v>3</v>
      </c>
      <c r="AJ1725" s="17"/>
      <c r="AK1725" s="17" t="s">
        <v>58</v>
      </c>
      <c r="AL1725" s="16" t="s">
        <v>815</v>
      </c>
      <c r="AM1725" s="17">
        <v>2011</v>
      </c>
      <c r="AN1725" s="12" t="s">
        <v>160</v>
      </c>
      <c r="AO1725" s="15" t="s">
        <v>56</v>
      </c>
      <c r="AP1725" s="15"/>
      <c r="AQ1725" s="15" t="s">
        <v>56</v>
      </c>
      <c r="AR1725" s="15" t="s">
        <v>58</v>
      </c>
      <c r="AS1725" s="15" t="s">
        <v>62</v>
      </c>
      <c r="AT1725" s="15"/>
      <c r="AU1725" s="45" t="s">
        <v>2567</v>
      </c>
      <c r="AV1725" s="15"/>
      <c r="AW1725" s="12" t="str">
        <f>B1725&amp;C1725&amp;L1725&amp;M1725&amp;O1725&amp;U1725&amp;AL1725&amp;AM1725</f>
        <v>BelizeGlover’s Reef Marine ReserveMacroalgaecover0.821052700720228Huntington2011</v>
      </c>
    </row>
    <row r="1726" spans="1:49" ht="14.5" x14ac:dyDescent="0.35">
      <c r="A1726" s="12">
        <v>1725</v>
      </c>
      <c r="B1726" s="15" t="s">
        <v>299</v>
      </c>
      <c r="C1726" s="15" t="s">
        <v>838</v>
      </c>
      <c r="D1726" s="15" t="s">
        <v>838</v>
      </c>
      <c r="E1726" s="15" t="s">
        <v>814</v>
      </c>
      <c r="F1726" s="13" t="s">
        <v>50</v>
      </c>
      <c r="G1726" s="13" t="s">
        <v>51</v>
      </c>
      <c r="H1726" s="16" t="s">
        <v>108</v>
      </c>
      <c r="I1726" s="16" t="s">
        <v>156</v>
      </c>
      <c r="J1726" s="15">
        <v>72.13</v>
      </c>
      <c r="K1726" s="17"/>
      <c r="L1726" s="17"/>
      <c r="M1726" s="17" t="s">
        <v>787</v>
      </c>
      <c r="N1726" s="53" t="s">
        <v>98</v>
      </c>
      <c r="O1726" s="17" t="s">
        <v>86</v>
      </c>
      <c r="P1726" s="17"/>
      <c r="Q1726" s="17"/>
      <c r="R1726" s="17">
        <v>630</v>
      </c>
      <c r="S1726" s="17"/>
      <c r="T1726" s="17">
        <v>480</v>
      </c>
      <c r="U1726" s="20">
        <f t="shared" si="112"/>
        <v>0.76190476190476186</v>
      </c>
      <c r="V1726" s="41">
        <f t="shared" si="115"/>
        <v>-23.809523809523814</v>
      </c>
      <c r="W1726" s="17"/>
      <c r="X1726" s="17" t="s">
        <v>56</v>
      </c>
      <c r="Y1726" s="12"/>
      <c r="Z1726" s="17" t="s">
        <v>56</v>
      </c>
      <c r="AA1726" s="17"/>
      <c r="AB1726" s="17" t="s">
        <v>192</v>
      </c>
      <c r="AC1726" s="17">
        <v>1998</v>
      </c>
      <c r="AD1726" s="17">
        <v>11</v>
      </c>
      <c r="AE1726" s="17"/>
      <c r="AF1726" s="17"/>
      <c r="AG1726" s="17">
        <v>2006</v>
      </c>
      <c r="AH1726" s="14">
        <f t="shared" si="113"/>
        <v>-8</v>
      </c>
      <c r="AI1726" s="17">
        <f t="shared" si="114"/>
        <v>3</v>
      </c>
      <c r="AJ1726" s="17"/>
      <c r="AK1726" s="17" t="s">
        <v>58</v>
      </c>
      <c r="AL1726" s="16" t="s">
        <v>815</v>
      </c>
      <c r="AM1726" s="17">
        <v>2011</v>
      </c>
      <c r="AN1726" s="12" t="s">
        <v>160</v>
      </c>
      <c r="AO1726" s="15" t="s">
        <v>56</v>
      </c>
      <c r="AP1726" s="15"/>
      <c r="AQ1726" s="15" t="s">
        <v>56</v>
      </c>
      <c r="AR1726" s="15" t="s">
        <v>58</v>
      </c>
      <c r="AS1726" s="15" t="s">
        <v>62</v>
      </c>
      <c r="AT1726" s="15"/>
      <c r="AU1726" s="45" t="s">
        <v>2567</v>
      </c>
      <c r="AV1726" s="15"/>
      <c r="AW1726" s="12" t="str">
        <f>B1726&amp;C1726&amp;L1726&amp;M1726&amp;O1726&amp;U1726&amp;AL1726&amp;AM1726</f>
        <v>BelizeGlover’s Reef Marine Reservejuvenile coraldensity0.761904761904762Huntington2011</v>
      </c>
    </row>
    <row r="1727" spans="1:49" ht="14.5" x14ac:dyDescent="0.35">
      <c r="A1727" s="12">
        <v>1726</v>
      </c>
      <c r="B1727" s="15" t="s">
        <v>299</v>
      </c>
      <c r="C1727" s="15" t="s">
        <v>838</v>
      </c>
      <c r="D1727" s="15" t="s">
        <v>838</v>
      </c>
      <c r="E1727" s="15" t="s">
        <v>814</v>
      </c>
      <c r="F1727" s="16" t="s">
        <v>50</v>
      </c>
      <c r="G1727" s="16" t="s">
        <v>51</v>
      </c>
      <c r="H1727" s="16" t="s">
        <v>108</v>
      </c>
      <c r="I1727" s="16" t="s">
        <v>156</v>
      </c>
      <c r="J1727" s="15">
        <v>72.13</v>
      </c>
      <c r="K1727" s="17"/>
      <c r="L1727" s="17"/>
      <c r="M1727" s="17" t="s">
        <v>816</v>
      </c>
      <c r="N1727" s="53" t="s">
        <v>98</v>
      </c>
      <c r="O1727" s="17" t="s">
        <v>101</v>
      </c>
      <c r="P1727" s="17"/>
      <c r="Q1727" s="17"/>
      <c r="R1727" s="17">
        <v>5.08</v>
      </c>
      <c r="S1727" s="17"/>
      <c r="T1727" s="17">
        <v>3.06</v>
      </c>
      <c r="U1727" s="20">
        <f t="shared" ref="U1727:U1735" si="116">IFERROR(IF(AND(Q1727="",R1727="",S1727="",T1727=""),"",IF(AND(Q1727&lt;&gt;"",R1727&lt;&gt;"",S1727&lt;&gt;"",T1727&lt;&gt;""),(T1727/R1727)/(S1727/Q1727),IF(AND(Q1727&lt;&gt;"",R1727&lt;&gt;""),R1727/Q1727,IF(AND(S1727&lt;&gt;"",T1727&lt;&gt;""),T1727/S1727,IF(AND(Q1727&lt;&gt;"",S1727&lt;&gt;""),Q1727/S1727,IF(AND(R1727&lt;&gt;"",T1727&lt;&gt;""),T1727/R1727)))))), "N/A")</f>
        <v>0.60236220472440949</v>
      </c>
      <c r="V1727" s="41">
        <f t="shared" si="115"/>
        <v>-39.763779527559052</v>
      </c>
      <c r="W1727" s="17"/>
      <c r="X1727" s="17" t="s">
        <v>56</v>
      </c>
      <c r="Y1727" s="12"/>
      <c r="Z1727" s="17" t="s">
        <v>56</v>
      </c>
      <c r="AA1727" s="17"/>
      <c r="AB1727" s="17" t="s">
        <v>192</v>
      </c>
      <c r="AC1727" s="17">
        <v>1998</v>
      </c>
      <c r="AD1727" s="17">
        <v>11</v>
      </c>
      <c r="AE1727" s="17"/>
      <c r="AF1727" s="17"/>
      <c r="AG1727" s="17">
        <v>2006</v>
      </c>
      <c r="AH1727" s="14">
        <f t="shared" si="113"/>
        <v>-8</v>
      </c>
      <c r="AI1727" s="17">
        <f t="shared" si="114"/>
        <v>3</v>
      </c>
      <c r="AJ1727" s="17"/>
      <c r="AK1727" s="17" t="s">
        <v>58</v>
      </c>
      <c r="AL1727" s="16" t="s">
        <v>815</v>
      </c>
      <c r="AM1727" s="17">
        <v>2011</v>
      </c>
      <c r="AN1727" s="15" t="s">
        <v>160</v>
      </c>
      <c r="AO1727" s="15" t="s">
        <v>56</v>
      </c>
      <c r="AP1727" s="15"/>
      <c r="AQ1727" s="15" t="s">
        <v>56</v>
      </c>
      <c r="AR1727" s="15" t="s">
        <v>58</v>
      </c>
      <c r="AS1727" s="15" t="s">
        <v>62</v>
      </c>
      <c r="AT1727" s="15"/>
      <c r="AU1727" s="45" t="s">
        <v>2567</v>
      </c>
      <c r="AV1727" s="15"/>
      <c r="AW1727" s="12" t="str">
        <f>B1727&amp;C1727&amp;L1727&amp;M1727&amp;O1727&amp;U1727&amp;AL1727&amp;AM1727</f>
        <v>BelizeGlover’s Reef Marine Reservebroadcasting coralcover0.602362204724409Huntington2011</v>
      </c>
    </row>
    <row r="1728" spans="1:49" ht="14.5" x14ac:dyDescent="0.35">
      <c r="A1728" s="12">
        <v>1727</v>
      </c>
      <c r="B1728" s="15" t="s">
        <v>299</v>
      </c>
      <c r="C1728" s="15" t="s">
        <v>838</v>
      </c>
      <c r="D1728" s="15" t="s">
        <v>838</v>
      </c>
      <c r="E1728" s="15" t="s">
        <v>814</v>
      </c>
      <c r="F1728" s="13" t="s">
        <v>50</v>
      </c>
      <c r="G1728" s="13" t="s">
        <v>51</v>
      </c>
      <c r="H1728" s="16" t="s">
        <v>108</v>
      </c>
      <c r="I1728" s="16" t="s">
        <v>156</v>
      </c>
      <c r="J1728" s="15">
        <v>72.13</v>
      </c>
      <c r="K1728" s="17"/>
      <c r="L1728" s="17"/>
      <c r="M1728" s="17" t="s">
        <v>817</v>
      </c>
      <c r="N1728" s="53" t="s">
        <v>98</v>
      </c>
      <c r="O1728" s="17" t="s">
        <v>101</v>
      </c>
      <c r="P1728" s="17"/>
      <c r="Q1728" s="17"/>
      <c r="R1728" s="17">
        <v>2.96</v>
      </c>
      <c r="S1728" s="17"/>
      <c r="T1728" s="17">
        <v>2.4</v>
      </c>
      <c r="U1728" s="20">
        <f t="shared" si="116"/>
        <v>0.81081081081081074</v>
      </c>
      <c r="V1728" s="41">
        <f t="shared" si="115"/>
        <v>-18.918918918918926</v>
      </c>
      <c r="W1728" s="17"/>
      <c r="X1728" s="17" t="s">
        <v>56</v>
      </c>
      <c r="Y1728" s="12"/>
      <c r="Z1728" s="17" t="s">
        <v>56</v>
      </c>
      <c r="AA1728" s="17"/>
      <c r="AB1728" s="17" t="s">
        <v>192</v>
      </c>
      <c r="AC1728" s="17">
        <v>1998</v>
      </c>
      <c r="AD1728" s="17">
        <v>11</v>
      </c>
      <c r="AE1728" s="17"/>
      <c r="AF1728" s="17"/>
      <c r="AG1728" s="17">
        <v>2006</v>
      </c>
      <c r="AH1728" s="14">
        <f t="shared" ref="AH1728:AH1791" si="117">IF(OR(AG1728="NA",AC1728="NA"),"NA",IF(OR(AC1728="",AG1728=""), "", AC1728-AG1728))</f>
        <v>-8</v>
      </c>
      <c r="AI1728" s="17">
        <f t="shared" ref="AI1728:AI1791" si="118">IF(AH1728="NA", "NA",IF(OR(AH1728="",AND(AD1728="",AE1728="")), "",AH1728+AD1728+AE1728/12))</f>
        <v>3</v>
      </c>
      <c r="AJ1728" s="17"/>
      <c r="AK1728" s="17" t="s">
        <v>58</v>
      </c>
      <c r="AL1728" s="16" t="s">
        <v>815</v>
      </c>
      <c r="AM1728" s="17">
        <v>2011</v>
      </c>
      <c r="AN1728" s="12" t="s">
        <v>160</v>
      </c>
      <c r="AO1728" s="15" t="s">
        <v>56</v>
      </c>
      <c r="AP1728" s="15"/>
      <c r="AQ1728" s="15" t="s">
        <v>56</v>
      </c>
      <c r="AR1728" s="15" t="s">
        <v>58</v>
      </c>
      <c r="AS1728" s="15" t="s">
        <v>62</v>
      </c>
      <c r="AT1728" s="15"/>
      <c r="AU1728" s="45" t="s">
        <v>2567</v>
      </c>
      <c r="AV1728" s="15"/>
      <c r="AW1728" s="12" t="str">
        <f>B1728&amp;C1728&amp;L1728&amp;M1728&amp;O1728&amp;U1728&amp;AL1728&amp;AM1728</f>
        <v>BelizeGlover’s Reef Marine Reservebrooding coralcover0.810810810810811Huntington2011</v>
      </c>
    </row>
    <row r="1729" spans="1:49" ht="14.5" x14ac:dyDescent="0.35">
      <c r="A1729" s="12">
        <v>1728</v>
      </c>
      <c r="B1729" s="15" t="s">
        <v>1183</v>
      </c>
      <c r="C1729" s="15" t="s">
        <v>1184</v>
      </c>
      <c r="D1729" s="15" t="s">
        <v>1184</v>
      </c>
      <c r="E1729" s="15" t="s">
        <v>68</v>
      </c>
      <c r="F1729" s="13" t="s">
        <v>339</v>
      </c>
      <c r="G1729" s="13" t="s">
        <v>51</v>
      </c>
      <c r="H1729" s="16" t="s">
        <v>108</v>
      </c>
      <c r="I1729" s="16" t="s">
        <v>53</v>
      </c>
      <c r="J1729" s="17">
        <v>2.67</v>
      </c>
      <c r="K1729" s="17"/>
      <c r="L1729" s="17" t="s">
        <v>1185</v>
      </c>
      <c r="M1729" s="17" t="s">
        <v>1186</v>
      </c>
      <c r="N1729" s="14" t="s">
        <v>85</v>
      </c>
      <c r="O1729" s="17" t="s">
        <v>86</v>
      </c>
      <c r="P1729" s="17"/>
      <c r="Q1729" s="17"/>
      <c r="R1729" s="17"/>
      <c r="S1729" s="17">
        <v>61.3</v>
      </c>
      <c r="T1729" s="17">
        <v>60.3</v>
      </c>
      <c r="U1729" s="20">
        <f t="shared" si="116"/>
        <v>0.98368678629690054</v>
      </c>
      <c r="V1729" s="41">
        <f t="shared" si="115"/>
        <v>-1.6313213703099461</v>
      </c>
      <c r="W1729" s="17"/>
      <c r="X1729" s="17" t="s">
        <v>56</v>
      </c>
      <c r="Y1729" s="12"/>
      <c r="Z1729" s="17" t="s">
        <v>56</v>
      </c>
      <c r="AA1729" s="17"/>
      <c r="AB1729" s="17" t="s">
        <v>57</v>
      </c>
      <c r="AC1729" s="17">
        <v>2010</v>
      </c>
      <c r="AD1729" s="17">
        <v>0</v>
      </c>
      <c r="AE1729" s="17"/>
      <c r="AF1729" s="17"/>
      <c r="AG1729" s="17">
        <v>2008</v>
      </c>
      <c r="AH1729" s="14">
        <f t="shared" si="117"/>
        <v>2</v>
      </c>
      <c r="AI1729" s="17">
        <f t="shared" si="118"/>
        <v>2</v>
      </c>
      <c r="AJ1729" s="17"/>
      <c r="AK1729" s="17" t="s">
        <v>58</v>
      </c>
      <c r="AL1729" s="16" t="s">
        <v>1187</v>
      </c>
      <c r="AM1729" s="17">
        <v>2011</v>
      </c>
      <c r="AN1729" s="12" t="s">
        <v>190</v>
      </c>
      <c r="AO1729" s="15" t="s">
        <v>56</v>
      </c>
      <c r="AP1729" s="15"/>
      <c r="AQ1729" s="15" t="s">
        <v>56</v>
      </c>
      <c r="AR1729" s="15" t="s">
        <v>58</v>
      </c>
      <c r="AS1729" s="15" t="s">
        <v>62</v>
      </c>
      <c r="AT1729" s="15"/>
      <c r="AU1729" s="45"/>
      <c r="AV1729" s="15"/>
      <c r="AW1729" s="12" t="str">
        <f>B1729&amp;C1729&amp;L1729&amp;M1729&amp;O1729&amp;U1729&amp;AL1729&amp;AM1729</f>
        <v>ScotlandLamlash Bay Marine ReserveAequipecten opercularisadult queen scallopdensity0.983686786296901Howarth2011</v>
      </c>
    </row>
    <row r="1730" spans="1:49" ht="14.5" x14ac:dyDescent="0.35">
      <c r="A1730" s="12">
        <v>1729</v>
      </c>
      <c r="B1730" s="15" t="s">
        <v>1183</v>
      </c>
      <c r="C1730" s="15" t="s">
        <v>1184</v>
      </c>
      <c r="D1730" s="15" t="s">
        <v>1184</v>
      </c>
      <c r="E1730" s="15" t="s">
        <v>68</v>
      </c>
      <c r="F1730" s="13" t="s">
        <v>339</v>
      </c>
      <c r="G1730" s="13" t="s">
        <v>51</v>
      </c>
      <c r="H1730" s="16" t="s">
        <v>108</v>
      </c>
      <c r="I1730" s="16" t="s">
        <v>53</v>
      </c>
      <c r="J1730" s="17">
        <v>2.67</v>
      </c>
      <c r="K1730" s="17"/>
      <c r="L1730" s="17" t="s">
        <v>1188</v>
      </c>
      <c r="M1730" s="17" t="s">
        <v>1189</v>
      </c>
      <c r="N1730" s="14" t="s">
        <v>85</v>
      </c>
      <c r="O1730" s="17" t="s">
        <v>86</v>
      </c>
      <c r="P1730" s="17"/>
      <c r="Q1730" s="17"/>
      <c r="R1730" s="17"/>
      <c r="S1730" s="17">
        <v>75.599999999999994</v>
      </c>
      <c r="T1730" s="17">
        <v>61.6</v>
      </c>
      <c r="U1730" s="20">
        <f t="shared" si="116"/>
        <v>0.81481481481481488</v>
      </c>
      <c r="V1730" s="41">
        <f t="shared" ref="V1730:V1793" si="119">IFERROR(IF(U1730 = "", "",(U1730-1)*100),"N/A")</f>
        <v>-18.518518518518512</v>
      </c>
      <c r="W1730" s="17"/>
      <c r="X1730" s="17" t="s">
        <v>56</v>
      </c>
      <c r="Y1730" s="12"/>
      <c r="Z1730" s="17" t="s">
        <v>56</v>
      </c>
      <c r="AA1730" s="17"/>
      <c r="AB1730" s="17" t="s">
        <v>57</v>
      </c>
      <c r="AC1730" s="17">
        <v>2010</v>
      </c>
      <c r="AD1730" s="17">
        <v>0</v>
      </c>
      <c r="AE1730" s="17"/>
      <c r="AF1730" s="17"/>
      <c r="AG1730" s="17">
        <v>2008</v>
      </c>
      <c r="AH1730" s="14">
        <f t="shared" si="117"/>
        <v>2</v>
      </c>
      <c r="AI1730" s="17">
        <f t="shared" si="118"/>
        <v>2</v>
      </c>
      <c r="AJ1730" s="17"/>
      <c r="AK1730" s="17" t="s">
        <v>58</v>
      </c>
      <c r="AL1730" s="16" t="s">
        <v>1187</v>
      </c>
      <c r="AM1730" s="17">
        <v>2011</v>
      </c>
      <c r="AN1730" s="12" t="s">
        <v>190</v>
      </c>
      <c r="AO1730" s="15" t="s">
        <v>56</v>
      </c>
      <c r="AP1730" s="15"/>
      <c r="AQ1730" s="15" t="s">
        <v>56</v>
      </c>
      <c r="AR1730" s="15" t="s">
        <v>58</v>
      </c>
      <c r="AS1730" s="15" t="s">
        <v>62</v>
      </c>
      <c r="AT1730" s="15"/>
      <c r="AU1730" s="45"/>
      <c r="AV1730" s="15"/>
      <c r="AW1730" s="12" t="str">
        <f>B1730&amp;C1730&amp;L1730&amp;M1730&amp;O1730&amp;U1730&amp;AL1730&amp;AM1730</f>
        <v>ScotlandLamlash Bay Marine ReservePecten maximusadult escallopdensity0.814814814814815Howarth2011</v>
      </c>
    </row>
    <row r="1731" spans="1:49" ht="14.5" x14ac:dyDescent="0.35">
      <c r="A1731" s="12">
        <v>1730</v>
      </c>
      <c r="B1731" s="15" t="s">
        <v>1183</v>
      </c>
      <c r="C1731" s="15" t="s">
        <v>1184</v>
      </c>
      <c r="D1731" s="15" t="s">
        <v>1184</v>
      </c>
      <c r="E1731" s="15" t="s">
        <v>68</v>
      </c>
      <c r="F1731" s="13" t="s">
        <v>339</v>
      </c>
      <c r="G1731" s="13" t="s">
        <v>51</v>
      </c>
      <c r="H1731" s="16" t="s">
        <v>108</v>
      </c>
      <c r="I1731" s="16" t="s">
        <v>53</v>
      </c>
      <c r="J1731" s="17">
        <v>2.67</v>
      </c>
      <c r="K1731" s="17"/>
      <c r="L1731" s="17" t="s">
        <v>1188</v>
      </c>
      <c r="M1731" s="17" t="s">
        <v>1189</v>
      </c>
      <c r="N1731" s="14" t="s">
        <v>85</v>
      </c>
      <c r="O1731" s="17" t="s">
        <v>70</v>
      </c>
      <c r="P1731" s="17"/>
      <c r="Q1731" s="17"/>
      <c r="R1731" s="17"/>
      <c r="S1731" s="17">
        <v>0.36799999999999999</v>
      </c>
      <c r="T1731" s="17">
        <v>0.26</v>
      </c>
      <c r="U1731" s="20">
        <f t="shared" si="116"/>
        <v>0.70652173913043481</v>
      </c>
      <c r="V1731" s="41">
        <f t="shared" si="119"/>
        <v>-29.34782608695652</v>
      </c>
      <c r="W1731" s="17"/>
      <c r="X1731" s="17" t="s">
        <v>56</v>
      </c>
      <c r="Z1731" s="17" t="s">
        <v>56</v>
      </c>
      <c r="AA1731" s="17"/>
      <c r="AB1731" s="17" t="s">
        <v>57</v>
      </c>
      <c r="AC1731" s="17">
        <v>2010</v>
      </c>
      <c r="AD1731" s="17">
        <v>0</v>
      </c>
      <c r="AE1731" s="17"/>
      <c r="AF1731" s="17"/>
      <c r="AG1731" s="17">
        <v>2008</v>
      </c>
      <c r="AH1731" s="14">
        <f t="shared" si="117"/>
        <v>2</v>
      </c>
      <c r="AI1731" s="17">
        <f t="shared" si="118"/>
        <v>2</v>
      </c>
      <c r="AJ1731" s="17"/>
      <c r="AK1731" s="17" t="s">
        <v>58</v>
      </c>
      <c r="AL1731" s="16" t="s">
        <v>1187</v>
      </c>
      <c r="AM1731" s="17">
        <v>2011</v>
      </c>
      <c r="AN1731" s="12" t="s">
        <v>190</v>
      </c>
      <c r="AO1731" s="15" t="s">
        <v>56</v>
      </c>
      <c r="AP1731" s="15"/>
      <c r="AQ1731" s="15" t="s">
        <v>56</v>
      </c>
      <c r="AR1731" s="15" t="s">
        <v>58</v>
      </c>
      <c r="AS1731" s="15" t="s">
        <v>62</v>
      </c>
      <c r="AT1731" s="15"/>
      <c r="AU1731" s="45"/>
      <c r="AV1731" s="15"/>
      <c r="AW1731" s="12" t="str">
        <f>B1731&amp;C1731&amp;L1731&amp;M1731&amp;O1731&amp;U1731&amp;AL1731&amp;AM1731</f>
        <v>ScotlandLamlash Bay Marine ReservePecten maximusadult escallopbiomassden0.706521739130435Howarth2011</v>
      </c>
    </row>
    <row r="1732" spans="1:49" ht="14.5" x14ac:dyDescent="0.35">
      <c r="A1732" s="12">
        <v>1731</v>
      </c>
      <c r="B1732" s="15" t="s">
        <v>1183</v>
      </c>
      <c r="C1732" s="15" t="s">
        <v>1184</v>
      </c>
      <c r="D1732" s="15" t="s">
        <v>1184</v>
      </c>
      <c r="E1732" s="15" t="s">
        <v>68</v>
      </c>
      <c r="F1732" s="13" t="s">
        <v>339</v>
      </c>
      <c r="G1732" s="13" t="s">
        <v>51</v>
      </c>
      <c r="H1732" s="16" t="s">
        <v>108</v>
      </c>
      <c r="I1732" s="16" t="s">
        <v>53</v>
      </c>
      <c r="J1732" s="17">
        <v>2.67</v>
      </c>
      <c r="K1732" s="17"/>
      <c r="L1732" s="17" t="s">
        <v>1185</v>
      </c>
      <c r="M1732" s="17" t="s">
        <v>1190</v>
      </c>
      <c r="N1732" s="14" t="s">
        <v>85</v>
      </c>
      <c r="O1732" s="17" t="s">
        <v>70</v>
      </c>
      <c r="P1732" s="17"/>
      <c r="Q1732" s="17"/>
      <c r="R1732" s="17"/>
      <c r="S1732" s="17">
        <v>1.2699999999999999E-2</v>
      </c>
      <c r="T1732" s="17">
        <v>0.01</v>
      </c>
      <c r="U1732" s="20">
        <f t="shared" si="116"/>
        <v>0.78740157480314965</v>
      </c>
      <c r="V1732" s="41">
        <f t="shared" si="119"/>
        <v>-21.259842519685034</v>
      </c>
      <c r="W1732" s="17"/>
      <c r="X1732" s="17" t="s">
        <v>56</v>
      </c>
      <c r="Z1732" s="17" t="s">
        <v>56</v>
      </c>
      <c r="AA1732" s="17"/>
      <c r="AB1732" s="17" t="s">
        <v>57</v>
      </c>
      <c r="AC1732" s="17">
        <v>2010</v>
      </c>
      <c r="AD1732" s="17">
        <v>0</v>
      </c>
      <c r="AE1732" s="17"/>
      <c r="AF1732" s="17"/>
      <c r="AG1732" s="17">
        <v>2008</v>
      </c>
      <c r="AH1732" s="14">
        <f t="shared" si="117"/>
        <v>2</v>
      </c>
      <c r="AI1732" s="17">
        <f t="shared" si="118"/>
        <v>2</v>
      </c>
      <c r="AJ1732" s="17"/>
      <c r="AK1732" s="17" t="s">
        <v>58</v>
      </c>
      <c r="AL1732" s="16" t="s">
        <v>1187</v>
      </c>
      <c r="AM1732" s="17">
        <v>2011</v>
      </c>
      <c r="AN1732" s="12" t="s">
        <v>190</v>
      </c>
      <c r="AO1732" s="15" t="s">
        <v>56</v>
      </c>
      <c r="AP1732" s="15"/>
      <c r="AQ1732" s="15" t="s">
        <v>56</v>
      </c>
      <c r="AR1732" s="15" t="s">
        <v>58</v>
      </c>
      <c r="AS1732" s="15" t="s">
        <v>62</v>
      </c>
      <c r="AT1732" s="15"/>
      <c r="AU1732" s="45"/>
      <c r="AV1732" s="15"/>
      <c r="AW1732" s="12" t="str">
        <f>B1732&amp;C1732&amp;L1732&amp;M1732&amp;O1732&amp;U1732&amp;AL1732&amp;AM1732</f>
        <v>ScotlandLamlash Bay Marine ReserveAequipecten opercularisqueen scallopbiomassden0.78740157480315Howarth2011</v>
      </c>
    </row>
    <row r="1733" spans="1:49" ht="14.5" x14ac:dyDescent="0.35">
      <c r="A1733" s="12">
        <v>1732</v>
      </c>
      <c r="B1733" s="15" t="s">
        <v>1183</v>
      </c>
      <c r="C1733" s="15" t="s">
        <v>1184</v>
      </c>
      <c r="D1733" s="15" t="s">
        <v>1184</v>
      </c>
      <c r="E1733" s="15" t="s">
        <v>68</v>
      </c>
      <c r="F1733" s="16" t="s">
        <v>571</v>
      </c>
      <c r="G1733" s="16" t="s">
        <v>51</v>
      </c>
      <c r="H1733" s="16" t="s">
        <v>108</v>
      </c>
      <c r="I1733" s="16" t="s">
        <v>53</v>
      </c>
      <c r="J1733" s="17">
        <v>2.67</v>
      </c>
      <c r="K1733" s="17"/>
      <c r="L1733" s="17" t="s">
        <v>1191</v>
      </c>
      <c r="M1733" s="17" t="s">
        <v>1192</v>
      </c>
      <c r="N1733" s="14" t="s">
        <v>85</v>
      </c>
      <c r="O1733" s="17" t="s">
        <v>104</v>
      </c>
      <c r="P1733" s="17" t="s">
        <v>568</v>
      </c>
      <c r="Q1733" s="17"/>
      <c r="R1733" s="17"/>
      <c r="S1733" s="17">
        <v>14.936170000000001</v>
      </c>
      <c r="T1733" s="17">
        <v>12.80851</v>
      </c>
      <c r="U1733" s="20">
        <f t="shared" si="116"/>
        <v>0.85754982703062432</v>
      </c>
      <c r="V1733" s="41">
        <f t="shared" si="119"/>
        <v>-14.245017296937569</v>
      </c>
      <c r="W1733" s="17"/>
      <c r="X1733" s="17" t="s">
        <v>56</v>
      </c>
      <c r="Z1733" s="17" t="s">
        <v>58</v>
      </c>
      <c r="AA1733" s="17" t="s">
        <v>58</v>
      </c>
      <c r="AB1733" s="17" t="s">
        <v>57</v>
      </c>
      <c r="AC1733" s="17">
        <v>2012</v>
      </c>
      <c r="AD1733" s="17">
        <v>3</v>
      </c>
      <c r="AE1733" s="17"/>
      <c r="AF1733" s="17"/>
      <c r="AG1733" s="17">
        <v>2008</v>
      </c>
      <c r="AH1733" s="14">
        <f t="shared" si="117"/>
        <v>4</v>
      </c>
      <c r="AI1733" s="17">
        <f t="shared" si="118"/>
        <v>7</v>
      </c>
      <c r="AJ1733" s="17"/>
      <c r="AK1733" s="17" t="s">
        <v>56</v>
      </c>
      <c r="AL1733" s="16" t="s">
        <v>1187</v>
      </c>
      <c r="AM1733" s="17">
        <v>2017</v>
      </c>
      <c r="AN1733" s="15" t="s">
        <v>1193</v>
      </c>
      <c r="AO1733" s="15" t="s">
        <v>56</v>
      </c>
      <c r="AP1733" s="15"/>
      <c r="AQ1733" s="15" t="s">
        <v>56</v>
      </c>
      <c r="AR1733" s="15" t="s">
        <v>58</v>
      </c>
      <c r="AS1733" s="15" t="s">
        <v>62</v>
      </c>
      <c r="AT1733" s="15"/>
      <c r="AU1733" s="45"/>
      <c r="AV1733" s="15"/>
      <c r="AW1733" s="12" t="str">
        <f>B1733&amp;C1733&amp;L1733&amp;M1733&amp;O1733&amp;U1733&amp;AL1733&amp;AM1733</f>
        <v>ScotlandLamlash Bay Marine ReserveCancer pagurusbrown crabsize0.857549827030624Howarth2017</v>
      </c>
    </row>
    <row r="1734" spans="1:49" ht="14.5" x14ac:dyDescent="0.35">
      <c r="A1734" s="12">
        <v>1733</v>
      </c>
      <c r="B1734" s="15" t="s">
        <v>1183</v>
      </c>
      <c r="C1734" s="15" t="s">
        <v>1184</v>
      </c>
      <c r="D1734" s="15" t="s">
        <v>1184</v>
      </c>
      <c r="E1734" s="15" t="s">
        <v>68</v>
      </c>
      <c r="F1734" s="16" t="s">
        <v>571</v>
      </c>
      <c r="G1734" s="16" t="s">
        <v>51</v>
      </c>
      <c r="H1734" s="16" t="s">
        <v>108</v>
      </c>
      <c r="I1734" s="16" t="s">
        <v>53</v>
      </c>
      <c r="J1734" s="17">
        <v>2.67</v>
      </c>
      <c r="K1734" s="17"/>
      <c r="L1734" s="17" t="s">
        <v>221</v>
      </c>
      <c r="M1734" s="17" t="s">
        <v>1194</v>
      </c>
      <c r="N1734" s="14" t="s">
        <v>85</v>
      </c>
      <c r="O1734" s="17" t="s">
        <v>104</v>
      </c>
      <c r="P1734" s="17" t="s">
        <v>568</v>
      </c>
      <c r="Q1734" s="17"/>
      <c r="R1734" s="17"/>
      <c r="S1734" s="17">
        <v>6.8723400000000003</v>
      </c>
      <c r="T1734" s="17">
        <v>7.0638300000000003</v>
      </c>
      <c r="U1734" s="20">
        <f t="shared" si="116"/>
        <v>1.0278638716943573</v>
      </c>
      <c r="V1734" s="41">
        <f t="shared" si="119"/>
        <v>2.7863871694357334</v>
      </c>
      <c r="W1734" s="17"/>
      <c r="X1734" s="17" t="s">
        <v>56</v>
      </c>
      <c r="Z1734" s="17" t="s">
        <v>58</v>
      </c>
      <c r="AA1734" s="17" t="s">
        <v>58</v>
      </c>
      <c r="AB1734" s="17" t="s">
        <v>57</v>
      </c>
      <c r="AC1734" s="17">
        <v>2012</v>
      </c>
      <c r="AD1734" s="17">
        <v>3</v>
      </c>
      <c r="AE1734" s="17"/>
      <c r="AF1734" s="17"/>
      <c r="AG1734" s="17">
        <v>2008</v>
      </c>
      <c r="AH1734" s="14">
        <f t="shared" si="117"/>
        <v>4</v>
      </c>
      <c r="AI1734" s="17">
        <f t="shared" si="118"/>
        <v>7</v>
      </c>
      <c r="AJ1734" s="17"/>
      <c r="AK1734" s="17" t="s">
        <v>56</v>
      </c>
      <c r="AL1734" s="16" t="s">
        <v>1187</v>
      </c>
      <c r="AM1734" s="17">
        <v>2017</v>
      </c>
      <c r="AN1734" s="15" t="s">
        <v>1193</v>
      </c>
      <c r="AO1734" s="15" t="s">
        <v>56</v>
      </c>
      <c r="AP1734" s="15"/>
      <c r="AQ1734" s="15" t="s">
        <v>56</v>
      </c>
      <c r="AR1734" s="15" t="s">
        <v>58</v>
      </c>
      <c r="AS1734" s="15" t="s">
        <v>62</v>
      </c>
      <c r="AT1734" s="15"/>
      <c r="AU1734" s="45"/>
      <c r="AV1734" s="15"/>
      <c r="AW1734" s="12" t="str">
        <f>B1734&amp;C1734&amp;L1734&amp;M1734&amp;O1734&amp;U1734&amp;AL1734&amp;AM1734</f>
        <v>ScotlandLamlash Bay Marine ReserveNecora pubervelvet swimming crabsize1.02786387169436Howarth2017</v>
      </c>
    </row>
    <row r="1735" spans="1:49" ht="14.5" x14ac:dyDescent="0.35">
      <c r="A1735" s="12">
        <v>1734</v>
      </c>
      <c r="B1735" s="15" t="s">
        <v>1183</v>
      </c>
      <c r="C1735" s="15" t="s">
        <v>1184</v>
      </c>
      <c r="D1735" s="15" t="s">
        <v>1184</v>
      </c>
      <c r="E1735" s="15" t="s">
        <v>68</v>
      </c>
      <c r="F1735" s="16" t="s">
        <v>571</v>
      </c>
      <c r="G1735" s="16" t="s">
        <v>51</v>
      </c>
      <c r="H1735" s="16" t="s">
        <v>108</v>
      </c>
      <c r="I1735" s="16" t="s">
        <v>53</v>
      </c>
      <c r="J1735" s="17">
        <v>2.67</v>
      </c>
      <c r="K1735" s="17"/>
      <c r="L1735" s="17" t="s">
        <v>1195</v>
      </c>
      <c r="M1735" s="17" t="s">
        <v>1196</v>
      </c>
      <c r="N1735" s="14" t="s">
        <v>85</v>
      </c>
      <c r="O1735" s="17" t="s">
        <v>104</v>
      </c>
      <c r="P1735" s="17" t="s">
        <v>568</v>
      </c>
      <c r="Q1735" s="17"/>
      <c r="R1735" s="17"/>
      <c r="S1735" s="17">
        <v>9</v>
      </c>
      <c r="T1735" s="17">
        <v>10.063829999999999</v>
      </c>
      <c r="U1735" s="20">
        <f t="shared" si="116"/>
        <v>1.1182033333333332</v>
      </c>
      <c r="V1735" s="41">
        <f t="shared" si="119"/>
        <v>11.820333333333322</v>
      </c>
      <c r="W1735" s="17"/>
      <c r="X1735" s="17" t="s">
        <v>56</v>
      </c>
      <c r="Z1735" s="17" t="s">
        <v>58</v>
      </c>
      <c r="AA1735" s="17" t="s">
        <v>58</v>
      </c>
      <c r="AB1735" s="17" t="s">
        <v>57</v>
      </c>
      <c r="AC1735" s="17">
        <v>2012</v>
      </c>
      <c r="AD1735" s="17">
        <v>3</v>
      </c>
      <c r="AE1735" s="17"/>
      <c r="AF1735" s="17"/>
      <c r="AG1735" s="17">
        <v>2008</v>
      </c>
      <c r="AH1735" s="14">
        <f t="shared" si="117"/>
        <v>4</v>
      </c>
      <c r="AI1735" s="17">
        <f t="shared" si="118"/>
        <v>7</v>
      </c>
      <c r="AJ1735" s="17"/>
      <c r="AK1735" s="17" t="s">
        <v>56</v>
      </c>
      <c r="AL1735" s="16" t="s">
        <v>1187</v>
      </c>
      <c r="AM1735" s="17">
        <v>2017</v>
      </c>
      <c r="AN1735" s="15" t="s">
        <v>1193</v>
      </c>
      <c r="AO1735" s="15" t="s">
        <v>56</v>
      </c>
      <c r="AP1735" s="15"/>
      <c r="AQ1735" s="15" t="s">
        <v>56</v>
      </c>
      <c r="AR1735" s="15" t="s">
        <v>58</v>
      </c>
      <c r="AS1735" s="15" t="s">
        <v>62</v>
      </c>
      <c r="AT1735" s="15"/>
      <c r="AU1735" s="45"/>
      <c r="AV1735" s="15"/>
      <c r="AW1735" s="12" t="str">
        <f>B1735&amp;C1735&amp;L1735&amp;M1735&amp;O1735&amp;U1735&amp;AL1735&amp;AM1735</f>
        <v>ScotlandLamlash Bay Marine ReserveHomarus gammarusEurasian lobstersize1.11820333333333Howarth2017</v>
      </c>
    </row>
    <row r="1736" spans="1:49" ht="14.5" x14ac:dyDescent="0.35">
      <c r="A1736" s="12">
        <v>1735</v>
      </c>
      <c r="B1736" s="15" t="s">
        <v>210</v>
      </c>
      <c r="C1736" s="15" t="s">
        <v>1258</v>
      </c>
      <c r="D1736" s="59" t="s">
        <v>211</v>
      </c>
      <c r="E1736" s="15" t="s">
        <v>68</v>
      </c>
      <c r="F1736" s="16" t="s">
        <v>50</v>
      </c>
      <c r="G1736" s="16" t="s">
        <v>51</v>
      </c>
      <c r="H1736" s="16" t="s">
        <v>108</v>
      </c>
      <c r="I1736" s="16" t="s">
        <v>53</v>
      </c>
      <c r="J1736" s="47">
        <v>4</v>
      </c>
      <c r="K1736" s="17"/>
      <c r="L1736" s="17" t="s">
        <v>212</v>
      </c>
      <c r="M1736" s="17"/>
      <c r="N1736" s="14" t="s">
        <v>85</v>
      </c>
      <c r="O1736" s="17" t="s">
        <v>86</v>
      </c>
      <c r="P1736" s="17"/>
      <c r="Q1736" s="17"/>
      <c r="R1736" s="17"/>
      <c r="S1736" s="17"/>
      <c r="T1736" s="17"/>
      <c r="U1736" s="17">
        <v>1.96</v>
      </c>
      <c r="V1736" s="41">
        <f t="shared" si="119"/>
        <v>96</v>
      </c>
      <c r="W1736" s="17"/>
      <c r="X1736" s="17" t="s">
        <v>56</v>
      </c>
      <c r="Z1736" s="17" t="s">
        <v>56</v>
      </c>
      <c r="AA1736" s="17"/>
      <c r="AB1736" s="17" t="s">
        <v>57</v>
      </c>
      <c r="AC1736" s="17">
        <v>2009</v>
      </c>
      <c r="AD1736" s="17">
        <v>1</v>
      </c>
      <c r="AE1736" s="17"/>
      <c r="AF1736" s="17"/>
      <c r="AG1736" s="17">
        <v>2009</v>
      </c>
      <c r="AH1736" s="14">
        <f t="shared" si="117"/>
        <v>0</v>
      </c>
      <c r="AI1736" s="17">
        <f t="shared" si="118"/>
        <v>1</v>
      </c>
      <c r="AJ1736" s="17"/>
      <c r="AK1736" s="17" t="s">
        <v>56</v>
      </c>
      <c r="AL1736" s="16" t="s">
        <v>213</v>
      </c>
      <c r="AM1736" s="17">
        <v>2013</v>
      </c>
      <c r="AN1736" s="15" t="s">
        <v>183</v>
      </c>
      <c r="AO1736" s="15" t="s">
        <v>56</v>
      </c>
      <c r="AP1736" s="15"/>
      <c r="AQ1736" s="15" t="s">
        <v>56</v>
      </c>
      <c r="AR1736" s="15" t="s">
        <v>58</v>
      </c>
      <c r="AS1736" s="15" t="s">
        <v>62</v>
      </c>
      <c r="AT1736" s="15"/>
      <c r="AU1736" s="45" t="s">
        <v>2829</v>
      </c>
      <c r="AV1736" s="15"/>
      <c r="AW1736" s="12" t="str">
        <f>B1736&amp;C1736&amp;L1736&amp;M1736&amp;O1736&amp;U1736&amp;AL1736&amp;AM1736</f>
        <v>PortugalLuiz Saldanha Marine ParkTripterygion delaisidensity1.96Horta e Costa2013</v>
      </c>
    </row>
    <row r="1737" spans="1:49" ht="14.5" x14ac:dyDescent="0.35">
      <c r="A1737" s="12">
        <v>1736</v>
      </c>
      <c r="B1737" s="15" t="s">
        <v>210</v>
      </c>
      <c r="C1737" s="15" t="s">
        <v>1258</v>
      </c>
      <c r="D1737" s="59" t="s">
        <v>211</v>
      </c>
      <c r="E1737" s="15" t="s">
        <v>68</v>
      </c>
      <c r="F1737" s="16" t="s">
        <v>50</v>
      </c>
      <c r="G1737" s="16" t="s">
        <v>51</v>
      </c>
      <c r="H1737" s="16" t="s">
        <v>108</v>
      </c>
      <c r="I1737" s="16" t="s">
        <v>53</v>
      </c>
      <c r="J1737" s="47">
        <v>4</v>
      </c>
      <c r="K1737" s="17"/>
      <c r="L1737" s="17" t="s">
        <v>214</v>
      </c>
      <c r="M1737" s="17"/>
      <c r="N1737" s="14" t="s">
        <v>85</v>
      </c>
      <c r="O1737" s="17" t="s">
        <v>86</v>
      </c>
      <c r="P1737" s="17"/>
      <c r="Q1737" s="17"/>
      <c r="R1737" s="17"/>
      <c r="S1737" s="17"/>
      <c r="T1737" s="17"/>
      <c r="U1737" s="17">
        <v>0.88</v>
      </c>
      <c r="V1737" s="41">
        <f t="shared" si="119"/>
        <v>-12</v>
      </c>
      <c r="W1737" s="17"/>
      <c r="X1737" s="17" t="s">
        <v>56</v>
      </c>
      <c r="Z1737" s="17" t="s">
        <v>56</v>
      </c>
      <c r="AA1737" s="17"/>
      <c r="AB1737" s="17" t="s">
        <v>57</v>
      </c>
      <c r="AC1737" s="17">
        <v>2009</v>
      </c>
      <c r="AD1737" s="17">
        <v>1</v>
      </c>
      <c r="AE1737" s="17"/>
      <c r="AF1737" s="17"/>
      <c r="AG1737" s="17">
        <v>2009</v>
      </c>
      <c r="AH1737" s="14">
        <f t="shared" si="117"/>
        <v>0</v>
      </c>
      <c r="AI1737" s="17">
        <f t="shared" si="118"/>
        <v>1</v>
      </c>
      <c r="AJ1737" s="17"/>
      <c r="AK1737" s="17" t="s">
        <v>56</v>
      </c>
      <c r="AL1737" s="16" t="s">
        <v>213</v>
      </c>
      <c r="AM1737" s="17">
        <v>2013</v>
      </c>
      <c r="AN1737" s="15" t="s">
        <v>183</v>
      </c>
      <c r="AO1737" s="15" t="s">
        <v>56</v>
      </c>
      <c r="AP1737" s="15"/>
      <c r="AQ1737" s="15" t="s">
        <v>56</v>
      </c>
      <c r="AR1737" s="15" t="s">
        <v>58</v>
      </c>
      <c r="AS1737" s="15" t="s">
        <v>62</v>
      </c>
      <c r="AT1737" s="15"/>
      <c r="AU1737" s="45" t="s">
        <v>2829</v>
      </c>
      <c r="AV1737" s="15"/>
      <c r="AW1737" s="12" t="str">
        <f>B1737&amp;C1737&amp;L1737&amp;M1737&amp;O1737&amp;U1737&amp;AL1737&amp;AM1737</f>
        <v>PortugalLuiz Saldanha Marine ParkSymphodus roissalidensity0.88Horta e Costa2013</v>
      </c>
    </row>
    <row r="1738" spans="1:49" ht="14.5" x14ac:dyDescent="0.35">
      <c r="A1738" s="12">
        <v>1737</v>
      </c>
      <c r="B1738" s="15" t="s">
        <v>210</v>
      </c>
      <c r="C1738" s="15" t="s">
        <v>1258</v>
      </c>
      <c r="D1738" s="59" t="s">
        <v>211</v>
      </c>
      <c r="E1738" s="15" t="s">
        <v>68</v>
      </c>
      <c r="F1738" s="16" t="s">
        <v>50</v>
      </c>
      <c r="G1738" s="16" t="s">
        <v>51</v>
      </c>
      <c r="H1738" s="16" t="s">
        <v>108</v>
      </c>
      <c r="I1738" s="16" t="s">
        <v>53</v>
      </c>
      <c r="J1738" s="47">
        <v>4</v>
      </c>
      <c r="K1738" s="17"/>
      <c r="L1738" s="17" t="s">
        <v>215</v>
      </c>
      <c r="M1738" s="17"/>
      <c r="N1738" s="14" t="s">
        <v>85</v>
      </c>
      <c r="O1738" s="17" t="s">
        <v>86</v>
      </c>
      <c r="P1738" s="17"/>
      <c r="Q1738" s="17"/>
      <c r="R1738" s="17"/>
      <c r="S1738" s="17"/>
      <c r="T1738" s="17"/>
      <c r="U1738" s="17">
        <v>1.1499999999999999</v>
      </c>
      <c r="V1738" s="41">
        <f t="shared" si="119"/>
        <v>14.999999999999991</v>
      </c>
      <c r="W1738" s="17"/>
      <c r="X1738" s="17" t="s">
        <v>56</v>
      </c>
      <c r="Z1738" s="17" t="s">
        <v>56</v>
      </c>
      <c r="AA1738" s="17"/>
      <c r="AB1738" s="17" t="s">
        <v>57</v>
      </c>
      <c r="AC1738" s="17">
        <v>2009</v>
      </c>
      <c r="AD1738" s="17">
        <v>1</v>
      </c>
      <c r="AE1738" s="17"/>
      <c r="AF1738" s="17"/>
      <c r="AG1738" s="17">
        <v>2009</v>
      </c>
      <c r="AH1738" s="14">
        <f t="shared" si="117"/>
        <v>0</v>
      </c>
      <c r="AI1738" s="17">
        <f t="shared" si="118"/>
        <v>1</v>
      </c>
      <c r="AJ1738" s="17"/>
      <c r="AK1738" s="17" t="s">
        <v>56</v>
      </c>
      <c r="AL1738" s="16" t="s">
        <v>213</v>
      </c>
      <c r="AM1738" s="17">
        <v>2013</v>
      </c>
      <c r="AN1738" s="15" t="s">
        <v>183</v>
      </c>
      <c r="AO1738" s="15" t="s">
        <v>56</v>
      </c>
      <c r="AP1738" s="15"/>
      <c r="AQ1738" s="15" t="s">
        <v>56</v>
      </c>
      <c r="AR1738" s="15" t="s">
        <v>58</v>
      </c>
      <c r="AS1738" s="15" t="s">
        <v>62</v>
      </c>
      <c r="AT1738" s="15"/>
      <c r="AU1738" s="45" t="s">
        <v>2829</v>
      </c>
      <c r="AV1738" s="15"/>
      <c r="AW1738" s="12" t="str">
        <f>B1738&amp;C1738&amp;L1738&amp;M1738&amp;O1738&amp;U1738&amp;AL1738&amp;AM1738</f>
        <v>PortugalLuiz Saldanha Marine ParkSymphodus melopsdensity1.15Horta e Costa2013</v>
      </c>
    </row>
    <row r="1739" spans="1:49" ht="14.5" x14ac:dyDescent="0.35">
      <c r="A1739" s="12">
        <v>1738</v>
      </c>
      <c r="B1739" s="12" t="s">
        <v>210</v>
      </c>
      <c r="C1739" s="15" t="s">
        <v>1258</v>
      </c>
      <c r="D1739" s="59" t="s">
        <v>211</v>
      </c>
      <c r="E1739" s="15" t="s">
        <v>68</v>
      </c>
      <c r="F1739" s="16" t="s">
        <v>50</v>
      </c>
      <c r="G1739" s="16" t="s">
        <v>51</v>
      </c>
      <c r="H1739" s="16" t="s">
        <v>108</v>
      </c>
      <c r="I1739" s="16" t="s">
        <v>53</v>
      </c>
      <c r="J1739" s="47">
        <v>4</v>
      </c>
      <c r="K1739" s="17"/>
      <c r="L1739" s="17" t="s">
        <v>216</v>
      </c>
      <c r="M1739" s="17"/>
      <c r="N1739" s="14" t="s">
        <v>85</v>
      </c>
      <c r="O1739" s="17" t="s">
        <v>86</v>
      </c>
      <c r="P1739" s="17"/>
      <c r="Q1739" s="17"/>
      <c r="R1739" s="17"/>
      <c r="S1739" s="17"/>
      <c r="T1739" s="17"/>
      <c r="U1739" s="17">
        <v>1.1499999999999999</v>
      </c>
      <c r="V1739" s="41">
        <f t="shared" si="119"/>
        <v>14.999999999999991</v>
      </c>
      <c r="W1739" s="17"/>
      <c r="X1739" s="17" t="s">
        <v>56</v>
      </c>
      <c r="Z1739" s="17" t="s">
        <v>56</v>
      </c>
      <c r="AA1739" s="17"/>
      <c r="AB1739" s="17" t="s">
        <v>57</v>
      </c>
      <c r="AC1739" s="17">
        <v>2009</v>
      </c>
      <c r="AD1739" s="17">
        <v>1</v>
      </c>
      <c r="AE1739" s="17"/>
      <c r="AF1739" s="17"/>
      <c r="AG1739" s="17">
        <v>2009</v>
      </c>
      <c r="AH1739" s="14">
        <f t="shared" si="117"/>
        <v>0</v>
      </c>
      <c r="AI1739" s="17">
        <f t="shared" si="118"/>
        <v>1</v>
      </c>
      <c r="AJ1739" s="17"/>
      <c r="AK1739" s="17" t="s">
        <v>56</v>
      </c>
      <c r="AL1739" s="16" t="s">
        <v>213</v>
      </c>
      <c r="AM1739" s="17">
        <v>2013</v>
      </c>
      <c r="AN1739" s="15" t="s">
        <v>183</v>
      </c>
      <c r="AO1739" s="15" t="s">
        <v>56</v>
      </c>
      <c r="AP1739" s="15"/>
      <c r="AQ1739" s="15" t="s">
        <v>56</v>
      </c>
      <c r="AR1739" s="15" t="s">
        <v>58</v>
      </c>
      <c r="AS1739" s="15" t="s">
        <v>62</v>
      </c>
      <c r="AT1739" s="15"/>
      <c r="AU1739" s="45" t="s">
        <v>2829</v>
      </c>
      <c r="AV1739" s="15"/>
      <c r="AW1739" s="12" t="str">
        <f>B1739&amp;C1739&amp;L1739&amp;M1739&amp;O1739&amp;U1739&amp;AL1739&amp;AM1739</f>
        <v>PortugalLuiz Saldanha Marine ParkSymphodus baillonidensity1.15Horta e Costa2013</v>
      </c>
    </row>
    <row r="1740" spans="1:49" ht="14.5" x14ac:dyDescent="0.35">
      <c r="A1740" s="12">
        <v>1739</v>
      </c>
      <c r="B1740" s="12" t="s">
        <v>210</v>
      </c>
      <c r="C1740" s="15" t="s">
        <v>1258</v>
      </c>
      <c r="D1740" s="59" t="s">
        <v>211</v>
      </c>
      <c r="E1740" s="15" t="s">
        <v>68</v>
      </c>
      <c r="F1740" s="16" t="s">
        <v>50</v>
      </c>
      <c r="G1740" s="16" t="s">
        <v>51</v>
      </c>
      <c r="H1740" s="16" t="s">
        <v>108</v>
      </c>
      <c r="I1740" s="16" t="s">
        <v>53</v>
      </c>
      <c r="J1740" s="47">
        <v>4</v>
      </c>
      <c r="K1740" s="17"/>
      <c r="L1740" s="17" t="s">
        <v>217</v>
      </c>
      <c r="M1740" s="17"/>
      <c r="N1740" s="14" t="s">
        <v>85</v>
      </c>
      <c r="O1740" s="17" t="s">
        <v>86</v>
      </c>
      <c r="P1740" s="17"/>
      <c r="Q1740" s="17"/>
      <c r="R1740" s="17"/>
      <c r="S1740" s="17"/>
      <c r="T1740" s="17"/>
      <c r="U1740" s="17">
        <v>0.61</v>
      </c>
      <c r="V1740" s="41">
        <f t="shared" si="119"/>
        <v>-39</v>
      </c>
      <c r="W1740" s="17"/>
      <c r="X1740" s="17" t="s">
        <v>56</v>
      </c>
      <c r="Z1740" s="17" t="s">
        <v>56</v>
      </c>
      <c r="AA1740" s="17"/>
      <c r="AB1740" s="17" t="s">
        <v>57</v>
      </c>
      <c r="AC1740" s="17">
        <v>2009</v>
      </c>
      <c r="AD1740" s="17">
        <v>1</v>
      </c>
      <c r="AE1740" s="17"/>
      <c r="AF1740" s="17"/>
      <c r="AG1740" s="17">
        <v>2009</v>
      </c>
      <c r="AH1740" s="14">
        <f t="shared" si="117"/>
        <v>0</v>
      </c>
      <c r="AI1740" s="17">
        <f t="shared" si="118"/>
        <v>1</v>
      </c>
      <c r="AJ1740" s="17"/>
      <c r="AK1740" s="17" t="s">
        <v>56</v>
      </c>
      <c r="AL1740" s="16" t="s">
        <v>213</v>
      </c>
      <c r="AM1740" s="17">
        <v>2013</v>
      </c>
      <c r="AN1740" s="15" t="s">
        <v>183</v>
      </c>
      <c r="AO1740" s="15" t="s">
        <v>56</v>
      </c>
      <c r="AP1740" s="15"/>
      <c r="AQ1740" s="15" t="s">
        <v>56</v>
      </c>
      <c r="AR1740" s="15" t="s">
        <v>58</v>
      </c>
      <c r="AS1740" s="15" t="s">
        <v>62</v>
      </c>
      <c r="AT1740" s="15"/>
      <c r="AU1740" s="45" t="s">
        <v>2829</v>
      </c>
      <c r="AV1740" s="15"/>
      <c r="AW1740" s="12" t="str">
        <f>B1740&amp;C1740&amp;L1740&amp;M1740&amp;O1740&amp;U1740&amp;AL1740&amp;AM1740</f>
        <v>PortugalLuiz Saldanha Marine ParkSerranus cabrilladensity0.61Horta e Costa2013</v>
      </c>
    </row>
    <row r="1741" spans="1:49" ht="14.5" x14ac:dyDescent="0.35">
      <c r="A1741" s="12">
        <v>1740</v>
      </c>
      <c r="B1741" s="15" t="s">
        <v>210</v>
      </c>
      <c r="C1741" s="15" t="s">
        <v>1258</v>
      </c>
      <c r="D1741" s="59" t="s">
        <v>211</v>
      </c>
      <c r="E1741" s="15" t="s">
        <v>68</v>
      </c>
      <c r="F1741" s="13" t="s">
        <v>50</v>
      </c>
      <c r="G1741" s="13" t="s">
        <v>51</v>
      </c>
      <c r="H1741" s="16" t="s">
        <v>108</v>
      </c>
      <c r="I1741" s="16" t="s">
        <v>53</v>
      </c>
      <c r="J1741" s="47">
        <v>4</v>
      </c>
      <c r="K1741" s="17"/>
      <c r="L1741" s="17" t="s">
        <v>2817</v>
      </c>
      <c r="M1741" s="14" t="s">
        <v>1849</v>
      </c>
      <c r="N1741" s="14" t="s">
        <v>85</v>
      </c>
      <c r="O1741" s="17" t="s">
        <v>86</v>
      </c>
      <c r="P1741" s="17"/>
      <c r="Q1741" s="17"/>
      <c r="R1741" s="17"/>
      <c r="S1741" s="17"/>
      <c r="T1741" s="17"/>
      <c r="U1741" s="17">
        <v>0.78</v>
      </c>
      <c r="V1741" s="41">
        <f t="shared" si="119"/>
        <v>-21.999999999999996</v>
      </c>
      <c r="W1741" s="17"/>
      <c r="X1741" s="17" t="s">
        <v>56</v>
      </c>
      <c r="Z1741" s="17" t="s">
        <v>56</v>
      </c>
      <c r="AA1741" s="17"/>
      <c r="AB1741" s="17" t="s">
        <v>57</v>
      </c>
      <c r="AC1741" s="17">
        <v>2009</v>
      </c>
      <c r="AD1741" s="17">
        <v>1</v>
      </c>
      <c r="AE1741" s="17"/>
      <c r="AF1741" s="17"/>
      <c r="AG1741" s="17">
        <v>2009</v>
      </c>
      <c r="AH1741" s="14">
        <f t="shared" si="117"/>
        <v>0</v>
      </c>
      <c r="AI1741" s="17">
        <f t="shared" si="118"/>
        <v>1</v>
      </c>
      <c r="AJ1741" s="17"/>
      <c r="AK1741" s="17" t="s">
        <v>56</v>
      </c>
      <c r="AL1741" s="16" t="s">
        <v>213</v>
      </c>
      <c r="AM1741" s="17">
        <v>2013</v>
      </c>
      <c r="AN1741" s="15" t="s">
        <v>183</v>
      </c>
      <c r="AO1741" s="15" t="s">
        <v>56</v>
      </c>
      <c r="AP1741" s="15"/>
      <c r="AQ1741" s="15" t="s">
        <v>56</v>
      </c>
      <c r="AR1741" s="15" t="s">
        <v>58</v>
      </c>
      <c r="AS1741" s="15" t="s">
        <v>62</v>
      </c>
      <c r="AT1741" s="15"/>
      <c r="AU1741" s="45" t="s">
        <v>2829</v>
      </c>
      <c r="AV1741" s="15"/>
      <c r="AW1741" s="12" t="str">
        <f>B1741&amp;C1741&amp;L1741&amp;M1741&amp;O1741&amp;U1741&amp;AL1741&amp;AM1741</f>
        <v>PortugalLuiz Saldanha Marine ParkSarpa salpa (not legal size)Salemadensity0.78Horta e Costa2013</v>
      </c>
    </row>
    <row r="1742" spans="1:49" ht="14.5" x14ac:dyDescent="0.35">
      <c r="A1742" s="12">
        <v>1741</v>
      </c>
      <c r="B1742" s="15" t="s">
        <v>210</v>
      </c>
      <c r="C1742" s="15" t="s">
        <v>1258</v>
      </c>
      <c r="D1742" s="59" t="s">
        <v>211</v>
      </c>
      <c r="E1742" s="15" t="s">
        <v>68</v>
      </c>
      <c r="F1742" s="13" t="s">
        <v>50</v>
      </c>
      <c r="G1742" s="13" t="s">
        <v>51</v>
      </c>
      <c r="H1742" s="16" t="s">
        <v>108</v>
      </c>
      <c r="I1742" s="16" t="s">
        <v>53</v>
      </c>
      <c r="J1742" s="18">
        <v>4</v>
      </c>
      <c r="K1742" s="17"/>
      <c r="L1742" s="17" t="s">
        <v>2808</v>
      </c>
      <c r="M1742" s="14" t="s">
        <v>1849</v>
      </c>
      <c r="N1742" s="14" t="s">
        <v>85</v>
      </c>
      <c r="O1742" s="17" t="s">
        <v>86</v>
      </c>
      <c r="P1742" s="17"/>
      <c r="Q1742" s="17"/>
      <c r="R1742" s="17"/>
      <c r="S1742" s="17"/>
      <c r="T1742" s="17"/>
      <c r="U1742" s="17">
        <v>1.71</v>
      </c>
      <c r="V1742" s="41">
        <f t="shared" si="119"/>
        <v>71</v>
      </c>
      <c r="W1742" s="17"/>
      <c r="X1742" s="17" t="s">
        <v>56</v>
      </c>
      <c r="Y1742" s="17"/>
      <c r="Z1742" s="17" t="s">
        <v>56</v>
      </c>
      <c r="AA1742" s="17"/>
      <c r="AB1742" s="17" t="s">
        <v>57</v>
      </c>
      <c r="AC1742" s="17">
        <v>2009</v>
      </c>
      <c r="AD1742" s="17">
        <v>1</v>
      </c>
      <c r="AE1742" s="17"/>
      <c r="AF1742" s="17"/>
      <c r="AG1742" s="17">
        <v>2009</v>
      </c>
      <c r="AH1742" s="14">
        <f t="shared" si="117"/>
        <v>0</v>
      </c>
      <c r="AI1742" s="17">
        <f t="shared" si="118"/>
        <v>1</v>
      </c>
      <c r="AJ1742" s="17"/>
      <c r="AK1742" s="17" t="s">
        <v>56</v>
      </c>
      <c r="AL1742" s="16" t="s">
        <v>213</v>
      </c>
      <c r="AM1742" s="17">
        <v>2013</v>
      </c>
      <c r="AN1742" s="12" t="s">
        <v>183</v>
      </c>
      <c r="AO1742" s="15" t="s">
        <v>56</v>
      </c>
      <c r="AP1742" s="15"/>
      <c r="AQ1742" s="15" t="s">
        <v>56</v>
      </c>
      <c r="AR1742" s="15" t="s">
        <v>58</v>
      </c>
      <c r="AS1742" s="15" t="s">
        <v>62</v>
      </c>
      <c r="AT1742" s="15"/>
      <c r="AU1742" s="45" t="s">
        <v>2829</v>
      </c>
      <c r="AV1742" s="15"/>
      <c r="AW1742" s="12" t="str">
        <f>B1742&amp;C1742&amp;L1742&amp;M1742&amp;O1742&amp;U1742&amp;AL1742&amp;AM1742</f>
        <v>PortugalLuiz Saldanha Marine ParkSarpa salpa (legal size)Salemadensity1.71Horta e Costa2013</v>
      </c>
    </row>
    <row r="1743" spans="1:49" ht="14.5" x14ac:dyDescent="0.35">
      <c r="A1743" s="12">
        <v>1742</v>
      </c>
      <c r="B1743" s="12" t="s">
        <v>210</v>
      </c>
      <c r="C1743" s="15" t="s">
        <v>1258</v>
      </c>
      <c r="D1743" s="50" t="s">
        <v>211</v>
      </c>
      <c r="E1743" s="12" t="s">
        <v>68</v>
      </c>
      <c r="F1743" s="13" t="s">
        <v>50</v>
      </c>
      <c r="G1743" s="13" t="s">
        <v>51</v>
      </c>
      <c r="H1743" s="13" t="s">
        <v>108</v>
      </c>
      <c r="I1743" s="13" t="s">
        <v>53</v>
      </c>
      <c r="J1743" s="18">
        <v>4</v>
      </c>
      <c r="K1743" s="17"/>
      <c r="L1743" s="14" t="s">
        <v>219</v>
      </c>
      <c r="M1743" s="14"/>
      <c r="N1743" s="14" t="s">
        <v>85</v>
      </c>
      <c r="O1743" s="17" t="s">
        <v>86</v>
      </c>
      <c r="P1743" s="14"/>
      <c r="Q1743" s="14"/>
      <c r="R1743" s="14"/>
      <c r="S1743" s="14"/>
      <c r="T1743" s="14"/>
      <c r="U1743" s="14">
        <v>1.34</v>
      </c>
      <c r="V1743" s="41">
        <f t="shared" si="119"/>
        <v>34.000000000000007</v>
      </c>
      <c r="W1743" s="14"/>
      <c r="X1743" s="14" t="s">
        <v>56</v>
      </c>
      <c r="Z1743" s="14" t="s">
        <v>56</v>
      </c>
      <c r="AA1743" s="14"/>
      <c r="AB1743" s="14" t="s">
        <v>57</v>
      </c>
      <c r="AC1743" s="14">
        <v>2009</v>
      </c>
      <c r="AD1743" s="14">
        <v>1</v>
      </c>
      <c r="AE1743" s="14"/>
      <c r="AF1743" s="14"/>
      <c r="AG1743" s="14">
        <v>2009</v>
      </c>
      <c r="AH1743" s="14">
        <f t="shared" si="117"/>
        <v>0</v>
      </c>
      <c r="AI1743" s="17">
        <f t="shared" si="118"/>
        <v>1</v>
      </c>
      <c r="AJ1743" s="14"/>
      <c r="AK1743" s="14" t="s">
        <v>56</v>
      </c>
      <c r="AL1743" s="13" t="s">
        <v>213</v>
      </c>
      <c r="AM1743" s="14">
        <v>2013</v>
      </c>
      <c r="AN1743" s="12" t="s">
        <v>183</v>
      </c>
      <c r="AO1743" s="12" t="s">
        <v>56</v>
      </c>
      <c r="AP1743" s="12"/>
      <c r="AQ1743" s="12" t="s">
        <v>56</v>
      </c>
      <c r="AR1743" s="12" t="s">
        <v>58</v>
      </c>
      <c r="AS1743" s="12" t="s">
        <v>62</v>
      </c>
      <c r="AT1743" s="12"/>
      <c r="AU1743" s="45" t="s">
        <v>2829</v>
      </c>
      <c r="AV1743" s="15"/>
      <c r="AW1743" s="12" t="str">
        <f>B1743&amp;C1743&amp;L1743&amp;M1743&amp;O1743&amp;U1743&amp;AL1743&amp;AM1743</f>
        <v>PortugalLuiz Saldanha Marine ParkParablennius pilicornisdensity1.34Horta e Costa2013</v>
      </c>
    </row>
    <row r="1744" spans="1:49" ht="15" customHeight="1" x14ac:dyDescent="0.35">
      <c r="A1744" s="12">
        <v>1743</v>
      </c>
      <c r="B1744" s="12" t="s">
        <v>210</v>
      </c>
      <c r="C1744" s="15" t="s">
        <v>1258</v>
      </c>
      <c r="D1744" s="59" t="s">
        <v>211</v>
      </c>
      <c r="E1744" s="15" t="s">
        <v>68</v>
      </c>
      <c r="F1744" s="16" t="s">
        <v>50</v>
      </c>
      <c r="G1744" s="16" t="s">
        <v>51</v>
      </c>
      <c r="H1744" s="16" t="s">
        <v>108</v>
      </c>
      <c r="I1744" s="16" t="s">
        <v>53</v>
      </c>
      <c r="J1744" s="47">
        <v>4</v>
      </c>
      <c r="K1744" s="17"/>
      <c r="L1744" s="17" t="s">
        <v>220</v>
      </c>
      <c r="M1744" s="17"/>
      <c r="N1744" s="14" t="s">
        <v>85</v>
      </c>
      <c r="O1744" s="17" t="s">
        <v>86</v>
      </c>
      <c r="P1744" s="17"/>
      <c r="Q1744" s="17"/>
      <c r="R1744" s="17"/>
      <c r="S1744" s="17"/>
      <c r="T1744" s="17"/>
      <c r="U1744" s="17">
        <v>1.29</v>
      </c>
      <c r="V1744" s="41">
        <f t="shared" si="119"/>
        <v>29.000000000000004</v>
      </c>
      <c r="W1744" s="17"/>
      <c r="X1744" s="17" t="s">
        <v>56</v>
      </c>
      <c r="Z1744" s="17" t="s">
        <v>56</v>
      </c>
      <c r="AA1744" s="17"/>
      <c r="AB1744" s="17" t="s">
        <v>57</v>
      </c>
      <c r="AC1744" s="17">
        <v>2009</v>
      </c>
      <c r="AD1744" s="17">
        <v>1</v>
      </c>
      <c r="AE1744" s="17"/>
      <c r="AF1744" s="17"/>
      <c r="AG1744" s="17">
        <v>2009</v>
      </c>
      <c r="AH1744" s="14">
        <f t="shared" si="117"/>
        <v>0</v>
      </c>
      <c r="AI1744" s="17">
        <f t="shared" si="118"/>
        <v>1</v>
      </c>
      <c r="AJ1744" s="17"/>
      <c r="AK1744" s="17" t="s">
        <v>56</v>
      </c>
      <c r="AL1744" s="16" t="s">
        <v>213</v>
      </c>
      <c r="AM1744" s="17">
        <v>2013</v>
      </c>
      <c r="AN1744" s="15" t="s">
        <v>183</v>
      </c>
      <c r="AO1744" s="15" t="s">
        <v>56</v>
      </c>
      <c r="AP1744" s="15"/>
      <c r="AQ1744" s="15" t="s">
        <v>56</v>
      </c>
      <c r="AR1744" s="15" t="s">
        <v>58</v>
      </c>
      <c r="AS1744" s="15" t="s">
        <v>62</v>
      </c>
      <c r="AT1744" s="15"/>
      <c r="AU1744" s="45" t="s">
        <v>2829</v>
      </c>
      <c r="AV1744" s="15"/>
      <c r="AW1744" s="12" t="str">
        <f>B1744&amp;C1744&amp;L1744&amp;M1744&amp;O1744&amp;U1744&amp;AL1744&amp;AM1744</f>
        <v>PortugalLuiz Saldanha Marine ParkOctopus vulgarisdensity1.29Horta e Costa2013</v>
      </c>
    </row>
    <row r="1745" spans="1:49" ht="14.5" x14ac:dyDescent="0.35">
      <c r="A1745" s="12">
        <v>1744</v>
      </c>
      <c r="B1745" s="12" t="s">
        <v>210</v>
      </c>
      <c r="C1745" s="15" t="s">
        <v>1258</v>
      </c>
      <c r="D1745" s="59" t="s">
        <v>211</v>
      </c>
      <c r="E1745" s="12" t="s">
        <v>68</v>
      </c>
      <c r="F1745" s="13" t="s">
        <v>50</v>
      </c>
      <c r="G1745" s="13" t="s">
        <v>51</v>
      </c>
      <c r="H1745" s="13" t="s">
        <v>108</v>
      </c>
      <c r="I1745" s="13" t="s">
        <v>53</v>
      </c>
      <c r="J1745" s="18">
        <v>4</v>
      </c>
      <c r="K1745" s="17"/>
      <c r="L1745" s="14" t="s">
        <v>221</v>
      </c>
      <c r="M1745" s="14"/>
      <c r="N1745" s="14" t="s">
        <v>85</v>
      </c>
      <c r="O1745" s="17" t="s">
        <v>86</v>
      </c>
      <c r="P1745" s="14"/>
      <c r="Q1745" s="14"/>
      <c r="R1745" s="14"/>
      <c r="S1745" s="14"/>
      <c r="T1745" s="14"/>
      <c r="U1745" s="14">
        <v>1.26</v>
      </c>
      <c r="V1745" s="41">
        <f t="shared" si="119"/>
        <v>26</v>
      </c>
      <c r="W1745" s="14"/>
      <c r="X1745" s="14" t="s">
        <v>56</v>
      </c>
      <c r="Z1745" s="14" t="s">
        <v>56</v>
      </c>
      <c r="AA1745" s="14"/>
      <c r="AB1745" s="14" t="s">
        <v>57</v>
      </c>
      <c r="AC1745" s="14">
        <v>2009</v>
      </c>
      <c r="AD1745" s="14">
        <v>1</v>
      </c>
      <c r="AE1745" s="14"/>
      <c r="AF1745" s="14"/>
      <c r="AG1745" s="14">
        <v>2009</v>
      </c>
      <c r="AH1745" s="14">
        <f t="shared" si="117"/>
        <v>0</v>
      </c>
      <c r="AI1745" s="17">
        <f t="shared" si="118"/>
        <v>1</v>
      </c>
      <c r="AJ1745" s="14"/>
      <c r="AK1745" s="14" t="s">
        <v>56</v>
      </c>
      <c r="AL1745" s="13" t="s">
        <v>213</v>
      </c>
      <c r="AM1745" s="14">
        <v>2013</v>
      </c>
      <c r="AN1745" s="12" t="s">
        <v>183</v>
      </c>
      <c r="AO1745" s="12" t="s">
        <v>56</v>
      </c>
      <c r="AP1745" s="12"/>
      <c r="AQ1745" s="12" t="s">
        <v>56</v>
      </c>
      <c r="AR1745" s="12" t="s">
        <v>58</v>
      </c>
      <c r="AS1745" s="12" t="s">
        <v>62</v>
      </c>
      <c r="AT1745" s="12"/>
      <c r="AU1745" s="45" t="s">
        <v>2829</v>
      </c>
      <c r="AV1745" s="15"/>
      <c r="AW1745" s="12" t="str">
        <f>B1745&amp;C1745&amp;L1745&amp;M1745&amp;O1745&amp;U1745&amp;AL1745&amp;AM1745</f>
        <v>PortugalLuiz Saldanha Marine ParkNecora puberdensity1.26Horta e Costa2013</v>
      </c>
    </row>
    <row r="1746" spans="1:49" ht="14.5" x14ac:dyDescent="0.35">
      <c r="A1746" s="12">
        <v>1745</v>
      </c>
      <c r="B1746" s="12" t="s">
        <v>210</v>
      </c>
      <c r="C1746" s="15" t="s">
        <v>1258</v>
      </c>
      <c r="D1746" s="50" t="s">
        <v>211</v>
      </c>
      <c r="E1746" s="12" t="s">
        <v>68</v>
      </c>
      <c r="F1746" s="13" t="s">
        <v>50</v>
      </c>
      <c r="G1746" s="13" t="s">
        <v>51</v>
      </c>
      <c r="H1746" s="13" t="s">
        <v>108</v>
      </c>
      <c r="I1746" s="13" t="s">
        <v>53</v>
      </c>
      <c r="J1746" s="18">
        <v>4</v>
      </c>
      <c r="K1746" s="17"/>
      <c r="L1746" s="14" t="s">
        <v>222</v>
      </c>
      <c r="M1746" s="14"/>
      <c r="N1746" s="14" t="s">
        <v>170</v>
      </c>
      <c r="O1746" s="17" t="s">
        <v>86</v>
      </c>
      <c r="P1746" s="14"/>
      <c r="Q1746" s="14"/>
      <c r="R1746" s="14"/>
      <c r="S1746" s="14"/>
      <c r="T1746" s="14"/>
      <c r="U1746" s="14">
        <v>0.48</v>
      </c>
      <c r="V1746" s="41">
        <f t="shared" si="119"/>
        <v>-52</v>
      </c>
      <c r="W1746" s="14"/>
      <c r="X1746" s="14" t="s">
        <v>56</v>
      </c>
      <c r="Z1746" s="14" t="s">
        <v>56</v>
      </c>
      <c r="AA1746" s="14"/>
      <c r="AB1746" s="14" t="s">
        <v>57</v>
      </c>
      <c r="AC1746" s="14">
        <v>2009</v>
      </c>
      <c r="AD1746" s="14">
        <v>1</v>
      </c>
      <c r="AE1746" s="14"/>
      <c r="AF1746" s="14"/>
      <c r="AG1746" s="14">
        <v>2009</v>
      </c>
      <c r="AH1746" s="14">
        <f t="shared" si="117"/>
        <v>0</v>
      </c>
      <c r="AI1746" s="17">
        <f t="shared" si="118"/>
        <v>1</v>
      </c>
      <c r="AJ1746" s="14"/>
      <c r="AK1746" s="14" t="s">
        <v>56</v>
      </c>
      <c r="AL1746" s="13" t="s">
        <v>213</v>
      </c>
      <c r="AM1746" s="14">
        <v>2013</v>
      </c>
      <c r="AN1746" s="12" t="s">
        <v>183</v>
      </c>
      <c r="AO1746" s="12" t="s">
        <v>56</v>
      </c>
      <c r="AP1746" s="12"/>
      <c r="AQ1746" s="12" t="s">
        <v>56</v>
      </c>
      <c r="AR1746" s="12" t="s">
        <v>58</v>
      </c>
      <c r="AS1746" s="12" t="s">
        <v>62</v>
      </c>
      <c r="AT1746" s="12"/>
      <c r="AU1746" s="45" t="s">
        <v>2829</v>
      </c>
      <c r="AV1746" s="15"/>
      <c r="AW1746" s="12" t="str">
        <f>B1746&amp;C1746&amp;L1746&amp;M1746&amp;O1746&amp;U1746&amp;AL1746&amp;AM1746</f>
        <v>PortugalLuiz Saldanha Marine ParkMugilidaedensity0.48Horta e Costa2013</v>
      </c>
    </row>
    <row r="1747" spans="1:49" ht="14.5" x14ac:dyDescent="0.35">
      <c r="A1747" s="12">
        <v>1746</v>
      </c>
      <c r="B1747" s="12" t="s">
        <v>210</v>
      </c>
      <c r="C1747" s="15" t="s">
        <v>1258</v>
      </c>
      <c r="D1747" s="50" t="s">
        <v>211</v>
      </c>
      <c r="E1747" s="15" t="s">
        <v>68</v>
      </c>
      <c r="F1747" s="16" t="s">
        <v>50</v>
      </c>
      <c r="G1747" s="16" t="s">
        <v>51</v>
      </c>
      <c r="H1747" s="16" t="s">
        <v>108</v>
      </c>
      <c r="I1747" s="16" t="s">
        <v>53</v>
      </c>
      <c r="J1747" s="18">
        <v>4</v>
      </c>
      <c r="K1747" s="17"/>
      <c r="L1747" s="17" t="s">
        <v>223</v>
      </c>
      <c r="M1747" s="17"/>
      <c r="N1747" s="14" t="s">
        <v>85</v>
      </c>
      <c r="O1747" s="17" t="s">
        <v>86</v>
      </c>
      <c r="P1747" s="17"/>
      <c r="Q1747" s="17"/>
      <c r="R1747" s="17"/>
      <c r="S1747" s="17"/>
      <c r="T1747" s="17"/>
      <c r="U1747" s="17">
        <v>1.2</v>
      </c>
      <c r="V1747" s="41">
        <f t="shared" si="119"/>
        <v>19.999999999999996</v>
      </c>
      <c r="W1747" s="17"/>
      <c r="X1747" s="17" t="s">
        <v>56</v>
      </c>
      <c r="Z1747" s="17" t="s">
        <v>56</v>
      </c>
      <c r="AA1747" s="17"/>
      <c r="AB1747" s="17" t="s">
        <v>57</v>
      </c>
      <c r="AC1747" s="17">
        <v>2009</v>
      </c>
      <c r="AD1747" s="17">
        <v>1</v>
      </c>
      <c r="AE1747" s="17"/>
      <c r="AF1747" s="17"/>
      <c r="AG1747" s="17">
        <v>2009</v>
      </c>
      <c r="AH1747" s="14">
        <f t="shared" si="117"/>
        <v>0</v>
      </c>
      <c r="AI1747" s="17">
        <f t="shared" si="118"/>
        <v>1</v>
      </c>
      <c r="AJ1747" s="17"/>
      <c r="AK1747" s="17" t="s">
        <v>56</v>
      </c>
      <c r="AL1747" s="16" t="s">
        <v>213</v>
      </c>
      <c r="AM1747" s="17">
        <v>2013</v>
      </c>
      <c r="AN1747" s="15" t="s">
        <v>183</v>
      </c>
      <c r="AO1747" s="15" t="s">
        <v>56</v>
      </c>
      <c r="AP1747" s="15"/>
      <c r="AQ1747" s="15" t="s">
        <v>56</v>
      </c>
      <c r="AR1747" s="15" t="s">
        <v>58</v>
      </c>
      <c r="AS1747" s="15" t="s">
        <v>62</v>
      </c>
      <c r="AT1747" s="15"/>
      <c r="AU1747" s="45" t="s">
        <v>2829</v>
      </c>
      <c r="AV1747" s="15"/>
      <c r="AW1747" s="12" t="str">
        <f>B1747&amp;C1747&amp;L1747&amp;M1747&amp;O1747&amp;U1747&amp;AL1747&amp;AM1747</f>
        <v>PortugalLuiz Saldanha Marine ParkLabrus bergyltadensity1.2Horta e Costa2013</v>
      </c>
    </row>
    <row r="1748" spans="1:49" ht="14.5" x14ac:dyDescent="0.35">
      <c r="A1748" s="12">
        <v>1747</v>
      </c>
      <c r="B1748" s="15" t="s">
        <v>210</v>
      </c>
      <c r="C1748" s="15" t="s">
        <v>1258</v>
      </c>
      <c r="D1748" s="50" t="s">
        <v>211</v>
      </c>
      <c r="E1748" s="12" t="s">
        <v>68</v>
      </c>
      <c r="F1748" s="13" t="s">
        <v>50</v>
      </c>
      <c r="G1748" s="13" t="s">
        <v>51</v>
      </c>
      <c r="H1748" s="16" t="s">
        <v>108</v>
      </c>
      <c r="I1748" s="16" t="s">
        <v>53</v>
      </c>
      <c r="J1748" s="18">
        <v>4</v>
      </c>
      <c r="K1748" s="17"/>
      <c r="L1748" s="17" t="s">
        <v>224</v>
      </c>
      <c r="M1748" s="17"/>
      <c r="N1748" s="14" t="s">
        <v>85</v>
      </c>
      <c r="O1748" s="17" t="s">
        <v>86</v>
      </c>
      <c r="P1748" s="17"/>
      <c r="Q1748" s="17"/>
      <c r="R1748" s="17"/>
      <c r="S1748" s="17"/>
      <c r="T1748" s="17"/>
      <c r="U1748" s="14">
        <v>1.27</v>
      </c>
      <c r="V1748" s="41">
        <f t="shared" si="119"/>
        <v>27</v>
      </c>
      <c r="W1748" s="14"/>
      <c r="X1748" s="17" t="s">
        <v>56</v>
      </c>
      <c r="Z1748" s="17" t="s">
        <v>56</v>
      </c>
      <c r="AA1748" s="17"/>
      <c r="AB1748" s="17" t="s">
        <v>57</v>
      </c>
      <c r="AC1748" s="17">
        <v>2009</v>
      </c>
      <c r="AD1748" s="17">
        <v>1</v>
      </c>
      <c r="AE1748" s="17"/>
      <c r="AF1748" s="17"/>
      <c r="AG1748" s="17">
        <v>2009</v>
      </c>
      <c r="AH1748" s="14">
        <f t="shared" si="117"/>
        <v>0</v>
      </c>
      <c r="AI1748" s="17">
        <f t="shared" si="118"/>
        <v>1</v>
      </c>
      <c r="AJ1748" s="17"/>
      <c r="AK1748" s="17" t="s">
        <v>56</v>
      </c>
      <c r="AL1748" s="16" t="s">
        <v>213</v>
      </c>
      <c r="AM1748" s="17">
        <v>2013</v>
      </c>
      <c r="AN1748" s="15" t="s">
        <v>183</v>
      </c>
      <c r="AO1748" s="15" t="s">
        <v>56</v>
      </c>
      <c r="AP1748" s="15"/>
      <c r="AQ1748" s="15" t="s">
        <v>56</v>
      </c>
      <c r="AR1748" s="15" t="s">
        <v>58</v>
      </c>
      <c r="AS1748" s="15" t="s">
        <v>62</v>
      </c>
      <c r="AT1748" s="12"/>
      <c r="AU1748" s="45" t="s">
        <v>2829</v>
      </c>
      <c r="AV1748" s="15"/>
      <c r="AW1748" s="12" t="str">
        <f>B1748&amp;C1748&amp;L1748&amp;M1748&amp;O1748&amp;U1748&amp;AL1748&amp;AM1748</f>
        <v>PortugalLuiz Saldanha Marine ParkGobius xanthocephalusdensity1.27Horta e Costa2013</v>
      </c>
    </row>
    <row r="1749" spans="1:49" ht="14.5" x14ac:dyDescent="0.35">
      <c r="A1749" s="12">
        <v>1748</v>
      </c>
      <c r="B1749" s="15" t="s">
        <v>210</v>
      </c>
      <c r="C1749" s="15" t="s">
        <v>1258</v>
      </c>
      <c r="D1749" s="50" t="s">
        <v>211</v>
      </c>
      <c r="E1749" s="15" t="s">
        <v>68</v>
      </c>
      <c r="F1749" s="16" t="s">
        <v>50</v>
      </c>
      <c r="G1749" s="16" t="s">
        <v>51</v>
      </c>
      <c r="H1749" s="16" t="s">
        <v>108</v>
      </c>
      <c r="I1749" s="16" t="s">
        <v>53</v>
      </c>
      <c r="J1749" s="18">
        <v>4</v>
      </c>
      <c r="K1749" s="17"/>
      <c r="L1749" s="17" t="s">
        <v>225</v>
      </c>
      <c r="M1749" s="17"/>
      <c r="N1749" s="14" t="s">
        <v>85</v>
      </c>
      <c r="O1749" s="17" t="s">
        <v>86</v>
      </c>
      <c r="P1749" s="17"/>
      <c r="Q1749" s="17"/>
      <c r="R1749" s="17"/>
      <c r="S1749" s="17"/>
      <c r="T1749" s="17"/>
      <c r="U1749" s="17">
        <v>1.38</v>
      </c>
      <c r="V1749" s="41">
        <f t="shared" si="119"/>
        <v>37.999999999999986</v>
      </c>
      <c r="W1749" s="17"/>
      <c r="X1749" s="17" t="s">
        <v>56</v>
      </c>
      <c r="Z1749" s="17" t="s">
        <v>56</v>
      </c>
      <c r="AA1749" s="17"/>
      <c r="AB1749" s="17" t="s">
        <v>57</v>
      </c>
      <c r="AC1749" s="17">
        <v>2009</v>
      </c>
      <c r="AD1749" s="17">
        <v>1</v>
      </c>
      <c r="AE1749" s="17"/>
      <c r="AF1749" s="17"/>
      <c r="AG1749" s="17">
        <v>2009</v>
      </c>
      <c r="AH1749" s="14">
        <f t="shared" si="117"/>
        <v>0</v>
      </c>
      <c r="AI1749" s="17">
        <f t="shared" si="118"/>
        <v>1</v>
      </c>
      <c r="AJ1749" s="17"/>
      <c r="AK1749" s="17" t="s">
        <v>56</v>
      </c>
      <c r="AL1749" s="16" t="s">
        <v>213</v>
      </c>
      <c r="AM1749" s="17">
        <v>2013</v>
      </c>
      <c r="AN1749" s="15" t="s">
        <v>183</v>
      </c>
      <c r="AO1749" s="15" t="s">
        <v>56</v>
      </c>
      <c r="AP1749" s="15"/>
      <c r="AQ1749" s="15" t="s">
        <v>56</v>
      </c>
      <c r="AR1749" s="15" t="s">
        <v>58</v>
      </c>
      <c r="AS1749" s="15" t="s">
        <v>62</v>
      </c>
      <c r="AT1749" s="15"/>
      <c r="AU1749" s="45" t="s">
        <v>2829</v>
      </c>
      <c r="AV1749" s="15"/>
      <c r="AW1749" s="12" t="str">
        <f>B1749&amp;C1749&amp;L1749&amp;M1749&amp;O1749&amp;U1749&amp;AL1749&amp;AM1749</f>
        <v>PortugalLuiz Saldanha Marine ParkDiplodus vulgarisdensity1.38Horta e Costa2013</v>
      </c>
    </row>
    <row r="1750" spans="1:49" ht="14.5" x14ac:dyDescent="0.35">
      <c r="A1750" s="12">
        <v>1749</v>
      </c>
      <c r="B1750" s="15" t="s">
        <v>210</v>
      </c>
      <c r="C1750" s="15" t="s">
        <v>1258</v>
      </c>
      <c r="D1750" s="50" t="s">
        <v>211</v>
      </c>
      <c r="E1750" s="12" t="s">
        <v>68</v>
      </c>
      <c r="F1750" s="13" t="s">
        <v>50</v>
      </c>
      <c r="G1750" s="13" t="s">
        <v>51</v>
      </c>
      <c r="H1750" s="16" t="s">
        <v>108</v>
      </c>
      <c r="I1750" s="16" t="s">
        <v>53</v>
      </c>
      <c r="J1750" s="18">
        <v>4</v>
      </c>
      <c r="K1750" s="17"/>
      <c r="L1750" s="17" t="s">
        <v>226</v>
      </c>
      <c r="M1750" s="17"/>
      <c r="N1750" s="14" t="s">
        <v>85</v>
      </c>
      <c r="O1750" s="17" t="s">
        <v>86</v>
      </c>
      <c r="P1750" s="17"/>
      <c r="Q1750" s="17"/>
      <c r="R1750" s="17"/>
      <c r="S1750" s="17"/>
      <c r="T1750" s="17"/>
      <c r="U1750" s="14">
        <v>1.89</v>
      </c>
      <c r="V1750" s="41">
        <f t="shared" si="119"/>
        <v>88.999999999999986</v>
      </c>
      <c r="W1750" s="14"/>
      <c r="X1750" s="17" t="s">
        <v>56</v>
      </c>
      <c r="Z1750" s="17" t="s">
        <v>56</v>
      </c>
      <c r="AA1750" s="17"/>
      <c r="AB1750" s="17" t="s">
        <v>57</v>
      </c>
      <c r="AC1750" s="17">
        <v>2009</v>
      </c>
      <c r="AD1750" s="17">
        <v>1</v>
      </c>
      <c r="AE1750" s="17"/>
      <c r="AF1750" s="17"/>
      <c r="AG1750" s="17">
        <v>2009</v>
      </c>
      <c r="AH1750" s="14">
        <f t="shared" si="117"/>
        <v>0</v>
      </c>
      <c r="AI1750" s="17">
        <f t="shared" si="118"/>
        <v>1</v>
      </c>
      <c r="AJ1750" s="17"/>
      <c r="AK1750" s="17" t="s">
        <v>56</v>
      </c>
      <c r="AL1750" s="16" t="s">
        <v>213</v>
      </c>
      <c r="AM1750" s="17">
        <v>2013</v>
      </c>
      <c r="AN1750" s="15" t="s">
        <v>183</v>
      </c>
      <c r="AO1750" s="15" t="s">
        <v>56</v>
      </c>
      <c r="AP1750" s="15"/>
      <c r="AQ1750" s="15" t="s">
        <v>56</v>
      </c>
      <c r="AR1750" s="15" t="s">
        <v>58</v>
      </c>
      <c r="AS1750" s="15" t="s">
        <v>62</v>
      </c>
      <c r="AT1750" s="12"/>
      <c r="AU1750" s="45" t="s">
        <v>2829</v>
      </c>
      <c r="AV1750" s="15"/>
      <c r="AW1750" s="12" t="str">
        <f>B1750&amp;C1750&amp;L1750&amp;M1750&amp;O1750&amp;U1750&amp;AL1750&amp;AM1750</f>
        <v>PortugalLuiz Saldanha Marine ParkDiplodus sargusdensity1.89Horta e Costa2013</v>
      </c>
    </row>
    <row r="1751" spans="1:49" ht="14.5" x14ac:dyDescent="0.35">
      <c r="A1751" s="12">
        <v>1750</v>
      </c>
      <c r="B1751" s="15" t="s">
        <v>210</v>
      </c>
      <c r="C1751" s="15" t="s">
        <v>1258</v>
      </c>
      <c r="D1751" s="50" t="s">
        <v>211</v>
      </c>
      <c r="E1751" s="12" t="s">
        <v>68</v>
      </c>
      <c r="F1751" s="13" t="s">
        <v>50</v>
      </c>
      <c r="G1751" s="13" t="s">
        <v>51</v>
      </c>
      <c r="H1751" s="16" t="s">
        <v>108</v>
      </c>
      <c r="I1751" s="16" t="s">
        <v>53</v>
      </c>
      <c r="J1751" s="18">
        <v>4</v>
      </c>
      <c r="K1751" s="17"/>
      <c r="L1751" s="17" t="s">
        <v>227</v>
      </c>
      <c r="M1751" s="17"/>
      <c r="N1751" s="14" t="s">
        <v>85</v>
      </c>
      <c r="O1751" s="17" t="s">
        <v>86</v>
      </c>
      <c r="P1751" s="17"/>
      <c r="Q1751" s="17"/>
      <c r="R1751" s="17"/>
      <c r="S1751" s="17"/>
      <c r="T1751" s="17"/>
      <c r="U1751" s="14">
        <v>0.93</v>
      </c>
      <c r="V1751" s="41">
        <f t="shared" si="119"/>
        <v>-6.9999999999999947</v>
      </c>
      <c r="W1751" s="14"/>
      <c r="X1751" s="17" t="s">
        <v>56</v>
      </c>
      <c r="Z1751" s="17" t="s">
        <v>56</v>
      </c>
      <c r="AA1751" s="17"/>
      <c r="AB1751" s="17" t="s">
        <v>57</v>
      </c>
      <c r="AC1751" s="17">
        <v>2009</v>
      </c>
      <c r="AD1751" s="17">
        <v>1</v>
      </c>
      <c r="AE1751" s="17"/>
      <c r="AF1751" s="17"/>
      <c r="AG1751" s="17">
        <v>2009</v>
      </c>
      <c r="AH1751" s="14">
        <f t="shared" si="117"/>
        <v>0</v>
      </c>
      <c r="AI1751" s="17">
        <f t="shared" si="118"/>
        <v>1</v>
      </c>
      <c r="AJ1751" s="17"/>
      <c r="AK1751" s="17" t="s">
        <v>56</v>
      </c>
      <c r="AL1751" s="16" t="s">
        <v>213</v>
      </c>
      <c r="AM1751" s="17">
        <v>2013</v>
      </c>
      <c r="AN1751" s="15" t="s">
        <v>183</v>
      </c>
      <c r="AO1751" s="15" t="s">
        <v>56</v>
      </c>
      <c r="AP1751" s="15"/>
      <c r="AQ1751" s="15" t="s">
        <v>56</v>
      </c>
      <c r="AR1751" s="15" t="s">
        <v>58</v>
      </c>
      <c r="AS1751" s="15" t="s">
        <v>62</v>
      </c>
      <c r="AT1751" s="12"/>
      <c r="AU1751" s="45" t="s">
        <v>2829</v>
      </c>
      <c r="AV1751" s="15"/>
      <c r="AW1751" s="12" t="str">
        <f>B1751&amp;C1751&amp;L1751&amp;M1751&amp;O1751&amp;U1751&amp;AL1751&amp;AM1751</f>
        <v>PortugalLuiz Saldanha Marine ParkCtenolabrus rupestrisdensity0.93Horta e Costa2013</v>
      </c>
    </row>
    <row r="1752" spans="1:49" ht="14.5" x14ac:dyDescent="0.35">
      <c r="A1752" s="12">
        <v>1751</v>
      </c>
      <c r="B1752" s="15" t="s">
        <v>210</v>
      </c>
      <c r="C1752" s="15" t="s">
        <v>1258</v>
      </c>
      <c r="D1752" s="50" t="s">
        <v>211</v>
      </c>
      <c r="E1752" s="15" t="s">
        <v>68</v>
      </c>
      <c r="F1752" s="16" t="s">
        <v>50</v>
      </c>
      <c r="G1752" s="16" t="s">
        <v>51</v>
      </c>
      <c r="H1752" s="16" t="s">
        <v>108</v>
      </c>
      <c r="I1752" s="16" t="s">
        <v>53</v>
      </c>
      <c r="J1752" s="18">
        <v>4</v>
      </c>
      <c r="K1752" s="17"/>
      <c r="L1752" s="17" t="s">
        <v>228</v>
      </c>
      <c r="M1752" s="17"/>
      <c r="N1752" s="14" t="s">
        <v>85</v>
      </c>
      <c r="O1752" s="17" t="s">
        <v>86</v>
      </c>
      <c r="P1752" s="17"/>
      <c r="Q1752" s="17"/>
      <c r="R1752" s="17"/>
      <c r="S1752" s="17"/>
      <c r="T1752" s="17"/>
      <c r="U1752" s="17">
        <v>1.24</v>
      </c>
      <c r="V1752" s="41">
        <f t="shared" si="119"/>
        <v>24</v>
      </c>
      <c r="W1752" s="17"/>
      <c r="X1752" s="17" t="s">
        <v>56</v>
      </c>
      <c r="Z1752" s="17" t="s">
        <v>56</v>
      </c>
      <c r="AA1752" s="17"/>
      <c r="AB1752" s="17" t="s">
        <v>57</v>
      </c>
      <c r="AC1752" s="17">
        <v>2009</v>
      </c>
      <c r="AD1752" s="17">
        <v>1</v>
      </c>
      <c r="AE1752" s="17"/>
      <c r="AF1752" s="17"/>
      <c r="AG1752" s="17">
        <v>2009</v>
      </c>
      <c r="AH1752" s="14">
        <f t="shared" si="117"/>
        <v>0</v>
      </c>
      <c r="AI1752" s="17">
        <f t="shared" si="118"/>
        <v>1</v>
      </c>
      <c r="AJ1752" s="17"/>
      <c r="AK1752" s="17" t="s">
        <v>56</v>
      </c>
      <c r="AL1752" s="16" t="s">
        <v>213</v>
      </c>
      <c r="AM1752" s="17">
        <v>2013</v>
      </c>
      <c r="AN1752" s="15" t="s">
        <v>183</v>
      </c>
      <c r="AO1752" s="15" t="s">
        <v>56</v>
      </c>
      <c r="AP1752" s="15"/>
      <c r="AQ1752" s="15" t="s">
        <v>56</v>
      </c>
      <c r="AR1752" s="15" t="s">
        <v>58</v>
      </c>
      <c r="AS1752" s="15" t="s">
        <v>62</v>
      </c>
      <c r="AT1752" s="15"/>
      <c r="AU1752" s="45" t="s">
        <v>2829</v>
      </c>
      <c r="AV1752" s="15"/>
      <c r="AW1752" s="12" t="str">
        <f>B1752&amp;C1752&amp;L1752&amp;M1752&amp;O1752&amp;U1752&amp;AL1752&amp;AM1752</f>
        <v>PortugalLuiz Saldanha Marine ParkCentrolabrus exoletusdensity1.24Horta e Costa2013</v>
      </c>
    </row>
    <row r="1753" spans="1:49" ht="14.5" x14ac:dyDescent="0.35">
      <c r="A1753" s="12">
        <v>1752</v>
      </c>
      <c r="B1753" s="15" t="s">
        <v>210</v>
      </c>
      <c r="C1753" s="15" t="s">
        <v>1258</v>
      </c>
      <c r="D1753" s="50" t="s">
        <v>211</v>
      </c>
      <c r="E1753" s="12" t="s">
        <v>68</v>
      </c>
      <c r="F1753" s="13" t="s">
        <v>50</v>
      </c>
      <c r="G1753" s="13" t="s">
        <v>51</v>
      </c>
      <c r="H1753" s="16" t="s">
        <v>108</v>
      </c>
      <c r="I1753" s="16" t="s">
        <v>53</v>
      </c>
      <c r="J1753" s="18">
        <v>4</v>
      </c>
      <c r="K1753" s="17"/>
      <c r="L1753" s="17" t="s">
        <v>212</v>
      </c>
      <c r="M1753" s="17"/>
      <c r="N1753" s="14" t="s">
        <v>85</v>
      </c>
      <c r="O1753" s="17" t="s">
        <v>70</v>
      </c>
      <c r="P1753" s="17"/>
      <c r="Q1753" s="17"/>
      <c r="R1753" s="17"/>
      <c r="S1753" s="17"/>
      <c r="T1753" s="17"/>
      <c r="U1753" s="14">
        <v>2.38</v>
      </c>
      <c r="V1753" s="41">
        <f t="shared" si="119"/>
        <v>138</v>
      </c>
      <c r="W1753" s="14"/>
      <c r="X1753" s="17" t="s">
        <v>56</v>
      </c>
      <c r="Z1753" s="17" t="s">
        <v>56</v>
      </c>
      <c r="AA1753" s="17"/>
      <c r="AB1753" s="17" t="s">
        <v>57</v>
      </c>
      <c r="AC1753" s="17">
        <v>2009</v>
      </c>
      <c r="AD1753" s="17">
        <v>1</v>
      </c>
      <c r="AE1753" s="17"/>
      <c r="AF1753" s="17"/>
      <c r="AG1753" s="17">
        <v>2009</v>
      </c>
      <c r="AH1753" s="14">
        <f t="shared" si="117"/>
        <v>0</v>
      </c>
      <c r="AI1753" s="17">
        <f t="shared" si="118"/>
        <v>1</v>
      </c>
      <c r="AJ1753" s="17"/>
      <c r="AK1753" s="17" t="s">
        <v>56</v>
      </c>
      <c r="AL1753" s="16" t="s">
        <v>213</v>
      </c>
      <c r="AM1753" s="17">
        <v>2013</v>
      </c>
      <c r="AN1753" s="15" t="s">
        <v>183</v>
      </c>
      <c r="AO1753" s="15" t="s">
        <v>56</v>
      </c>
      <c r="AP1753" s="15"/>
      <c r="AQ1753" s="15" t="s">
        <v>56</v>
      </c>
      <c r="AR1753" s="15" t="s">
        <v>58</v>
      </c>
      <c r="AS1753" s="15" t="s">
        <v>62</v>
      </c>
      <c r="AT1753" s="12"/>
      <c r="AU1753" s="45" t="s">
        <v>2829</v>
      </c>
      <c r="AV1753" s="15"/>
      <c r="AW1753" s="12" t="str">
        <f>B1753&amp;C1753&amp;L1753&amp;M1753&amp;O1753&amp;U1753&amp;AL1753&amp;AM1753</f>
        <v>PortugalLuiz Saldanha Marine ParkTripterygion delaisibiomassden2.38Horta e Costa2013</v>
      </c>
    </row>
    <row r="1754" spans="1:49" ht="14.5" x14ac:dyDescent="0.35">
      <c r="A1754" s="12">
        <v>1753</v>
      </c>
      <c r="B1754" s="15" t="s">
        <v>210</v>
      </c>
      <c r="C1754" s="15" t="s">
        <v>1258</v>
      </c>
      <c r="D1754" s="50" t="s">
        <v>211</v>
      </c>
      <c r="E1754" s="12" t="s">
        <v>68</v>
      </c>
      <c r="F1754" s="13" t="s">
        <v>50</v>
      </c>
      <c r="G1754" s="13" t="s">
        <v>51</v>
      </c>
      <c r="H1754" s="16" t="s">
        <v>108</v>
      </c>
      <c r="I1754" s="16" t="s">
        <v>53</v>
      </c>
      <c r="J1754" s="18">
        <v>4</v>
      </c>
      <c r="K1754" s="17"/>
      <c r="L1754" s="17" t="s">
        <v>214</v>
      </c>
      <c r="M1754" s="17"/>
      <c r="N1754" s="14" t="s">
        <v>85</v>
      </c>
      <c r="O1754" s="17" t="s">
        <v>70</v>
      </c>
      <c r="P1754" s="17"/>
      <c r="Q1754" s="17"/>
      <c r="R1754" s="17"/>
      <c r="S1754" s="17"/>
      <c r="T1754" s="17"/>
      <c r="U1754" s="14">
        <v>1.06</v>
      </c>
      <c r="V1754" s="41">
        <f t="shared" si="119"/>
        <v>6.0000000000000053</v>
      </c>
      <c r="W1754" s="14"/>
      <c r="X1754" s="17" t="s">
        <v>56</v>
      </c>
      <c r="Z1754" s="17" t="s">
        <v>56</v>
      </c>
      <c r="AA1754" s="17"/>
      <c r="AB1754" s="17" t="s">
        <v>57</v>
      </c>
      <c r="AC1754" s="17">
        <v>2009</v>
      </c>
      <c r="AD1754" s="17">
        <v>1</v>
      </c>
      <c r="AE1754" s="17"/>
      <c r="AF1754" s="17"/>
      <c r="AG1754" s="17">
        <v>2009</v>
      </c>
      <c r="AH1754" s="14">
        <f t="shared" si="117"/>
        <v>0</v>
      </c>
      <c r="AI1754" s="17">
        <f t="shared" si="118"/>
        <v>1</v>
      </c>
      <c r="AJ1754" s="17"/>
      <c r="AK1754" s="17" t="s">
        <v>56</v>
      </c>
      <c r="AL1754" s="16" t="s">
        <v>213</v>
      </c>
      <c r="AM1754" s="17">
        <v>2013</v>
      </c>
      <c r="AN1754" s="15" t="s">
        <v>183</v>
      </c>
      <c r="AO1754" s="15" t="s">
        <v>56</v>
      </c>
      <c r="AP1754" s="15"/>
      <c r="AQ1754" s="15" t="s">
        <v>56</v>
      </c>
      <c r="AR1754" s="15" t="s">
        <v>58</v>
      </c>
      <c r="AS1754" s="15" t="s">
        <v>62</v>
      </c>
      <c r="AT1754" s="12"/>
      <c r="AU1754" s="45" t="s">
        <v>2829</v>
      </c>
      <c r="AV1754" s="15"/>
      <c r="AW1754" s="12" t="str">
        <f>B1754&amp;C1754&amp;L1754&amp;M1754&amp;O1754&amp;U1754&amp;AL1754&amp;AM1754</f>
        <v>PortugalLuiz Saldanha Marine ParkSymphodus roissalibiomassden1.06Horta e Costa2013</v>
      </c>
    </row>
    <row r="1755" spans="1:49" ht="13.75" customHeight="1" x14ac:dyDescent="0.35">
      <c r="A1755" s="12">
        <v>1754</v>
      </c>
      <c r="B1755" s="15" t="s">
        <v>210</v>
      </c>
      <c r="C1755" s="15" t="s">
        <v>1258</v>
      </c>
      <c r="D1755" s="50" t="s">
        <v>211</v>
      </c>
      <c r="E1755" s="15" t="s">
        <v>68</v>
      </c>
      <c r="F1755" s="13" t="s">
        <v>50</v>
      </c>
      <c r="G1755" s="13" t="s">
        <v>51</v>
      </c>
      <c r="H1755" s="16" t="s">
        <v>108</v>
      </c>
      <c r="I1755" s="16" t="s">
        <v>53</v>
      </c>
      <c r="J1755" s="18">
        <v>4</v>
      </c>
      <c r="K1755" s="17"/>
      <c r="L1755" s="17" t="s">
        <v>215</v>
      </c>
      <c r="M1755" s="17"/>
      <c r="N1755" s="14" t="s">
        <v>85</v>
      </c>
      <c r="O1755" s="17" t="s">
        <v>70</v>
      </c>
      <c r="P1755" s="17"/>
      <c r="Q1755" s="17"/>
      <c r="R1755" s="17"/>
      <c r="S1755" s="17"/>
      <c r="T1755" s="17"/>
      <c r="U1755" s="17">
        <v>1.37</v>
      </c>
      <c r="V1755" s="41">
        <f t="shared" si="119"/>
        <v>37.000000000000014</v>
      </c>
      <c r="W1755" s="17"/>
      <c r="X1755" s="17" t="s">
        <v>56</v>
      </c>
      <c r="Z1755" s="17" t="s">
        <v>56</v>
      </c>
      <c r="AA1755" s="17"/>
      <c r="AB1755" s="17" t="s">
        <v>57</v>
      </c>
      <c r="AC1755" s="17">
        <v>2009</v>
      </c>
      <c r="AD1755" s="17">
        <v>1</v>
      </c>
      <c r="AE1755" s="17"/>
      <c r="AF1755" s="17"/>
      <c r="AG1755" s="17">
        <v>2009</v>
      </c>
      <c r="AH1755" s="14">
        <f t="shared" si="117"/>
        <v>0</v>
      </c>
      <c r="AI1755" s="17">
        <f t="shared" si="118"/>
        <v>1</v>
      </c>
      <c r="AJ1755" s="17"/>
      <c r="AK1755" s="17" t="s">
        <v>56</v>
      </c>
      <c r="AL1755" s="16" t="s">
        <v>213</v>
      </c>
      <c r="AM1755" s="17">
        <v>2013</v>
      </c>
      <c r="AN1755" s="15" t="s">
        <v>183</v>
      </c>
      <c r="AO1755" s="15" t="s">
        <v>56</v>
      </c>
      <c r="AP1755" s="15"/>
      <c r="AQ1755" s="15" t="s">
        <v>56</v>
      </c>
      <c r="AR1755" s="15" t="s">
        <v>58</v>
      </c>
      <c r="AS1755" s="15" t="s">
        <v>62</v>
      </c>
      <c r="AT1755" s="15"/>
      <c r="AU1755" s="45" t="s">
        <v>2829</v>
      </c>
      <c r="AV1755" s="15"/>
      <c r="AW1755" s="12" t="str">
        <f>B1755&amp;C1755&amp;L1755&amp;M1755&amp;O1755&amp;U1755&amp;AL1755&amp;AM1755</f>
        <v>PortugalLuiz Saldanha Marine ParkSymphodus melopsbiomassden1.37Horta e Costa2013</v>
      </c>
    </row>
    <row r="1756" spans="1:49" ht="14.5" x14ac:dyDescent="0.35">
      <c r="A1756" s="12">
        <v>1755</v>
      </c>
      <c r="B1756" s="15" t="s">
        <v>210</v>
      </c>
      <c r="C1756" s="15" t="s">
        <v>1258</v>
      </c>
      <c r="D1756" s="50" t="s">
        <v>211</v>
      </c>
      <c r="E1756" s="12" t="s">
        <v>68</v>
      </c>
      <c r="F1756" s="13" t="s">
        <v>50</v>
      </c>
      <c r="G1756" s="13" t="s">
        <v>51</v>
      </c>
      <c r="H1756" s="16" t="s">
        <v>108</v>
      </c>
      <c r="I1756" s="16" t="s">
        <v>53</v>
      </c>
      <c r="J1756" s="18">
        <v>4</v>
      </c>
      <c r="K1756" s="17"/>
      <c r="L1756" s="17" t="s">
        <v>216</v>
      </c>
      <c r="M1756" s="17"/>
      <c r="N1756" s="14" t="s">
        <v>85</v>
      </c>
      <c r="O1756" s="17" t="s">
        <v>70</v>
      </c>
      <c r="P1756" s="17"/>
      <c r="Q1756" s="17"/>
      <c r="R1756" s="17"/>
      <c r="S1756" s="17"/>
      <c r="T1756" s="17"/>
      <c r="U1756" s="14">
        <v>1.35</v>
      </c>
      <c r="V1756" s="41">
        <f t="shared" si="119"/>
        <v>35.000000000000007</v>
      </c>
      <c r="W1756" s="14"/>
      <c r="X1756" s="17" t="s">
        <v>56</v>
      </c>
      <c r="Z1756" s="17" t="s">
        <v>56</v>
      </c>
      <c r="AA1756" s="17"/>
      <c r="AB1756" s="17" t="s">
        <v>57</v>
      </c>
      <c r="AC1756" s="17">
        <v>2009</v>
      </c>
      <c r="AD1756" s="17">
        <v>1</v>
      </c>
      <c r="AE1756" s="17"/>
      <c r="AF1756" s="17"/>
      <c r="AG1756" s="17">
        <v>2009</v>
      </c>
      <c r="AH1756" s="14">
        <f t="shared" si="117"/>
        <v>0</v>
      </c>
      <c r="AI1756" s="17">
        <f t="shared" si="118"/>
        <v>1</v>
      </c>
      <c r="AJ1756" s="17"/>
      <c r="AK1756" s="17" t="s">
        <v>56</v>
      </c>
      <c r="AL1756" s="16" t="s">
        <v>213</v>
      </c>
      <c r="AM1756" s="17">
        <v>2013</v>
      </c>
      <c r="AN1756" s="15" t="s">
        <v>183</v>
      </c>
      <c r="AO1756" s="15" t="s">
        <v>56</v>
      </c>
      <c r="AP1756" s="15"/>
      <c r="AQ1756" s="15" t="s">
        <v>56</v>
      </c>
      <c r="AR1756" s="15" t="s">
        <v>58</v>
      </c>
      <c r="AS1756" s="15" t="s">
        <v>62</v>
      </c>
      <c r="AT1756" s="12"/>
      <c r="AU1756" s="45" t="s">
        <v>2829</v>
      </c>
      <c r="AV1756" s="15"/>
      <c r="AW1756" s="12" t="str">
        <f>B1756&amp;C1756&amp;L1756&amp;M1756&amp;O1756&amp;U1756&amp;AL1756&amp;AM1756</f>
        <v>PortugalLuiz Saldanha Marine ParkSymphodus baillonibiomassden1.35Horta e Costa2013</v>
      </c>
    </row>
    <row r="1757" spans="1:49" ht="14.5" x14ac:dyDescent="0.35">
      <c r="A1757" s="12">
        <v>1756</v>
      </c>
      <c r="B1757" s="15" t="s">
        <v>210</v>
      </c>
      <c r="C1757" s="15" t="s">
        <v>1258</v>
      </c>
      <c r="D1757" s="50" t="s">
        <v>211</v>
      </c>
      <c r="E1757" s="12" t="s">
        <v>68</v>
      </c>
      <c r="F1757" s="13" t="s">
        <v>50</v>
      </c>
      <c r="G1757" s="13" t="s">
        <v>51</v>
      </c>
      <c r="H1757" s="16" t="s">
        <v>108</v>
      </c>
      <c r="I1757" s="16" t="s">
        <v>53</v>
      </c>
      <c r="J1757" s="18">
        <v>4</v>
      </c>
      <c r="K1757" s="17"/>
      <c r="L1757" s="17" t="s">
        <v>217</v>
      </c>
      <c r="M1757" s="17"/>
      <c r="N1757" s="14" t="s">
        <v>85</v>
      </c>
      <c r="O1757" s="17" t="s">
        <v>70</v>
      </c>
      <c r="P1757" s="17"/>
      <c r="Q1757" s="17"/>
      <c r="R1757" s="17"/>
      <c r="S1757" s="17"/>
      <c r="T1757" s="17"/>
      <c r="U1757" s="14">
        <v>0.7</v>
      </c>
      <c r="V1757" s="41">
        <f t="shared" si="119"/>
        <v>-30.000000000000004</v>
      </c>
      <c r="W1757" s="14"/>
      <c r="X1757" s="17" t="s">
        <v>56</v>
      </c>
      <c r="Z1757" s="17" t="s">
        <v>56</v>
      </c>
      <c r="AA1757" s="17"/>
      <c r="AB1757" s="17" t="s">
        <v>57</v>
      </c>
      <c r="AC1757" s="17">
        <v>2009</v>
      </c>
      <c r="AD1757" s="17">
        <v>1</v>
      </c>
      <c r="AE1757" s="17"/>
      <c r="AF1757" s="17"/>
      <c r="AG1757" s="17">
        <v>2009</v>
      </c>
      <c r="AH1757" s="14">
        <f t="shared" si="117"/>
        <v>0</v>
      </c>
      <c r="AI1757" s="17">
        <f t="shared" si="118"/>
        <v>1</v>
      </c>
      <c r="AJ1757" s="17"/>
      <c r="AK1757" s="17" t="s">
        <v>56</v>
      </c>
      <c r="AL1757" s="16" t="s">
        <v>213</v>
      </c>
      <c r="AM1757" s="17">
        <v>2013</v>
      </c>
      <c r="AN1757" s="15" t="s">
        <v>183</v>
      </c>
      <c r="AO1757" s="15" t="s">
        <v>56</v>
      </c>
      <c r="AP1757" s="15"/>
      <c r="AQ1757" s="15" t="s">
        <v>56</v>
      </c>
      <c r="AR1757" s="15" t="s">
        <v>58</v>
      </c>
      <c r="AS1757" s="15" t="s">
        <v>62</v>
      </c>
      <c r="AT1757" s="12"/>
      <c r="AU1757" s="45" t="s">
        <v>2829</v>
      </c>
      <c r="AV1757" s="15"/>
      <c r="AW1757" s="12" t="str">
        <f>B1757&amp;C1757&amp;L1757&amp;M1757&amp;O1757&amp;U1757&amp;AL1757&amp;AM1757</f>
        <v>PortugalLuiz Saldanha Marine ParkSerranus cabrillabiomassden0.7Horta e Costa2013</v>
      </c>
    </row>
    <row r="1758" spans="1:49" ht="14.5" x14ac:dyDescent="0.35">
      <c r="A1758" s="12">
        <v>1757</v>
      </c>
      <c r="B1758" s="15" t="s">
        <v>210</v>
      </c>
      <c r="C1758" s="15" t="s">
        <v>1258</v>
      </c>
      <c r="D1758" s="50" t="s">
        <v>211</v>
      </c>
      <c r="E1758" s="12" t="s">
        <v>68</v>
      </c>
      <c r="F1758" s="13" t="s">
        <v>50</v>
      </c>
      <c r="G1758" s="13" t="s">
        <v>51</v>
      </c>
      <c r="H1758" s="16" t="s">
        <v>108</v>
      </c>
      <c r="I1758" s="16" t="s">
        <v>53</v>
      </c>
      <c r="J1758" s="18">
        <v>4</v>
      </c>
      <c r="K1758" s="17"/>
      <c r="L1758" s="17" t="s">
        <v>218</v>
      </c>
      <c r="M1758" s="14" t="s">
        <v>1849</v>
      </c>
      <c r="N1758" s="14" t="s">
        <v>85</v>
      </c>
      <c r="O1758" s="17" t="s">
        <v>70</v>
      </c>
      <c r="P1758" s="17"/>
      <c r="Q1758" s="17"/>
      <c r="R1758" s="17"/>
      <c r="S1758" s="17"/>
      <c r="T1758" s="17"/>
      <c r="U1758" s="14">
        <v>1.3</v>
      </c>
      <c r="V1758" s="41">
        <f t="shared" si="119"/>
        <v>30.000000000000004</v>
      </c>
      <c r="W1758" s="14"/>
      <c r="X1758" s="17" t="s">
        <v>56</v>
      </c>
      <c r="Z1758" s="17" t="s">
        <v>56</v>
      </c>
      <c r="AA1758" s="17"/>
      <c r="AB1758" s="17" t="s">
        <v>57</v>
      </c>
      <c r="AC1758" s="17">
        <v>2009</v>
      </c>
      <c r="AD1758" s="17">
        <v>1</v>
      </c>
      <c r="AE1758" s="17"/>
      <c r="AF1758" s="17"/>
      <c r="AG1758" s="17">
        <v>2009</v>
      </c>
      <c r="AH1758" s="14">
        <f t="shared" si="117"/>
        <v>0</v>
      </c>
      <c r="AI1758" s="17">
        <f t="shared" si="118"/>
        <v>1</v>
      </c>
      <c r="AJ1758" s="17"/>
      <c r="AK1758" s="17" t="s">
        <v>56</v>
      </c>
      <c r="AL1758" s="16" t="s">
        <v>213</v>
      </c>
      <c r="AM1758" s="17">
        <v>2013</v>
      </c>
      <c r="AN1758" s="15" t="s">
        <v>183</v>
      </c>
      <c r="AO1758" s="15" t="s">
        <v>56</v>
      </c>
      <c r="AP1758" s="15"/>
      <c r="AQ1758" s="15" t="s">
        <v>56</v>
      </c>
      <c r="AR1758" s="15" t="s">
        <v>58</v>
      </c>
      <c r="AS1758" s="15" t="s">
        <v>62</v>
      </c>
      <c r="AT1758" s="12"/>
      <c r="AU1758" s="45" t="s">
        <v>2829</v>
      </c>
      <c r="AV1758" s="15"/>
      <c r="AW1758" s="12" t="str">
        <f>B1758&amp;C1758&amp;L1758&amp;M1758&amp;O1758&amp;U1758&amp;AL1758&amp;AM1758</f>
        <v>PortugalLuiz Saldanha Marine ParkSarpa salpaSalemabiomassden1.3Horta e Costa2013</v>
      </c>
    </row>
    <row r="1759" spans="1:49" ht="14.5" x14ac:dyDescent="0.35">
      <c r="A1759" s="12">
        <v>1758</v>
      </c>
      <c r="B1759" s="15" t="s">
        <v>210</v>
      </c>
      <c r="C1759" s="15" t="s">
        <v>1258</v>
      </c>
      <c r="D1759" s="50" t="s">
        <v>211</v>
      </c>
      <c r="E1759" s="12" t="s">
        <v>68</v>
      </c>
      <c r="F1759" s="13" t="s">
        <v>50</v>
      </c>
      <c r="G1759" s="13" t="s">
        <v>51</v>
      </c>
      <c r="H1759" s="16" t="s">
        <v>108</v>
      </c>
      <c r="I1759" s="16" t="s">
        <v>53</v>
      </c>
      <c r="J1759" s="18">
        <v>4</v>
      </c>
      <c r="K1759" s="17"/>
      <c r="L1759" s="17" t="s">
        <v>219</v>
      </c>
      <c r="M1759" s="17"/>
      <c r="N1759" s="14" t="s">
        <v>85</v>
      </c>
      <c r="O1759" s="17" t="s">
        <v>70</v>
      </c>
      <c r="P1759" s="17"/>
      <c r="Q1759" s="17"/>
      <c r="R1759" s="17"/>
      <c r="S1759" s="17"/>
      <c r="T1759" s="17"/>
      <c r="U1759" s="14">
        <v>1.3</v>
      </c>
      <c r="V1759" s="41">
        <f t="shared" si="119"/>
        <v>30.000000000000004</v>
      </c>
      <c r="W1759" s="14"/>
      <c r="X1759" s="17" t="s">
        <v>56</v>
      </c>
      <c r="Z1759" s="17" t="s">
        <v>56</v>
      </c>
      <c r="AA1759" s="17"/>
      <c r="AB1759" s="17" t="s">
        <v>57</v>
      </c>
      <c r="AC1759" s="17">
        <v>2009</v>
      </c>
      <c r="AD1759" s="17">
        <v>1</v>
      </c>
      <c r="AE1759" s="17"/>
      <c r="AF1759" s="17"/>
      <c r="AG1759" s="17">
        <v>2009</v>
      </c>
      <c r="AH1759" s="14">
        <f t="shared" si="117"/>
        <v>0</v>
      </c>
      <c r="AI1759" s="17">
        <f t="shared" si="118"/>
        <v>1</v>
      </c>
      <c r="AJ1759" s="17"/>
      <c r="AK1759" s="17" t="s">
        <v>56</v>
      </c>
      <c r="AL1759" s="16" t="s">
        <v>213</v>
      </c>
      <c r="AM1759" s="17">
        <v>2013</v>
      </c>
      <c r="AN1759" s="15" t="s">
        <v>183</v>
      </c>
      <c r="AO1759" s="15" t="s">
        <v>56</v>
      </c>
      <c r="AP1759" s="15"/>
      <c r="AQ1759" s="15" t="s">
        <v>56</v>
      </c>
      <c r="AR1759" s="15" t="s">
        <v>58</v>
      </c>
      <c r="AS1759" s="15" t="s">
        <v>62</v>
      </c>
      <c r="AT1759" s="12"/>
      <c r="AU1759" s="45" t="s">
        <v>2829</v>
      </c>
      <c r="AV1759" s="15"/>
      <c r="AW1759" s="12" t="str">
        <f>B1759&amp;C1759&amp;L1759&amp;M1759&amp;O1759&amp;U1759&amp;AL1759&amp;AM1759</f>
        <v>PortugalLuiz Saldanha Marine ParkParablennius pilicornisbiomassden1.3Horta e Costa2013</v>
      </c>
    </row>
    <row r="1760" spans="1:49" ht="14.5" x14ac:dyDescent="0.35">
      <c r="A1760" s="12">
        <v>1759</v>
      </c>
      <c r="B1760" s="15" t="s">
        <v>210</v>
      </c>
      <c r="C1760" s="15" t="s">
        <v>1258</v>
      </c>
      <c r="D1760" s="50" t="s">
        <v>211</v>
      </c>
      <c r="E1760" s="15" t="s">
        <v>68</v>
      </c>
      <c r="F1760" s="16" t="s">
        <v>50</v>
      </c>
      <c r="G1760" s="16" t="s">
        <v>51</v>
      </c>
      <c r="H1760" s="16" t="s">
        <v>108</v>
      </c>
      <c r="I1760" s="16" t="s">
        <v>53</v>
      </c>
      <c r="J1760" s="18">
        <v>4</v>
      </c>
      <c r="K1760" s="17"/>
      <c r="L1760" s="17" t="s">
        <v>220</v>
      </c>
      <c r="M1760" s="17"/>
      <c r="N1760" s="14" t="s">
        <v>85</v>
      </c>
      <c r="O1760" s="17" t="s">
        <v>70</v>
      </c>
      <c r="P1760" s="17"/>
      <c r="Q1760" s="17"/>
      <c r="R1760" s="17"/>
      <c r="S1760" s="17"/>
      <c r="T1760" s="17"/>
      <c r="U1760" s="17">
        <v>2.2400000000000002</v>
      </c>
      <c r="V1760" s="41">
        <f t="shared" si="119"/>
        <v>124.00000000000003</v>
      </c>
      <c r="W1760" s="17"/>
      <c r="X1760" s="17" t="s">
        <v>56</v>
      </c>
      <c r="Z1760" s="17" t="s">
        <v>56</v>
      </c>
      <c r="AA1760" s="17"/>
      <c r="AB1760" s="17" t="s">
        <v>57</v>
      </c>
      <c r="AC1760" s="17">
        <v>2009</v>
      </c>
      <c r="AD1760" s="17">
        <v>1</v>
      </c>
      <c r="AE1760" s="17"/>
      <c r="AF1760" s="17"/>
      <c r="AG1760" s="17">
        <v>2009</v>
      </c>
      <c r="AH1760" s="14">
        <f t="shared" si="117"/>
        <v>0</v>
      </c>
      <c r="AI1760" s="17">
        <f t="shared" si="118"/>
        <v>1</v>
      </c>
      <c r="AJ1760" s="17"/>
      <c r="AK1760" s="17" t="s">
        <v>56</v>
      </c>
      <c r="AL1760" s="16" t="s">
        <v>213</v>
      </c>
      <c r="AM1760" s="17">
        <v>2013</v>
      </c>
      <c r="AN1760" s="15" t="s">
        <v>183</v>
      </c>
      <c r="AO1760" s="15" t="s">
        <v>56</v>
      </c>
      <c r="AP1760" s="15"/>
      <c r="AQ1760" s="15" t="s">
        <v>56</v>
      </c>
      <c r="AR1760" s="15" t="s">
        <v>58</v>
      </c>
      <c r="AS1760" s="15" t="s">
        <v>62</v>
      </c>
      <c r="AT1760" s="15"/>
      <c r="AU1760" s="45" t="s">
        <v>2829</v>
      </c>
      <c r="AV1760" s="15"/>
      <c r="AW1760" s="12" t="str">
        <f>B1760&amp;C1760&amp;L1760&amp;M1760&amp;O1760&amp;U1760&amp;AL1760&amp;AM1760</f>
        <v>PortugalLuiz Saldanha Marine ParkOctopus vulgarisbiomassden2.24Horta e Costa2013</v>
      </c>
    </row>
    <row r="1761" spans="1:49" ht="14.5" x14ac:dyDescent="0.35">
      <c r="A1761" s="12">
        <v>1760</v>
      </c>
      <c r="B1761" s="15" t="s">
        <v>210</v>
      </c>
      <c r="C1761" s="15" t="s">
        <v>1258</v>
      </c>
      <c r="D1761" s="50" t="s">
        <v>211</v>
      </c>
      <c r="E1761" s="15" t="s">
        <v>68</v>
      </c>
      <c r="F1761" s="16" t="s">
        <v>50</v>
      </c>
      <c r="G1761" s="16" t="s">
        <v>51</v>
      </c>
      <c r="H1761" s="16" t="s">
        <v>108</v>
      </c>
      <c r="I1761" s="16" t="s">
        <v>53</v>
      </c>
      <c r="J1761" s="47">
        <v>4</v>
      </c>
      <c r="K1761" s="17"/>
      <c r="L1761" s="17" t="s">
        <v>221</v>
      </c>
      <c r="M1761" s="17"/>
      <c r="N1761" s="14" t="s">
        <v>85</v>
      </c>
      <c r="O1761" s="17" t="s">
        <v>70</v>
      </c>
      <c r="P1761" s="17"/>
      <c r="Q1761" s="17"/>
      <c r="R1761" s="17"/>
      <c r="S1761" s="17"/>
      <c r="T1761" s="17"/>
      <c r="U1761" s="17">
        <v>1.27</v>
      </c>
      <c r="V1761" s="41">
        <f t="shared" si="119"/>
        <v>27</v>
      </c>
      <c r="W1761" s="17"/>
      <c r="X1761" s="17" t="s">
        <v>56</v>
      </c>
      <c r="Z1761" s="17" t="s">
        <v>56</v>
      </c>
      <c r="AA1761" s="17"/>
      <c r="AB1761" s="17" t="s">
        <v>57</v>
      </c>
      <c r="AC1761" s="17">
        <v>2009</v>
      </c>
      <c r="AD1761" s="17">
        <v>1</v>
      </c>
      <c r="AE1761" s="17"/>
      <c r="AF1761" s="17"/>
      <c r="AG1761" s="17">
        <v>2009</v>
      </c>
      <c r="AH1761" s="14">
        <f t="shared" si="117"/>
        <v>0</v>
      </c>
      <c r="AI1761" s="17">
        <f t="shared" si="118"/>
        <v>1</v>
      </c>
      <c r="AJ1761" s="17"/>
      <c r="AK1761" s="17" t="s">
        <v>56</v>
      </c>
      <c r="AL1761" s="16" t="s">
        <v>213</v>
      </c>
      <c r="AM1761" s="17">
        <v>2013</v>
      </c>
      <c r="AN1761" s="15" t="s">
        <v>183</v>
      </c>
      <c r="AO1761" s="15" t="s">
        <v>56</v>
      </c>
      <c r="AP1761" s="15"/>
      <c r="AQ1761" s="15" t="s">
        <v>56</v>
      </c>
      <c r="AR1761" s="15" t="s">
        <v>58</v>
      </c>
      <c r="AS1761" s="15" t="s">
        <v>62</v>
      </c>
      <c r="AT1761" s="15"/>
      <c r="AU1761" s="45" t="s">
        <v>2829</v>
      </c>
      <c r="AV1761" s="15"/>
      <c r="AW1761" s="12" t="str">
        <f>B1761&amp;C1761&amp;L1761&amp;M1761&amp;O1761&amp;U1761&amp;AL1761&amp;AM1761</f>
        <v>PortugalLuiz Saldanha Marine ParkNecora puberbiomassden1.27Horta e Costa2013</v>
      </c>
    </row>
    <row r="1762" spans="1:49" ht="14.5" x14ac:dyDescent="0.35">
      <c r="A1762" s="12">
        <v>1761</v>
      </c>
      <c r="B1762" s="15" t="s">
        <v>210</v>
      </c>
      <c r="C1762" s="15" t="s">
        <v>1258</v>
      </c>
      <c r="D1762" s="50" t="s">
        <v>211</v>
      </c>
      <c r="E1762" s="12" t="s">
        <v>68</v>
      </c>
      <c r="F1762" s="13" t="s">
        <v>50</v>
      </c>
      <c r="G1762" s="13" t="s">
        <v>51</v>
      </c>
      <c r="H1762" s="16" t="s">
        <v>108</v>
      </c>
      <c r="I1762" s="16" t="s">
        <v>53</v>
      </c>
      <c r="J1762" s="47">
        <v>4</v>
      </c>
      <c r="K1762" s="17"/>
      <c r="L1762" s="17" t="s">
        <v>222</v>
      </c>
      <c r="M1762" s="17"/>
      <c r="N1762" s="14" t="s">
        <v>170</v>
      </c>
      <c r="O1762" s="17" t="s">
        <v>70</v>
      </c>
      <c r="P1762" s="17"/>
      <c r="Q1762" s="17"/>
      <c r="R1762" s="17"/>
      <c r="S1762" s="17"/>
      <c r="T1762" s="17"/>
      <c r="U1762" s="14">
        <v>1.23</v>
      </c>
      <c r="V1762" s="41">
        <f t="shared" si="119"/>
        <v>23</v>
      </c>
      <c r="W1762" s="14"/>
      <c r="X1762" s="17" t="s">
        <v>56</v>
      </c>
      <c r="Z1762" s="17" t="s">
        <v>56</v>
      </c>
      <c r="AA1762" s="17"/>
      <c r="AB1762" s="17" t="s">
        <v>57</v>
      </c>
      <c r="AC1762" s="17">
        <v>2009</v>
      </c>
      <c r="AD1762" s="17">
        <v>1</v>
      </c>
      <c r="AE1762" s="17"/>
      <c r="AF1762" s="17"/>
      <c r="AG1762" s="17">
        <v>2009</v>
      </c>
      <c r="AH1762" s="14">
        <f t="shared" si="117"/>
        <v>0</v>
      </c>
      <c r="AI1762" s="17">
        <f t="shared" si="118"/>
        <v>1</v>
      </c>
      <c r="AJ1762" s="17"/>
      <c r="AK1762" s="17" t="s">
        <v>56</v>
      </c>
      <c r="AL1762" s="16" t="s">
        <v>213</v>
      </c>
      <c r="AM1762" s="17">
        <v>2013</v>
      </c>
      <c r="AN1762" s="15" t="s">
        <v>183</v>
      </c>
      <c r="AO1762" s="15" t="s">
        <v>56</v>
      </c>
      <c r="AP1762" s="15"/>
      <c r="AQ1762" s="15" t="s">
        <v>56</v>
      </c>
      <c r="AR1762" s="15" t="s">
        <v>58</v>
      </c>
      <c r="AS1762" s="15" t="s">
        <v>62</v>
      </c>
      <c r="AT1762" s="12"/>
      <c r="AU1762" s="45" t="s">
        <v>2829</v>
      </c>
      <c r="AV1762" s="15"/>
      <c r="AW1762" s="12" t="str">
        <f>B1762&amp;C1762&amp;L1762&amp;M1762&amp;O1762&amp;U1762&amp;AL1762&amp;AM1762</f>
        <v>PortugalLuiz Saldanha Marine ParkMugilidaebiomassden1.23Horta e Costa2013</v>
      </c>
    </row>
    <row r="1763" spans="1:49" ht="14.5" x14ac:dyDescent="0.35">
      <c r="A1763" s="12">
        <v>1762</v>
      </c>
      <c r="B1763" s="15" t="s">
        <v>210</v>
      </c>
      <c r="C1763" s="15" t="s">
        <v>1258</v>
      </c>
      <c r="D1763" s="59" t="s">
        <v>211</v>
      </c>
      <c r="E1763" s="15" t="s">
        <v>68</v>
      </c>
      <c r="F1763" s="16" t="s">
        <v>50</v>
      </c>
      <c r="G1763" s="16" t="s">
        <v>51</v>
      </c>
      <c r="H1763" s="16" t="s">
        <v>108</v>
      </c>
      <c r="I1763" s="16" t="s">
        <v>53</v>
      </c>
      <c r="J1763" s="47">
        <v>4</v>
      </c>
      <c r="K1763" s="17"/>
      <c r="L1763" s="17" t="s">
        <v>223</v>
      </c>
      <c r="M1763" s="17"/>
      <c r="N1763" s="14" t="s">
        <v>85</v>
      </c>
      <c r="O1763" s="17" t="s">
        <v>70</v>
      </c>
      <c r="P1763" s="17"/>
      <c r="Q1763" s="17"/>
      <c r="R1763" s="17"/>
      <c r="S1763" s="17"/>
      <c r="T1763" s="17"/>
      <c r="U1763" s="17">
        <v>1.38</v>
      </c>
      <c r="V1763" s="41">
        <f t="shared" si="119"/>
        <v>37.999999999999986</v>
      </c>
      <c r="W1763" s="17"/>
      <c r="X1763" s="17" t="s">
        <v>56</v>
      </c>
      <c r="Z1763" s="17" t="s">
        <v>56</v>
      </c>
      <c r="AA1763" s="17"/>
      <c r="AB1763" s="17" t="s">
        <v>57</v>
      </c>
      <c r="AC1763" s="17">
        <v>2009</v>
      </c>
      <c r="AD1763" s="17">
        <v>1</v>
      </c>
      <c r="AE1763" s="17"/>
      <c r="AF1763" s="17"/>
      <c r="AG1763" s="17">
        <v>2009</v>
      </c>
      <c r="AH1763" s="14">
        <f t="shared" si="117"/>
        <v>0</v>
      </c>
      <c r="AI1763" s="17">
        <f t="shared" si="118"/>
        <v>1</v>
      </c>
      <c r="AJ1763" s="17"/>
      <c r="AK1763" s="17" t="s">
        <v>56</v>
      </c>
      <c r="AL1763" s="16" t="s">
        <v>213</v>
      </c>
      <c r="AM1763" s="17">
        <v>2013</v>
      </c>
      <c r="AN1763" s="15" t="s">
        <v>183</v>
      </c>
      <c r="AO1763" s="15" t="s">
        <v>56</v>
      </c>
      <c r="AP1763" s="15"/>
      <c r="AQ1763" s="15" t="s">
        <v>56</v>
      </c>
      <c r="AR1763" s="15" t="s">
        <v>58</v>
      </c>
      <c r="AS1763" s="15" t="s">
        <v>62</v>
      </c>
      <c r="AT1763" s="15"/>
      <c r="AU1763" s="45" t="s">
        <v>2829</v>
      </c>
      <c r="AV1763" s="15"/>
      <c r="AW1763" s="12" t="str">
        <f>B1763&amp;C1763&amp;L1763&amp;M1763&amp;O1763&amp;U1763&amp;AL1763&amp;AM1763</f>
        <v>PortugalLuiz Saldanha Marine ParkLabrus bergyltabiomassden1.38Horta e Costa2013</v>
      </c>
    </row>
    <row r="1764" spans="1:49" ht="14.5" x14ac:dyDescent="0.35">
      <c r="A1764" s="12">
        <v>1763</v>
      </c>
      <c r="B1764" s="15" t="s">
        <v>210</v>
      </c>
      <c r="C1764" s="15" t="s">
        <v>1258</v>
      </c>
      <c r="D1764" s="59" t="s">
        <v>211</v>
      </c>
      <c r="E1764" s="15" t="s">
        <v>68</v>
      </c>
      <c r="F1764" s="16" t="s">
        <v>50</v>
      </c>
      <c r="G1764" s="16" t="s">
        <v>51</v>
      </c>
      <c r="H1764" s="16" t="s">
        <v>108</v>
      </c>
      <c r="I1764" s="16" t="s">
        <v>53</v>
      </c>
      <c r="J1764" s="47">
        <v>4</v>
      </c>
      <c r="K1764" s="17"/>
      <c r="L1764" s="17" t="s">
        <v>224</v>
      </c>
      <c r="M1764" s="17"/>
      <c r="N1764" s="14" t="s">
        <v>85</v>
      </c>
      <c r="O1764" s="17" t="s">
        <v>70</v>
      </c>
      <c r="P1764" s="17"/>
      <c r="Q1764" s="17"/>
      <c r="R1764" s="17"/>
      <c r="S1764" s="17"/>
      <c r="T1764" s="17"/>
      <c r="U1764" s="17">
        <v>1.48</v>
      </c>
      <c r="V1764" s="41">
        <f t="shared" si="119"/>
        <v>48</v>
      </c>
      <c r="W1764" s="17"/>
      <c r="X1764" s="17" t="s">
        <v>56</v>
      </c>
      <c r="Z1764" s="17" t="s">
        <v>56</v>
      </c>
      <c r="AA1764" s="17"/>
      <c r="AB1764" s="17" t="s">
        <v>57</v>
      </c>
      <c r="AC1764" s="17">
        <v>2009</v>
      </c>
      <c r="AD1764" s="17">
        <v>1</v>
      </c>
      <c r="AE1764" s="17"/>
      <c r="AF1764" s="17"/>
      <c r="AG1764" s="17">
        <v>2009</v>
      </c>
      <c r="AH1764" s="14">
        <f t="shared" si="117"/>
        <v>0</v>
      </c>
      <c r="AI1764" s="17">
        <f t="shared" si="118"/>
        <v>1</v>
      </c>
      <c r="AJ1764" s="17"/>
      <c r="AK1764" s="17" t="s">
        <v>56</v>
      </c>
      <c r="AL1764" s="16" t="s">
        <v>213</v>
      </c>
      <c r="AM1764" s="17">
        <v>2013</v>
      </c>
      <c r="AN1764" s="15" t="s">
        <v>183</v>
      </c>
      <c r="AO1764" s="15" t="s">
        <v>56</v>
      </c>
      <c r="AP1764" s="15"/>
      <c r="AQ1764" s="15" t="s">
        <v>56</v>
      </c>
      <c r="AR1764" s="15" t="s">
        <v>58</v>
      </c>
      <c r="AS1764" s="15" t="s">
        <v>62</v>
      </c>
      <c r="AT1764" s="15"/>
      <c r="AU1764" s="45" t="s">
        <v>2829</v>
      </c>
      <c r="AV1764" s="15"/>
      <c r="AW1764" s="12" t="str">
        <f>B1764&amp;C1764&amp;L1764&amp;M1764&amp;O1764&amp;U1764&amp;AL1764&amp;AM1764</f>
        <v>PortugalLuiz Saldanha Marine ParkGobius xanthocephalusbiomassden1.48Horta e Costa2013</v>
      </c>
    </row>
    <row r="1765" spans="1:49" ht="14.5" x14ac:dyDescent="0.35">
      <c r="A1765" s="12">
        <v>1764</v>
      </c>
      <c r="B1765" s="15" t="s">
        <v>210</v>
      </c>
      <c r="C1765" s="15" t="s">
        <v>1258</v>
      </c>
      <c r="D1765" s="50" t="s">
        <v>211</v>
      </c>
      <c r="E1765" s="12" t="s">
        <v>68</v>
      </c>
      <c r="F1765" s="13" t="s">
        <v>50</v>
      </c>
      <c r="G1765" s="13" t="s">
        <v>51</v>
      </c>
      <c r="H1765" s="16" t="s">
        <v>108</v>
      </c>
      <c r="I1765" s="16" t="s">
        <v>53</v>
      </c>
      <c r="J1765" s="47">
        <v>4</v>
      </c>
      <c r="K1765" s="17"/>
      <c r="L1765" s="17" t="s">
        <v>225</v>
      </c>
      <c r="M1765" s="17"/>
      <c r="N1765" s="14" t="s">
        <v>85</v>
      </c>
      <c r="O1765" s="17" t="s">
        <v>70</v>
      </c>
      <c r="P1765" s="17"/>
      <c r="Q1765" s="17"/>
      <c r="R1765" s="17"/>
      <c r="S1765" s="17"/>
      <c r="T1765" s="17"/>
      <c r="U1765" s="14">
        <v>1.05</v>
      </c>
      <c r="V1765" s="41">
        <f t="shared" si="119"/>
        <v>5.0000000000000044</v>
      </c>
      <c r="W1765" s="14"/>
      <c r="X1765" s="17" t="s">
        <v>56</v>
      </c>
      <c r="Z1765" s="17" t="s">
        <v>56</v>
      </c>
      <c r="AA1765" s="17"/>
      <c r="AB1765" s="17" t="s">
        <v>57</v>
      </c>
      <c r="AC1765" s="17">
        <v>2009</v>
      </c>
      <c r="AD1765" s="17">
        <v>1</v>
      </c>
      <c r="AE1765" s="17"/>
      <c r="AF1765" s="17"/>
      <c r="AG1765" s="17">
        <v>2009</v>
      </c>
      <c r="AH1765" s="14">
        <f t="shared" si="117"/>
        <v>0</v>
      </c>
      <c r="AI1765" s="17">
        <f t="shared" si="118"/>
        <v>1</v>
      </c>
      <c r="AJ1765" s="17"/>
      <c r="AK1765" s="17" t="s">
        <v>56</v>
      </c>
      <c r="AL1765" s="16" t="s">
        <v>213</v>
      </c>
      <c r="AM1765" s="17">
        <v>2013</v>
      </c>
      <c r="AN1765" s="15" t="s">
        <v>183</v>
      </c>
      <c r="AO1765" s="15" t="s">
        <v>56</v>
      </c>
      <c r="AP1765" s="15"/>
      <c r="AQ1765" s="15" t="s">
        <v>56</v>
      </c>
      <c r="AR1765" s="15" t="s">
        <v>58</v>
      </c>
      <c r="AS1765" s="15" t="s">
        <v>62</v>
      </c>
      <c r="AT1765" s="12"/>
      <c r="AU1765" s="45" t="s">
        <v>2829</v>
      </c>
      <c r="AV1765" s="15"/>
      <c r="AW1765" s="12" t="str">
        <f>B1765&amp;C1765&amp;L1765&amp;M1765&amp;O1765&amp;U1765&amp;AL1765&amp;AM1765</f>
        <v>PortugalLuiz Saldanha Marine ParkDiplodus vulgarisbiomassden1.05Horta e Costa2013</v>
      </c>
    </row>
    <row r="1766" spans="1:49" ht="14.5" x14ac:dyDescent="0.35">
      <c r="A1766" s="12">
        <v>1765</v>
      </c>
      <c r="B1766" s="15" t="s">
        <v>210</v>
      </c>
      <c r="C1766" s="15" t="s">
        <v>1258</v>
      </c>
      <c r="D1766" s="50" t="s">
        <v>211</v>
      </c>
      <c r="E1766" s="12" t="s">
        <v>68</v>
      </c>
      <c r="F1766" s="13" t="s">
        <v>50</v>
      </c>
      <c r="G1766" s="13" t="s">
        <v>51</v>
      </c>
      <c r="H1766" s="16" t="s">
        <v>108</v>
      </c>
      <c r="I1766" s="16" t="s">
        <v>53</v>
      </c>
      <c r="J1766" s="47">
        <v>4</v>
      </c>
      <c r="K1766" s="17"/>
      <c r="L1766" s="17" t="s">
        <v>226</v>
      </c>
      <c r="M1766" s="17"/>
      <c r="N1766" s="14" t="s">
        <v>85</v>
      </c>
      <c r="O1766" s="17" t="s">
        <v>70</v>
      </c>
      <c r="P1766" s="17"/>
      <c r="Q1766" s="17"/>
      <c r="R1766" s="17"/>
      <c r="S1766" s="17"/>
      <c r="T1766" s="17"/>
      <c r="U1766" s="14">
        <v>2.06</v>
      </c>
      <c r="V1766" s="41">
        <f t="shared" si="119"/>
        <v>106</v>
      </c>
      <c r="W1766" s="14"/>
      <c r="X1766" s="17" t="s">
        <v>56</v>
      </c>
      <c r="Z1766" s="17" t="s">
        <v>56</v>
      </c>
      <c r="AA1766" s="17"/>
      <c r="AB1766" s="17" t="s">
        <v>57</v>
      </c>
      <c r="AC1766" s="17">
        <v>2009</v>
      </c>
      <c r="AD1766" s="17">
        <v>1</v>
      </c>
      <c r="AE1766" s="17"/>
      <c r="AF1766" s="17"/>
      <c r="AG1766" s="17">
        <v>2009</v>
      </c>
      <c r="AH1766" s="14">
        <f t="shared" si="117"/>
        <v>0</v>
      </c>
      <c r="AI1766" s="17">
        <f t="shared" si="118"/>
        <v>1</v>
      </c>
      <c r="AJ1766" s="17"/>
      <c r="AK1766" s="17" t="s">
        <v>56</v>
      </c>
      <c r="AL1766" s="16" t="s">
        <v>213</v>
      </c>
      <c r="AM1766" s="17">
        <v>2013</v>
      </c>
      <c r="AN1766" s="15" t="s">
        <v>183</v>
      </c>
      <c r="AO1766" s="15" t="s">
        <v>56</v>
      </c>
      <c r="AP1766" s="15"/>
      <c r="AQ1766" s="15" t="s">
        <v>56</v>
      </c>
      <c r="AR1766" s="15" t="s">
        <v>58</v>
      </c>
      <c r="AS1766" s="15" t="s">
        <v>62</v>
      </c>
      <c r="AT1766" s="12"/>
      <c r="AU1766" s="45" t="s">
        <v>2829</v>
      </c>
      <c r="AV1766" s="15"/>
      <c r="AW1766" s="12" t="str">
        <f>B1766&amp;C1766&amp;L1766&amp;M1766&amp;O1766&amp;U1766&amp;AL1766&amp;AM1766</f>
        <v>PortugalLuiz Saldanha Marine ParkDiplodus sargusbiomassden2.06Horta e Costa2013</v>
      </c>
    </row>
    <row r="1767" spans="1:49" ht="14.5" x14ac:dyDescent="0.35">
      <c r="A1767" s="12">
        <v>1766</v>
      </c>
      <c r="B1767" s="12" t="s">
        <v>210</v>
      </c>
      <c r="C1767" s="15" t="s">
        <v>1258</v>
      </c>
      <c r="D1767" s="50" t="s">
        <v>211</v>
      </c>
      <c r="E1767" s="12" t="s">
        <v>68</v>
      </c>
      <c r="F1767" s="13" t="s">
        <v>50</v>
      </c>
      <c r="G1767" s="13" t="s">
        <v>51</v>
      </c>
      <c r="H1767" s="13" t="s">
        <v>108</v>
      </c>
      <c r="I1767" s="13" t="s">
        <v>53</v>
      </c>
      <c r="J1767" s="18">
        <v>4</v>
      </c>
      <c r="K1767" s="17"/>
      <c r="L1767" s="14" t="s">
        <v>227</v>
      </c>
      <c r="M1767" s="14"/>
      <c r="N1767" s="14" t="s">
        <v>85</v>
      </c>
      <c r="O1767" s="17" t="s">
        <v>70</v>
      </c>
      <c r="P1767" s="14"/>
      <c r="Q1767" s="14"/>
      <c r="R1767" s="14"/>
      <c r="S1767" s="14"/>
      <c r="T1767" s="14"/>
      <c r="U1767" s="14">
        <v>0.87</v>
      </c>
      <c r="V1767" s="41">
        <f t="shared" si="119"/>
        <v>-13</v>
      </c>
      <c r="W1767" s="14"/>
      <c r="X1767" s="17" t="s">
        <v>56</v>
      </c>
      <c r="Z1767" s="14" t="s">
        <v>56</v>
      </c>
      <c r="AA1767" s="14"/>
      <c r="AB1767" s="14" t="s">
        <v>57</v>
      </c>
      <c r="AC1767" s="14">
        <v>2009</v>
      </c>
      <c r="AD1767" s="14">
        <v>1</v>
      </c>
      <c r="AE1767" s="14"/>
      <c r="AF1767" s="14"/>
      <c r="AG1767" s="14">
        <v>2009</v>
      </c>
      <c r="AH1767" s="14">
        <f t="shared" si="117"/>
        <v>0</v>
      </c>
      <c r="AI1767" s="17">
        <f t="shared" si="118"/>
        <v>1</v>
      </c>
      <c r="AJ1767" s="14"/>
      <c r="AK1767" s="14" t="s">
        <v>56</v>
      </c>
      <c r="AL1767" s="13" t="s">
        <v>213</v>
      </c>
      <c r="AM1767" s="14">
        <v>2013</v>
      </c>
      <c r="AN1767" s="12" t="s">
        <v>183</v>
      </c>
      <c r="AO1767" s="12" t="s">
        <v>56</v>
      </c>
      <c r="AP1767" s="12"/>
      <c r="AQ1767" s="12" t="s">
        <v>56</v>
      </c>
      <c r="AR1767" s="12" t="s">
        <v>58</v>
      </c>
      <c r="AS1767" s="12" t="s">
        <v>62</v>
      </c>
      <c r="AT1767" s="12"/>
      <c r="AU1767" s="45" t="s">
        <v>2829</v>
      </c>
      <c r="AV1767" s="15"/>
      <c r="AW1767" s="12" t="str">
        <f>B1767&amp;C1767&amp;L1767&amp;M1767&amp;O1767&amp;U1767&amp;AL1767&amp;AM1767</f>
        <v>PortugalLuiz Saldanha Marine ParkCtenolabrus rupestrisbiomassden0.87Horta e Costa2013</v>
      </c>
    </row>
    <row r="1768" spans="1:49" ht="14.5" x14ac:dyDescent="0.35">
      <c r="A1768" s="12">
        <v>1767</v>
      </c>
      <c r="B1768" s="12" t="s">
        <v>210</v>
      </c>
      <c r="C1768" s="15" t="s">
        <v>1258</v>
      </c>
      <c r="D1768" s="50" t="s">
        <v>211</v>
      </c>
      <c r="E1768" s="12" t="s">
        <v>68</v>
      </c>
      <c r="F1768" s="13" t="s">
        <v>50</v>
      </c>
      <c r="G1768" s="13" t="s">
        <v>51</v>
      </c>
      <c r="H1768" s="13" t="s">
        <v>108</v>
      </c>
      <c r="I1768" s="13" t="s">
        <v>53</v>
      </c>
      <c r="J1768" s="18">
        <v>4</v>
      </c>
      <c r="K1768" s="17"/>
      <c r="L1768" s="14" t="s">
        <v>228</v>
      </c>
      <c r="M1768" s="14"/>
      <c r="N1768" s="14" t="s">
        <v>85</v>
      </c>
      <c r="O1768" s="17" t="s">
        <v>70</v>
      </c>
      <c r="P1768" s="14"/>
      <c r="Q1768" s="14"/>
      <c r="R1768" s="14"/>
      <c r="S1768" s="14"/>
      <c r="T1768" s="14"/>
      <c r="U1768" s="14">
        <v>1.33</v>
      </c>
      <c r="V1768" s="41">
        <f t="shared" si="119"/>
        <v>33.000000000000007</v>
      </c>
      <c r="W1768" s="14"/>
      <c r="X1768" s="17" t="s">
        <v>56</v>
      </c>
      <c r="Z1768" s="14" t="s">
        <v>56</v>
      </c>
      <c r="AA1768" s="14"/>
      <c r="AB1768" s="14" t="s">
        <v>57</v>
      </c>
      <c r="AC1768" s="14">
        <v>2009</v>
      </c>
      <c r="AD1768" s="14">
        <v>1</v>
      </c>
      <c r="AE1768" s="14"/>
      <c r="AF1768" s="14"/>
      <c r="AG1768" s="14">
        <v>2009</v>
      </c>
      <c r="AH1768" s="14">
        <f t="shared" si="117"/>
        <v>0</v>
      </c>
      <c r="AI1768" s="17">
        <f t="shared" si="118"/>
        <v>1</v>
      </c>
      <c r="AJ1768" s="14"/>
      <c r="AK1768" s="14" t="s">
        <v>56</v>
      </c>
      <c r="AL1768" s="13" t="s">
        <v>213</v>
      </c>
      <c r="AM1768" s="14">
        <v>2013</v>
      </c>
      <c r="AN1768" s="12" t="s">
        <v>183</v>
      </c>
      <c r="AO1768" s="12" t="s">
        <v>56</v>
      </c>
      <c r="AP1768" s="12"/>
      <c r="AQ1768" s="12" t="s">
        <v>56</v>
      </c>
      <c r="AR1768" s="12" t="s">
        <v>58</v>
      </c>
      <c r="AS1768" s="12" t="s">
        <v>62</v>
      </c>
      <c r="AT1768" s="12"/>
      <c r="AU1768" s="45" t="s">
        <v>2829</v>
      </c>
      <c r="AV1768" s="15"/>
      <c r="AW1768" s="12" t="str">
        <f>B1768&amp;C1768&amp;L1768&amp;M1768&amp;O1768&amp;U1768&amp;AL1768&amp;AM1768</f>
        <v>PortugalLuiz Saldanha Marine ParkCentrolabrus exoletusbiomassden1.33Horta e Costa2013</v>
      </c>
    </row>
    <row r="1769" spans="1:49" ht="14.5" x14ac:dyDescent="0.35">
      <c r="A1769" s="12">
        <v>1768</v>
      </c>
      <c r="B1769" s="12" t="s">
        <v>1107</v>
      </c>
      <c r="C1769" s="15" t="s">
        <v>1108</v>
      </c>
      <c r="D1769" s="12" t="s">
        <v>2636</v>
      </c>
      <c r="E1769" s="12" t="s">
        <v>68</v>
      </c>
      <c r="F1769" s="13" t="s">
        <v>50</v>
      </c>
      <c r="G1769" s="13" t="s">
        <v>51</v>
      </c>
      <c r="H1769" s="13" t="s">
        <v>108</v>
      </c>
      <c r="I1769" s="13" t="s">
        <v>53</v>
      </c>
      <c r="J1769" s="14">
        <v>707</v>
      </c>
      <c r="K1769" s="17"/>
      <c r="L1769" s="47" t="s">
        <v>987</v>
      </c>
      <c r="M1769" s="14"/>
      <c r="N1769" s="14" t="s">
        <v>85</v>
      </c>
      <c r="O1769" s="17" t="s">
        <v>86</v>
      </c>
      <c r="P1769" s="14"/>
      <c r="Q1769" s="14"/>
      <c r="R1769" s="14"/>
      <c r="S1769" s="14">
        <v>7380</v>
      </c>
      <c r="T1769" s="14">
        <v>2650</v>
      </c>
      <c r="U1769" s="19">
        <f t="shared" ref="U1769:U1800" si="120">IFERROR(IF(AND(Q1769="",R1769="",S1769="",T1769=""),"",IF(AND(Q1769&lt;&gt;"",R1769&lt;&gt;"",S1769&lt;&gt;"",T1769&lt;&gt;""),(T1769/R1769)/(S1769/Q1769),IF(AND(Q1769&lt;&gt;"",R1769&lt;&gt;""),R1769/Q1769,IF(AND(S1769&lt;&gt;"",T1769&lt;&gt;""),T1769/S1769,IF(AND(Q1769&lt;&gt;"",S1769&lt;&gt;""),Q1769/S1769,IF(AND(R1769&lt;&gt;"",T1769&lt;&gt;""),T1769/R1769)))))), "N/A")</f>
        <v>0.35907859078590787</v>
      </c>
      <c r="V1769" s="41">
        <f t="shared" si="119"/>
        <v>-64.092140921409211</v>
      </c>
      <c r="W1769" s="14"/>
      <c r="X1769" s="17" t="s">
        <v>56</v>
      </c>
      <c r="Z1769" s="14" t="s">
        <v>56</v>
      </c>
      <c r="AA1769" s="14"/>
      <c r="AB1769" s="14" t="s">
        <v>57</v>
      </c>
      <c r="AC1769" s="14">
        <v>2001</v>
      </c>
      <c r="AD1769" s="14">
        <v>0</v>
      </c>
      <c r="AE1769" s="14"/>
      <c r="AF1769" s="14"/>
      <c r="AG1769" s="14">
        <v>1995</v>
      </c>
      <c r="AH1769" s="14">
        <f t="shared" si="117"/>
        <v>6</v>
      </c>
      <c r="AI1769" s="17">
        <f t="shared" si="118"/>
        <v>6</v>
      </c>
      <c r="AJ1769" s="14"/>
      <c r="AK1769" s="14" t="s">
        <v>56</v>
      </c>
      <c r="AL1769" s="13" t="s">
        <v>1109</v>
      </c>
      <c r="AM1769" s="14">
        <v>2008</v>
      </c>
      <c r="AN1769" s="12" t="s">
        <v>685</v>
      </c>
      <c r="AO1769" s="12" t="s">
        <v>56</v>
      </c>
      <c r="AP1769" s="12"/>
      <c r="AQ1769" s="12" t="s">
        <v>56</v>
      </c>
      <c r="AR1769" s="12" t="s">
        <v>58</v>
      </c>
      <c r="AS1769" s="12" t="s">
        <v>62</v>
      </c>
      <c r="AT1769" s="12"/>
      <c r="AU1769" s="45"/>
      <c r="AV1769" s="15"/>
      <c r="AW1769" s="12" t="str">
        <f>B1769&amp;C1769&amp;L1769&amp;M1769&amp;O1769&amp;U1769&amp;AL1769&amp;AM1769</f>
        <v>Canary IslandsLa Graciosa no-take areaDiadema antillarumdensity0.359078590785908Hernandez2008</v>
      </c>
    </row>
    <row r="1770" spans="1:49" ht="14.5" x14ac:dyDescent="0.35">
      <c r="A1770" s="12">
        <v>1769</v>
      </c>
      <c r="B1770" s="12" t="s">
        <v>1107</v>
      </c>
      <c r="C1770" s="15" t="s">
        <v>1297</v>
      </c>
      <c r="D1770" s="12" t="s">
        <v>2638</v>
      </c>
      <c r="E1770" s="12" t="s">
        <v>68</v>
      </c>
      <c r="F1770" s="13" t="s">
        <v>50</v>
      </c>
      <c r="G1770" s="16" t="s">
        <v>51</v>
      </c>
      <c r="H1770" s="13" t="s">
        <v>108</v>
      </c>
      <c r="I1770" s="13" t="s">
        <v>53</v>
      </c>
      <c r="J1770" s="14">
        <v>7.75</v>
      </c>
      <c r="K1770" s="17"/>
      <c r="L1770" s="47" t="s">
        <v>987</v>
      </c>
      <c r="M1770" s="14"/>
      <c r="N1770" s="14" t="s">
        <v>85</v>
      </c>
      <c r="O1770" s="17" t="s">
        <v>86</v>
      </c>
      <c r="P1770" s="14"/>
      <c r="Q1770" s="14"/>
      <c r="R1770" s="14"/>
      <c r="S1770" s="14">
        <v>7380</v>
      </c>
      <c r="T1770" s="14">
        <v>73.333330000000004</v>
      </c>
      <c r="U1770" s="19">
        <f t="shared" si="120"/>
        <v>9.9367655826558265E-3</v>
      </c>
      <c r="V1770" s="41">
        <f t="shared" si="119"/>
        <v>-99.006323441734409</v>
      </c>
      <c r="W1770" s="14"/>
      <c r="X1770" s="17" t="s">
        <v>56</v>
      </c>
      <c r="Z1770" s="14" t="s">
        <v>56</v>
      </c>
      <c r="AA1770" s="14"/>
      <c r="AB1770" s="14" t="s">
        <v>57</v>
      </c>
      <c r="AC1770" s="14">
        <v>2001</v>
      </c>
      <c r="AD1770" s="14">
        <v>0</v>
      </c>
      <c r="AE1770" s="14"/>
      <c r="AF1770" s="14"/>
      <c r="AG1770" s="14">
        <v>1996</v>
      </c>
      <c r="AH1770" s="14">
        <f t="shared" si="117"/>
        <v>5</v>
      </c>
      <c r="AI1770" s="17">
        <f t="shared" si="118"/>
        <v>5</v>
      </c>
      <c r="AJ1770" s="14"/>
      <c r="AK1770" s="14" t="s">
        <v>56</v>
      </c>
      <c r="AL1770" s="13" t="s">
        <v>1109</v>
      </c>
      <c r="AM1770" s="14">
        <v>2008</v>
      </c>
      <c r="AN1770" s="12" t="s">
        <v>685</v>
      </c>
      <c r="AO1770" s="12" t="s">
        <v>56</v>
      </c>
      <c r="AP1770" s="12"/>
      <c r="AQ1770" s="12" t="s">
        <v>56</v>
      </c>
      <c r="AR1770" s="12" t="s">
        <v>58</v>
      </c>
      <c r="AS1770" s="12" t="s">
        <v>62</v>
      </c>
      <c r="AT1770" s="12"/>
      <c r="AU1770" s="45"/>
      <c r="AV1770" s="15"/>
      <c r="AW1770" s="12" t="str">
        <f>B1770&amp;C1770&amp;L1770&amp;M1770&amp;O1770&amp;U1770&amp;AL1770&amp;AM1770</f>
        <v>Canary IslandsMar de Las Calmas no-take areaDiadema antillarumdensity0.00993676558265583Hernandez2008</v>
      </c>
    </row>
    <row r="1771" spans="1:49" ht="14.5" x14ac:dyDescent="0.35">
      <c r="A1771" s="12">
        <v>1770</v>
      </c>
      <c r="B1771" s="15" t="s">
        <v>1107</v>
      </c>
      <c r="C1771" s="15" t="s">
        <v>1144</v>
      </c>
      <c r="D1771" s="15" t="s">
        <v>2637</v>
      </c>
      <c r="E1771" s="15" t="s">
        <v>68</v>
      </c>
      <c r="F1771" s="16" t="s">
        <v>50</v>
      </c>
      <c r="G1771" s="16" t="s">
        <v>51</v>
      </c>
      <c r="H1771" s="16" t="s">
        <v>108</v>
      </c>
      <c r="I1771" s="16" t="s">
        <v>53</v>
      </c>
      <c r="J1771" s="17">
        <v>37.19</v>
      </c>
      <c r="K1771" s="17"/>
      <c r="L1771" s="47" t="s">
        <v>987</v>
      </c>
      <c r="M1771" s="17"/>
      <c r="N1771" s="14" t="s">
        <v>85</v>
      </c>
      <c r="O1771" s="17" t="s">
        <v>86</v>
      </c>
      <c r="P1771" s="17"/>
      <c r="Q1771" s="17"/>
      <c r="R1771" s="17"/>
      <c r="S1771" s="17">
        <v>7380</v>
      </c>
      <c r="T1771" s="17">
        <v>415</v>
      </c>
      <c r="U1771" s="19">
        <f t="shared" si="120"/>
        <v>5.6233062330623307E-2</v>
      </c>
      <c r="V1771" s="41">
        <f t="shared" si="119"/>
        <v>-94.376693766937663</v>
      </c>
      <c r="W1771" s="17"/>
      <c r="X1771" s="17" t="s">
        <v>56</v>
      </c>
      <c r="Z1771" s="17" t="s">
        <v>56</v>
      </c>
      <c r="AA1771" s="17"/>
      <c r="AB1771" s="17" t="s">
        <v>57</v>
      </c>
      <c r="AC1771" s="17">
        <v>2004</v>
      </c>
      <c r="AD1771" s="17">
        <v>0</v>
      </c>
      <c r="AE1771" s="17"/>
      <c r="AF1771" s="17"/>
      <c r="AG1771" s="17">
        <v>2001</v>
      </c>
      <c r="AH1771" s="14">
        <f t="shared" si="117"/>
        <v>3</v>
      </c>
      <c r="AI1771" s="17">
        <f t="shared" si="118"/>
        <v>3</v>
      </c>
      <c r="AJ1771" s="17"/>
      <c r="AK1771" s="17" t="s">
        <v>56</v>
      </c>
      <c r="AL1771" s="16" t="s">
        <v>1109</v>
      </c>
      <c r="AM1771" s="17">
        <v>2008</v>
      </c>
      <c r="AN1771" s="15" t="s">
        <v>685</v>
      </c>
      <c r="AO1771" s="15" t="s">
        <v>56</v>
      </c>
      <c r="AP1771" s="15"/>
      <c r="AQ1771" s="15" t="s">
        <v>56</v>
      </c>
      <c r="AR1771" s="15" t="s">
        <v>58</v>
      </c>
      <c r="AS1771" s="15" t="s">
        <v>62</v>
      </c>
      <c r="AT1771" s="12"/>
      <c r="AU1771" s="45"/>
      <c r="AV1771" s="15"/>
      <c r="AW1771" s="12" t="str">
        <f>B1771&amp;C1771&amp;L1771&amp;M1771&amp;O1771&amp;U1771&amp;AL1771&amp;AM1771</f>
        <v>Canary IslandsLa Palma marine reserveDiadema antillarumdensity0.0562330623306233Hernandez2008</v>
      </c>
    </row>
    <row r="1772" spans="1:49" ht="14.5" x14ac:dyDescent="0.35">
      <c r="A1772" s="12">
        <v>1771</v>
      </c>
      <c r="B1772" s="15" t="s">
        <v>1107</v>
      </c>
      <c r="C1772" s="15" t="s">
        <v>1108</v>
      </c>
      <c r="D1772" s="15" t="s">
        <v>2636</v>
      </c>
      <c r="E1772" s="15" t="s">
        <v>68</v>
      </c>
      <c r="F1772" s="16" t="s">
        <v>50</v>
      </c>
      <c r="G1772" s="16" t="s">
        <v>51</v>
      </c>
      <c r="H1772" s="16" t="s">
        <v>108</v>
      </c>
      <c r="I1772" s="16" t="s">
        <v>53</v>
      </c>
      <c r="J1772" s="17">
        <v>707</v>
      </c>
      <c r="K1772" s="17"/>
      <c r="L1772" s="47" t="s">
        <v>987</v>
      </c>
      <c r="M1772" s="17"/>
      <c r="N1772" s="14" t="s">
        <v>85</v>
      </c>
      <c r="O1772" s="17" t="s">
        <v>70</v>
      </c>
      <c r="P1772" s="17"/>
      <c r="Q1772" s="17"/>
      <c r="R1772" s="17"/>
      <c r="S1772" s="17">
        <v>81.63</v>
      </c>
      <c r="T1772" s="17">
        <v>65.8</v>
      </c>
      <c r="U1772" s="19">
        <f t="shared" si="120"/>
        <v>0.80607619747641801</v>
      </c>
      <c r="V1772" s="41">
        <f t="shared" si="119"/>
        <v>-19.392380252358198</v>
      </c>
      <c r="W1772" s="17"/>
      <c r="X1772" s="17" t="s">
        <v>56</v>
      </c>
      <c r="Z1772" s="17" t="s">
        <v>56</v>
      </c>
      <c r="AA1772" s="17"/>
      <c r="AB1772" s="17" t="s">
        <v>57</v>
      </c>
      <c r="AC1772" s="17">
        <v>2001</v>
      </c>
      <c r="AD1772" s="17">
        <v>0</v>
      </c>
      <c r="AE1772" s="17"/>
      <c r="AF1772" s="17"/>
      <c r="AG1772" s="17">
        <v>1995</v>
      </c>
      <c r="AH1772" s="14">
        <f t="shared" si="117"/>
        <v>6</v>
      </c>
      <c r="AI1772" s="17">
        <f t="shared" si="118"/>
        <v>6</v>
      </c>
      <c r="AJ1772" s="17"/>
      <c r="AK1772" s="17" t="s">
        <v>56</v>
      </c>
      <c r="AL1772" s="16" t="s">
        <v>1109</v>
      </c>
      <c r="AM1772" s="17">
        <v>2008</v>
      </c>
      <c r="AN1772" s="15" t="s">
        <v>685</v>
      </c>
      <c r="AO1772" s="15" t="s">
        <v>56</v>
      </c>
      <c r="AP1772" s="15"/>
      <c r="AQ1772" s="15" t="s">
        <v>56</v>
      </c>
      <c r="AR1772" s="15" t="s">
        <v>58</v>
      </c>
      <c r="AS1772" s="15" t="s">
        <v>62</v>
      </c>
      <c r="AT1772" s="12"/>
      <c r="AU1772" s="45"/>
      <c r="AV1772" s="15"/>
      <c r="AW1772" s="12" t="str">
        <f>B1772&amp;C1772&amp;L1772&amp;M1772&amp;O1772&amp;U1772&amp;AL1772&amp;AM1772</f>
        <v>Canary IslandsLa Graciosa no-take areaDiadema antillarumbiomassden0.806076197476418Hernandez2008</v>
      </c>
    </row>
    <row r="1773" spans="1:49" ht="14.5" x14ac:dyDescent="0.35">
      <c r="A1773" s="12">
        <v>1772</v>
      </c>
      <c r="B1773" s="12" t="s">
        <v>1107</v>
      </c>
      <c r="C1773" s="12" t="s">
        <v>1297</v>
      </c>
      <c r="D1773" s="12" t="s">
        <v>2638</v>
      </c>
      <c r="E1773" s="12" t="s">
        <v>68</v>
      </c>
      <c r="F1773" s="13" t="s">
        <v>50</v>
      </c>
      <c r="G1773" s="13" t="s">
        <v>51</v>
      </c>
      <c r="H1773" s="13" t="s">
        <v>108</v>
      </c>
      <c r="I1773" s="13" t="s">
        <v>53</v>
      </c>
      <c r="J1773" s="14">
        <v>7.75</v>
      </c>
      <c r="K1773" s="17"/>
      <c r="L1773" s="47" t="s">
        <v>987</v>
      </c>
      <c r="M1773" s="14"/>
      <c r="N1773" s="14" t="s">
        <v>85</v>
      </c>
      <c r="O1773" s="17" t="s">
        <v>70</v>
      </c>
      <c r="P1773" s="14"/>
      <c r="Q1773" s="14"/>
      <c r="R1773" s="14"/>
      <c r="S1773" s="14">
        <v>81.63</v>
      </c>
      <c r="T1773" s="14">
        <v>1.8</v>
      </c>
      <c r="U1773" s="19">
        <f t="shared" si="120"/>
        <v>2.2050716648291072E-2</v>
      </c>
      <c r="V1773" s="41">
        <f t="shared" si="119"/>
        <v>-97.794928335170894</v>
      </c>
      <c r="W1773" s="14"/>
      <c r="X1773" s="14" t="s">
        <v>56</v>
      </c>
      <c r="Z1773" s="14" t="s">
        <v>56</v>
      </c>
      <c r="AA1773" s="14"/>
      <c r="AB1773" s="14" t="s">
        <v>57</v>
      </c>
      <c r="AC1773" s="14">
        <v>2001</v>
      </c>
      <c r="AD1773" s="14">
        <v>0</v>
      </c>
      <c r="AE1773" s="14"/>
      <c r="AF1773" s="14"/>
      <c r="AG1773" s="14">
        <v>1996</v>
      </c>
      <c r="AH1773" s="14">
        <f t="shared" si="117"/>
        <v>5</v>
      </c>
      <c r="AI1773" s="17">
        <f t="shared" si="118"/>
        <v>5</v>
      </c>
      <c r="AJ1773" s="14"/>
      <c r="AK1773" s="14" t="s">
        <v>56</v>
      </c>
      <c r="AL1773" s="13" t="s">
        <v>1109</v>
      </c>
      <c r="AM1773" s="14">
        <v>2008</v>
      </c>
      <c r="AN1773" s="12" t="s">
        <v>685</v>
      </c>
      <c r="AO1773" s="12" t="s">
        <v>56</v>
      </c>
      <c r="AP1773" s="12"/>
      <c r="AQ1773" s="12" t="s">
        <v>56</v>
      </c>
      <c r="AR1773" s="12" t="s">
        <v>58</v>
      </c>
      <c r="AS1773" s="12" t="s">
        <v>62</v>
      </c>
      <c r="AT1773" s="12"/>
      <c r="AU1773" s="45"/>
      <c r="AV1773" s="15"/>
      <c r="AW1773" s="12" t="str">
        <f>B1773&amp;C1773&amp;L1773&amp;M1773&amp;O1773&amp;U1773&amp;AL1773&amp;AM1773</f>
        <v>Canary IslandsMar de Las Calmas no-take areaDiadema antillarumbiomassden0.0220507166482911Hernandez2008</v>
      </c>
    </row>
    <row r="1774" spans="1:49" ht="14.5" x14ac:dyDescent="0.35">
      <c r="A1774" s="12">
        <v>1773</v>
      </c>
      <c r="B1774" s="12" t="s">
        <v>1107</v>
      </c>
      <c r="C1774" s="12" t="s">
        <v>1144</v>
      </c>
      <c r="D1774" s="12" t="s">
        <v>2637</v>
      </c>
      <c r="E1774" s="12" t="s">
        <v>68</v>
      </c>
      <c r="F1774" s="13" t="s">
        <v>50</v>
      </c>
      <c r="G1774" s="13" t="s">
        <v>51</v>
      </c>
      <c r="H1774" s="13" t="s">
        <v>108</v>
      </c>
      <c r="I1774" s="13" t="s">
        <v>53</v>
      </c>
      <c r="J1774" s="14">
        <v>37.19</v>
      </c>
      <c r="K1774" s="14"/>
      <c r="L1774" s="47" t="s">
        <v>987</v>
      </c>
      <c r="M1774" s="14"/>
      <c r="N1774" s="14" t="s">
        <v>85</v>
      </c>
      <c r="O1774" s="17" t="s">
        <v>70</v>
      </c>
      <c r="P1774" s="14"/>
      <c r="Q1774" s="14"/>
      <c r="R1774" s="14"/>
      <c r="S1774" s="14">
        <v>81.63</v>
      </c>
      <c r="T1774" s="14">
        <v>23.5</v>
      </c>
      <c r="U1774" s="19">
        <f t="shared" si="120"/>
        <v>0.28788435624157788</v>
      </c>
      <c r="V1774" s="41">
        <f t="shared" si="119"/>
        <v>-71.211564375842215</v>
      </c>
      <c r="W1774" s="14"/>
      <c r="X1774" s="14" t="s">
        <v>56</v>
      </c>
      <c r="Z1774" s="14" t="s">
        <v>56</v>
      </c>
      <c r="AA1774" s="14"/>
      <c r="AB1774" s="14" t="s">
        <v>57</v>
      </c>
      <c r="AC1774" s="14">
        <v>2004</v>
      </c>
      <c r="AD1774" s="14">
        <v>0</v>
      </c>
      <c r="AE1774" s="14"/>
      <c r="AF1774" s="14"/>
      <c r="AG1774" s="14">
        <v>2001</v>
      </c>
      <c r="AH1774" s="14">
        <f t="shared" si="117"/>
        <v>3</v>
      </c>
      <c r="AI1774" s="17">
        <f t="shared" si="118"/>
        <v>3</v>
      </c>
      <c r="AJ1774" s="14"/>
      <c r="AK1774" s="14" t="s">
        <v>56</v>
      </c>
      <c r="AL1774" s="13" t="s">
        <v>1109</v>
      </c>
      <c r="AM1774" s="14">
        <v>2008</v>
      </c>
      <c r="AN1774" s="12" t="s">
        <v>685</v>
      </c>
      <c r="AO1774" s="12" t="s">
        <v>56</v>
      </c>
      <c r="AP1774" s="12"/>
      <c r="AQ1774" s="12" t="s">
        <v>56</v>
      </c>
      <c r="AR1774" s="12" t="s">
        <v>58</v>
      </c>
      <c r="AS1774" s="12" t="s">
        <v>62</v>
      </c>
      <c r="AT1774" s="12"/>
      <c r="AU1774" s="45"/>
      <c r="AV1774" s="15"/>
      <c r="AW1774" s="12" t="str">
        <f>B1774&amp;C1774&amp;L1774&amp;M1774&amp;O1774&amp;U1774&amp;AL1774&amp;AM1774</f>
        <v>Canary IslandsLa Palma marine reserveDiadema antillarumbiomassden0.287884356241578Hernandez2008</v>
      </c>
    </row>
    <row r="1775" spans="1:49" ht="14.5" x14ac:dyDescent="0.35">
      <c r="A1775" s="12">
        <v>1774</v>
      </c>
      <c r="B1775" s="12" t="s">
        <v>1107</v>
      </c>
      <c r="C1775" s="12" t="s">
        <v>1108</v>
      </c>
      <c r="D1775" s="12" t="s">
        <v>2636</v>
      </c>
      <c r="E1775" s="12" t="s">
        <v>68</v>
      </c>
      <c r="F1775" s="13" t="s">
        <v>50</v>
      </c>
      <c r="G1775" s="13" t="s">
        <v>51</v>
      </c>
      <c r="H1775" s="13" t="s">
        <v>108</v>
      </c>
      <c r="I1775" s="13" t="s">
        <v>53</v>
      </c>
      <c r="J1775" s="14">
        <v>707</v>
      </c>
      <c r="K1775" s="17"/>
      <c r="L1775" s="14"/>
      <c r="M1775" s="14" t="s">
        <v>783</v>
      </c>
      <c r="N1775" s="53" t="s">
        <v>98</v>
      </c>
      <c r="O1775" s="17" t="s">
        <v>101</v>
      </c>
      <c r="P1775" s="14"/>
      <c r="Q1775" s="14"/>
      <c r="R1775" s="14"/>
      <c r="S1775" s="14">
        <v>1.6216219999999999</v>
      </c>
      <c r="T1775" s="14">
        <v>1.6216219999999999</v>
      </c>
      <c r="U1775" s="19">
        <f t="shared" si="120"/>
        <v>1</v>
      </c>
      <c r="V1775" s="41">
        <f t="shared" si="119"/>
        <v>0</v>
      </c>
      <c r="W1775" s="14"/>
      <c r="X1775" s="14" t="s">
        <v>56</v>
      </c>
      <c r="Z1775" s="14" t="s">
        <v>56</v>
      </c>
      <c r="AA1775" s="14"/>
      <c r="AB1775" s="14" t="s">
        <v>57</v>
      </c>
      <c r="AC1775" s="14">
        <v>2001</v>
      </c>
      <c r="AD1775" s="14">
        <v>0</v>
      </c>
      <c r="AE1775" s="14"/>
      <c r="AF1775" s="14"/>
      <c r="AG1775" s="14">
        <v>1995</v>
      </c>
      <c r="AH1775" s="14">
        <f t="shared" si="117"/>
        <v>6</v>
      </c>
      <c r="AI1775" s="17">
        <f t="shared" si="118"/>
        <v>6</v>
      </c>
      <c r="AJ1775" s="14"/>
      <c r="AK1775" s="14" t="s">
        <v>56</v>
      </c>
      <c r="AL1775" s="13" t="s">
        <v>1109</v>
      </c>
      <c r="AM1775" s="14">
        <v>2008</v>
      </c>
      <c r="AN1775" s="12" t="s">
        <v>685</v>
      </c>
      <c r="AO1775" s="12" t="s">
        <v>56</v>
      </c>
      <c r="AP1775" s="12"/>
      <c r="AQ1775" s="12" t="s">
        <v>56</v>
      </c>
      <c r="AR1775" s="12" t="s">
        <v>58</v>
      </c>
      <c r="AS1775" s="12" t="s">
        <v>62</v>
      </c>
      <c r="AT1775" s="12"/>
      <c r="AU1775" s="45"/>
      <c r="AV1775" s="15"/>
      <c r="AW1775" s="12" t="str">
        <f>B1775&amp;C1775&amp;L1775&amp;M1775&amp;O1775&amp;U1775&amp;AL1775&amp;AM1775</f>
        <v>Canary IslandsLa Graciosa no-take areaturf algaecover1Hernandez2008</v>
      </c>
    </row>
    <row r="1776" spans="1:49" ht="14.5" x14ac:dyDescent="0.35">
      <c r="A1776" s="12">
        <v>1775</v>
      </c>
      <c r="B1776" s="12" t="s">
        <v>1107</v>
      </c>
      <c r="C1776" s="12" t="s">
        <v>1108</v>
      </c>
      <c r="D1776" s="12" t="s">
        <v>2636</v>
      </c>
      <c r="E1776" s="12" t="s">
        <v>68</v>
      </c>
      <c r="F1776" s="13" t="s">
        <v>50</v>
      </c>
      <c r="G1776" s="13" t="s">
        <v>51</v>
      </c>
      <c r="H1776" s="13" t="s">
        <v>108</v>
      </c>
      <c r="I1776" s="13" t="s">
        <v>53</v>
      </c>
      <c r="J1776" s="14">
        <v>707</v>
      </c>
      <c r="K1776" s="14"/>
      <c r="L1776" s="14"/>
      <c r="M1776" s="14" t="s">
        <v>1110</v>
      </c>
      <c r="N1776" s="53" t="s">
        <v>98</v>
      </c>
      <c r="O1776" s="17" t="s">
        <v>101</v>
      </c>
      <c r="P1776" s="14"/>
      <c r="Q1776" s="14"/>
      <c r="R1776" s="14"/>
      <c r="S1776" s="14">
        <v>1.081081</v>
      </c>
      <c r="T1776" s="14">
        <v>3.7837839999999998</v>
      </c>
      <c r="U1776" s="19">
        <f t="shared" si="120"/>
        <v>3.5000004625000347</v>
      </c>
      <c r="V1776" s="41">
        <f t="shared" si="119"/>
        <v>250.00004625000346</v>
      </c>
      <c r="W1776" s="14"/>
      <c r="X1776" s="14" t="s">
        <v>56</v>
      </c>
      <c r="Z1776" s="14" t="s">
        <v>56</v>
      </c>
      <c r="AA1776" s="14"/>
      <c r="AB1776" s="14" t="s">
        <v>57</v>
      </c>
      <c r="AC1776" s="14">
        <v>2001</v>
      </c>
      <c r="AD1776" s="14">
        <v>0</v>
      </c>
      <c r="AE1776" s="14"/>
      <c r="AF1776" s="14"/>
      <c r="AG1776" s="14">
        <v>1995</v>
      </c>
      <c r="AH1776" s="14">
        <f t="shared" si="117"/>
        <v>6</v>
      </c>
      <c r="AI1776" s="17">
        <f t="shared" si="118"/>
        <v>6</v>
      </c>
      <c r="AJ1776" s="14"/>
      <c r="AK1776" s="14" t="s">
        <v>56</v>
      </c>
      <c r="AL1776" s="13" t="s">
        <v>1109</v>
      </c>
      <c r="AM1776" s="14">
        <v>2008</v>
      </c>
      <c r="AN1776" s="12" t="s">
        <v>685</v>
      </c>
      <c r="AO1776" s="12" t="s">
        <v>56</v>
      </c>
      <c r="AP1776" s="12"/>
      <c r="AQ1776" s="12" t="s">
        <v>56</v>
      </c>
      <c r="AR1776" s="12" t="s">
        <v>58</v>
      </c>
      <c r="AS1776" s="12" t="s">
        <v>62</v>
      </c>
      <c r="AT1776" s="12"/>
      <c r="AU1776" s="45"/>
      <c r="AV1776" s="15"/>
      <c r="AW1776" s="12" t="str">
        <f>B1776&amp;C1776&amp;L1776&amp;M1776&amp;O1776&amp;U1776&amp;AL1776&amp;AM1776</f>
        <v>Canary IslandsLa Graciosa no-take areaunbranched erect algaecover3.50000046250003Hernandez2008</v>
      </c>
    </row>
    <row r="1777" spans="1:49" ht="14.5" x14ac:dyDescent="0.35">
      <c r="A1777" s="12">
        <v>1776</v>
      </c>
      <c r="B1777" s="12" t="s">
        <v>1107</v>
      </c>
      <c r="C1777" s="12" t="s">
        <v>1108</v>
      </c>
      <c r="D1777" s="15" t="s">
        <v>2636</v>
      </c>
      <c r="E1777" s="12" t="s">
        <v>68</v>
      </c>
      <c r="F1777" s="13" t="s">
        <v>50</v>
      </c>
      <c r="G1777" s="13" t="s">
        <v>51</v>
      </c>
      <c r="H1777" s="13" t="s">
        <v>108</v>
      </c>
      <c r="I1777" s="13" t="s">
        <v>53</v>
      </c>
      <c r="J1777" s="14">
        <v>707</v>
      </c>
      <c r="K1777" s="14"/>
      <c r="L1777" s="14"/>
      <c r="M1777" s="14" t="s">
        <v>1111</v>
      </c>
      <c r="N1777" s="53" t="s">
        <v>98</v>
      </c>
      <c r="O1777" s="17" t="s">
        <v>101</v>
      </c>
      <c r="P1777" s="14"/>
      <c r="Q1777" s="14"/>
      <c r="R1777" s="14"/>
      <c r="S1777" s="14">
        <v>0.54054100000000005</v>
      </c>
      <c r="T1777" s="14">
        <v>2.7027030000000001</v>
      </c>
      <c r="U1777" s="19">
        <f t="shared" si="120"/>
        <v>4.9999963000031444</v>
      </c>
      <c r="V1777" s="41">
        <f t="shared" si="119"/>
        <v>399.99963000031443</v>
      </c>
      <c r="W1777" s="14"/>
      <c r="X1777" s="14" t="s">
        <v>56</v>
      </c>
      <c r="Z1777" s="14" t="s">
        <v>56</v>
      </c>
      <c r="AA1777" s="14"/>
      <c r="AB1777" s="14" t="s">
        <v>57</v>
      </c>
      <c r="AC1777" s="14">
        <v>2001</v>
      </c>
      <c r="AD1777" s="14">
        <v>0</v>
      </c>
      <c r="AE1777" s="14"/>
      <c r="AF1777" s="14"/>
      <c r="AG1777" s="14">
        <v>1995</v>
      </c>
      <c r="AH1777" s="14">
        <f t="shared" si="117"/>
        <v>6</v>
      </c>
      <c r="AI1777" s="17">
        <f t="shared" si="118"/>
        <v>6</v>
      </c>
      <c r="AJ1777" s="14"/>
      <c r="AK1777" s="14" t="s">
        <v>56</v>
      </c>
      <c r="AL1777" s="13" t="s">
        <v>1109</v>
      </c>
      <c r="AM1777" s="14">
        <v>2008</v>
      </c>
      <c r="AN1777" s="12" t="s">
        <v>685</v>
      </c>
      <c r="AO1777" s="12" t="s">
        <v>56</v>
      </c>
      <c r="AP1777" s="12"/>
      <c r="AQ1777" s="12" t="s">
        <v>56</v>
      </c>
      <c r="AR1777" s="12" t="s">
        <v>58</v>
      </c>
      <c r="AS1777" s="12" t="s">
        <v>62</v>
      </c>
      <c r="AT1777" s="12"/>
      <c r="AU1777" s="45"/>
      <c r="AV1777" s="15"/>
      <c r="AW1777" s="12" t="str">
        <f>B1777&amp;C1777&amp;L1777&amp;M1777&amp;O1777&amp;U1777&amp;AL1777&amp;AM1777</f>
        <v>Canary IslandsLa Graciosa no-take areabranched erect algaecover4.99999630000314Hernandez2008</v>
      </c>
    </row>
    <row r="1778" spans="1:49" ht="14.5" x14ac:dyDescent="0.35">
      <c r="A1778" s="12">
        <v>1777</v>
      </c>
      <c r="B1778" s="15" t="s">
        <v>1107</v>
      </c>
      <c r="C1778" s="15" t="s">
        <v>1108</v>
      </c>
      <c r="D1778" s="15" t="s">
        <v>2636</v>
      </c>
      <c r="E1778" s="15" t="s">
        <v>68</v>
      </c>
      <c r="F1778" s="13" t="s">
        <v>50</v>
      </c>
      <c r="G1778" s="13" t="s">
        <v>51</v>
      </c>
      <c r="H1778" s="16" t="s">
        <v>108</v>
      </c>
      <c r="I1778" s="16" t="s">
        <v>53</v>
      </c>
      <c r="J1778" s="17">
        <v>707</v>
      </c>
      <c r="K1778" s="17"/>
      <c r="L1778" s="17"/>
      <c r="M1778" s="17" t="s">
        <v>1112</v>
      </c>
      <c r="N1778" s="53" t="s">
        <v>98</v>
      </c>
      <c r="O1778" s="17" t="s">
        <v>101</v>
      </c>
      <c r="P1778" s="17"/>
      <c r="Q1778" s="17"/>
      <c r="R1778" s="17"/>
      <c r="S1778" s="17">
        <v>0</v>
      </c>
      <c r="T1778" s="17">
        <v>0</v>
      </c>
      <c r="U1778" s="20" t="str">
        <f t="shared" si="120"/>
        <v>N/A</v>
      </c>
      <c r="V1778" s="41" t="str">
        <f t="shared" si="119"/>
        <v>N/A</v>
      </c>
      <c r="W1778" s="17"/>
      <c r="X1778" s="17" t="s">
        <v>56</v>
      </c>
      <c r="Z1778" s="17" t="s">
        <v>56</v>
      </c>
      <c r="AA1778" s="17"/>
      <c r="AB1778" s="17" t="s">
        <v>57</v>
      </c>
      <c r="AC1778" s="17">
        <v>2001</v>
      </c>
      <c r="AD1778" s="17">
        <v>0</v>
      </c>
      <c r="AE1778" s="17"/>
      <c r="AF1778" s="17"/>
      <c r="AG1778" s="17">
        <v>1995</v>
      </c>
      <c r="AH1778" s="14">
        <f t="shared" si="117"/>
        <v>6</v>
      </c>
      <c r="AI1778" s="17">
        <f t="shared" si="118"/>
        <v>6</v>
      </c>
      <c r="AJ1778" s="17"/>
      <c r="AK1778" s="17" t="s">
        <v>56</v>
      </c>
      <c r="AL1778" s="16" t="s">
        <v>1109</v>
      </c>
      <c r="AM1778" s="17">
        <v>2008</v>
      </c>
      <c r="AN1778" s="15" t="s">
        <v>685</v>
      </c>
      <c r="AO1778" s="15" t="s">
        <v>56</v>
      </c>
      <c r="AP1778" s="15"/>
      <c r="AQ1778" s="15" t="s">
        <v>56</v>
      </c>
      <c r="AR1778" s="15" t="s">
        <v>58</v>
      </c>
      <c r="AS1778" s="15" t="s">
        <v>62</v>
      </c>
      <c r="AT1778" s="15"/>
      <c r="AU1778" s="45"/>
      <c r="AV1778" s="15"/>
      <c r="AW1778" s="12" t="str">
        <f>B1778&amp;C1778&amp;L1778&amp;M1778&amp;O1778&amp;U1778&amp;AL1778&amp;AM1778</f>
        <v>Canary IslandsLa Graciosa no-take areacalcified algaecoverN/AHernandez2008</v>
      </c>
    </row>
    <row r="1779" spans="1:49" ht="14.5" x14ac:dyDescent="0.35">
      <c r="A1779" s="12">
        <v>1778</v>
      </c>
      <c r="B1779" s="15" t="s">
        <v>1107</v>
      </c>
      <c r="C1779" s="15" t="s">
        <v>1108</v>
      </c>
      <c r="D1779" s="12" t="s">
        <v>2636</v>
      </c>
      <c r="E1779" s="12" t="s">
        <v>68</v>
      </c>
      <c r="F1779" s="13" t="s">
        <v>50</v>
      </c>
      <c r="G1779" s="13" t="s">
        <v>51</v>
      </c>
      <c r="H1779" s="16" t="s">
        <v>108</v>
      </c>
      <c r="I1779" s="16" t="s">
        <v>53</v>
      </c>
      <c r="J1779" s="17">
        <v>707</v>
      </c>
      <c r="K1779" s="17"/>
      <c r="L1779" s="17"/>
      <c r="M1779" s="17" t="s">
        <v>1113</v>
      </c>
      <c r="N1779" s="53" t="s">
        <v>98</v>
      </c>
      <c r="O1779" s="17" t="s">
        <v>101</v>
      </c>
      <c r="P1779" s="17"/>
      <c r="Q1779" s="17"/>
      <c r="R1779" s="17"/>
      <c r="S1779" s="17">
        <v>38.37838</v>
      </c>
      <c r="T1779" s="17">
        <v>32.432429999999997</v>
      </c>
      <c r="U1779" s="19">
        <f t="shared" si="120"/>
        <v>0.8450703234477327</v>
      </c>
      <c r="V1779" s="41">
        <f t="shared" si="119"/>
        <v>-15.49296765522673</v>
      </c>
      <c r="W1779" s="14"/>
      <c r="X1779" s="17" t="s">
        <v>56</v>
      </c>
      <c r="Z1779" s="17" t="s">
        <v>56</v>
      </c>
      <c r="AA1779" s="17"/>
      <c r="AB1779" s="17" t="s">
        <v>57</v>
      </c>
      <c r="AC1779" s="17">
        <v>2001</v>
      </c>
      <c r="AD1779" s="17">
        <v>0</v>
      </c>
      <c r="AE1779" s="17"/>
      <c r="AF1779" s="17"/>
      <c r="AG1779" s="17">
        <v>1995</v>
      </c>
      <c r="AH1779" s="14">
        <f t="shared" si="117"/>
        <v>6</v>
      </c>
      <c r="AI1779" s="17">
        <f t="shared" si="118"/>
        <v>6</v>
      </c>
      <c r="AJ1779" s="17"/>
      <c r="AK1779" s="17" t="s">
        <v>56</v>
      </c>
      <c r="AL1779" s="16" t="s">
        <v>1109</v>
      </c>
      <c r="AM1779" s="17">
        <v>2008</v>
      </c>
      <c r="AN1779" s="15" t="s">
        <v>685</v>
      </c>
      <c r="AO1779" s="15" t="s">
        <v>56</v>
      </c>
      <c r="AP1779" s="15"/>
      <c r="AQ1779" s="15" t="s">
        <v>56</v>
      </c>
      <c r="AR1779" s="15" t="s">
        <v>58</v>
      </c>
      <c r="AS1779" s="15" t="s">
        <v>62</v>
      </c>
      <c r="AT1779" s="12"/>
      <c r="AU1779" s="45"/>
      <c r="AV1779" s="15"/>
      <c r="AW1779" s="12" t="str">
        <f>B1779&amp;C1779&amp;L1779&amp;M1779&amp;O1779&amp;U1779&amp;AL1779&amp;AM1779</f>
        <v>Canary IslandsLa Graciosa no-take areacrustose macroalgaecover0.845070323447733Hernandez2008</v>
      </c>
    </row>
    <row r="1780" spans="1:49" ht="14.5" x14ac:dyDescent="0.35">
      <c r="A1780" s="12">
        <v>1779</v>
      </c>
      <c r="B1780" s="15" t="s">
        <v>1107</v>
      </c>
      <c r="C1780" s="15" t="s">
        <v>1297</v>
      </c>
      <c r="D1780" s="15" t="s">
        <v>2638</v>
      </c>
      <c r="E1780" s="12" t="s">
        <v>68</v>
      </c>
      <c r="F1780" s="13" t="s">
        <v>50</v>
      </c>
      <c r="G1780" s="13" t="s">
        <v>51</v>
      </c>
      <c r="H1780" s="16" t="s">
        <v>108</v>
      </c>
      <c r="I1780" s="16" t="s">
        <v>53</v>
      </c>
      <c r="J1780" s="17">
        <v>7.75</v>
      </c>
      <c r="K1780" s="17"/>
      <c r="L1780" s="17"/>
      <c r="M1780" s="17" t="s">
        <v>783</v>
      </c>
      <c r="N1780" s="53" t="s">
        <v>98</v>
      </c>
      <c r="O1780" s="17" t="s">
        <v>101</v>
      </c>
      <c r="P1780" s="17"/>
      <c r="Q1780" s="17"/>
      <c r="R1780" s="17"/>
      <c r="S1780" s="17">
        <v>1.6216219999999999</v>
      </c>
      <c r="T1780" s="17">
        <v>4.864865</v>
      </c>
      <c r="U1780" s="19">
        <f t="shared" si="120"/>
        <v>2.9999993833334773</v>
      </c>
      <c r="V1780" s="41">
        <f t="shared" si="119"/>
        <v>199.99993833334773</v>
      </c>
      <c r="W1780" s="14"/>
      <c r="X1780" s="17" t="s">
        <v>56</v>
      </c>
      <c r="Z1780" s="17" t="s">
        <v>56</v>
      </c>
      <c r="AA1780" s="17"/>
      <c r="AB1780" s="17" t="s">
        <v>57</v>
      </c>
      <c r="AC1780" s="17">
        <v>2001</v>
      </c>
      <c r="AD1780" s="17">
        <v>0</v>
      </c>
      <c r="AE1780" s="17"/>
      <c r="AF1780" s="17"/>
      <c r="AG1780" s="17">
        <v>1996</v>
      </c>
      <c r="AH1780" s="14">
        <f t="shared" si="117"/>
        <v>5</v>
      </c>
      <c r="AI1780" s="17">
        <f t="shared" si="118"/>
        <v>5</v>
      </c>
      <c r="AJ1780" s="17"/>
      <c r="AK1780" s="17" t="s">
        <v>56</v>
      </c>
      <c r="AL1780" s="16" t="s">
        <v>1109</v>
      </c>
      <c r="AM1780" s="17">
        <v>2008</v>
      </c>
      <c r="AN1780" s="15" t="s">
        <v>685</v>
      </c>
      <c r="AO1780" s="15" t="s">
        <v>56</v>
      </c>
      <c r="AP1780" s="15"/>
      <c r="AQ1780" s="15" t="s">
        <v>56</v>
      </c>
      <c r="AR1780" s="15" t="s">
        <v>58</v>
      </c>
      <c r="AS1780" s="15" t="s">
        <v>62</v>
      </c>
      <c r="AT1780" s="12"/>
      <c r="AU1780" s="45"/>
      <c r="AV1780" s="15"/>
      <c r="AW1780" s="12" t="str">
        <f>B1780&amp;C1780&amp;L1780&amp;M1780&amp;O1780&amp;U1780&amp;AL1780&amp;AM1780</f>
        <v>Canary IslandsMar de Las Calmas no-take areaturf algaecover2.99999938333348Hernandez2008</v>
      </c>
    </row>
    <row r="1781" spans="1:49" ht="14.5" x14ac:dyDescent="0.35">
      <c r="A1781" s="12">
        <v>1780</v>
      </c>
      <c r="B1781" s="15" t="s">
        <v>1107</v>
      </c>
      <c r="C1781" s="15" t="s">
        <v>1297</v>
      </c>
      <c r="D1781" s="12" t="s">
        <v>2638</v>
      </c>
      <c r="E1781" s="12" t="s">
        <v>68</v>
      </c>
      <c r="F1781" s="13" t="s">
        <v>50</v>
      </c>
      <c r="G1781" s="13" t="s">
        <v>51</v>
      </c>
      <c r="H1781" s="16" t="s">
        <v>108</v>
      </c>
      <c r="I1781" s="16" t="s">
        <v>53</v>
      </c>
      <c r="J1781" s="17">
        <v>7.75</v>
      </c>
      <c r="K1781" s="17"/>
      <c r="L1781" s="17"/>
      <c r="M1781" s="17" t="s">
        <v>1110</v>
      </c>
      <c r="N1781" s="53" t="s">
        <v>98</v>
      </c>
      <c r="O1781" s="17" t="s">
        <v>101</v>
      </c>
      <c r="P1781" s="17"/>
      <c r="Q1781" s="17"/>
      <c r="R1781" s="17"/>
      <c r="S1781" s="17">
        <v>1.081081</v>
      </c>
      <c r="T1781" s="17">
        <v>90.270269999999996</v>
      </c>
      <c r="U1781" s="19">
        <f t="shared" si="120"/>
        <v>83.50000601250045</v>
      </c>
      <c r="V1781" s="41">
        <f t="shared" si="119"/>
        <v>8250.0006012500453</v>
      </c>
      <c r="W1781" s="14"/>
      <c r="X1781" s="17" t="s">
        <v>56</v>
      </c>
      <c r="Z1781" s="17" t="s">
        <v>56</v>
      </c>
      <c r="AA1781" s="17"/>
      <c r="AB1781" s="17" t="s">
        <v>57</v>
      </c>
      <c r="AC1781" s="17">
        <v>2001</v>
      </c>
      <c r="AD1781" s="17">
        <v>0</v>
      </c>
      <c r="AE1781" s="17"/>
      <c r="AF1781" s="17"/>
      <c r="AG1781" s="17">
        <v>1996</v>
      </c>
      <c r="AH1781" s="14">
        <f t="shared" si="117"/>
        <v>5</v>
      </c>
      <c r="AI1781" s="17">
        <f t="shared" si="118"/>
        <v>5</v>
      </c>
      <c r="AJ1781" s="17"/>
      <c r="AK1781" s="17" t="s">
        <v>56</v>
      </c>
      <c r="AL1781" s="16" t="s">
        <v>1109</v>
      </c>
      <c r="AM1781" s="17">
        <v>2008</v>
      </c>
      <c r="AN1781" s="15" t="s">
        <v>685</v>
      </c>
      <c r="AO1781" s="15" t="s">
        <v>56</v>
      </c>
      <c r="AP1781" s="15"/>
      <c r="AQ1781" s="15" t="s">
        <v>56</v>
      </c>
      <c r="AR1781" s="15" t="s">
        <v>58</v>
      </c>
      <c r="AS1781" s="15" t="s">
        <v>62</v>
      </c>
      <c r="AT1781" s="12"/>
      <c r="AU1781" s="45"/>
      <c r="AV1781" s="15"/>
      <c r="AW1781" s="12" t="str">
        <f>B1781&amp;C1781&amp;L1781&amp;M1781&amp;O1781&amp;U1781&amp;AL1781&amp;AM1781</f>
        <v>Canary IslandsMar de Las Calmas no-take areaunbranched erect algaecover83.5000060125004Hernandez2008</v>
      </c>
    </row>
    <row r="1782" spans="1:49" ht="14.5" x14ac:dyDescent="0.35">
      <c r="A1782" s="12">
        <v>1781</v>
      </c>
      <c r="B1782" s="15" t="s">
        <v>1107</v>
      </c>
      <c r="C1782" s="15" t="s">
        <v>1297</v>
      </c>
      <c r="D1782" s="12" t="s">
        <v>2638</v>
      </c>
      <c r="E1782" s="12" t="s">
        <v>68</v>
      </c>
      <c r="F1782" s="13" t="s">
        <v>50</v>
      </c>
      <c r="G1782" s="13" t="s">
        <v>51</v>
      </c>
      <c r="H1782" s="16" t="s">
        <v>108</v>
      </c>
      <c r="I1782" s="16" t="s">
        <v>53</v>
      </c>
      <c r="J1782" s="17">
        <v>7.75</v>
      </c>
      <c r="K1782" s="17"/>
      <c r="L1782" s="17"/>
      <c r="M1782" s="17" t="s">
        <v>1111</v>
      </c>
      <c r="N1782" s="53" t="s">
        <v>98</v>
      </c>
      <c r="O1782" s="17" t="s">
        <v>101</v>
      </c>
      <c r="P1782" s="17"/>
      <c r="Q1782" s="17"/>
      <c r="R1782" s="17"/>
      <c r="S1782" s="17">
        <v>0.54054100000000005</v>
      </c>
      <c r="T1782" s="17">
        <v>1.081081</v>
      </c>
      <c r="U1782" s="19">
        <f t="shared" si="120"/>
        <v>1.9999981500015722</v>
      </c>
      <c r="V1782" s="41">
        <f t="shared" si="119"/>
        <v>99.999815000157227</v>
      </c>
      <c r="W1782" s="14"/>
      <c r="X1782" s="17" t="s">
        <v>56</v>
      </c>
      <c r="Z1782" s="17" t="s">
        <v>56</v>
      </c>
      <c r="AA1782" s="17"/>
      <c r="AB1782" s="17" t="s">
        <v>57</v>
      </c>
      <c r="AC1782" s="17">
        <v>2001</v>
      </c>
      <c r="AD1782" s="17">
        <v>0</v>
      </c>
      <c r="AE1782" s="17"/>
      <c r="AF1782" s="17"/>
      <c r="AG1782" s="17">
        <v>1996</v>
      </c>
      <c r="AH1782" s="14">
        <f t="shared" si="117"/>
        <v>5</v>
      </c>
      <c r="AI1782" s="17">
        <f t="shared" si="118"/>
        <v>5</v>
      </c>
      <c r="AJ1782" s="17"/>
      <c r="AK1782" s="17" t="s">
        <v>56</v>
      </c>
      <c r="AL1782" s="16" t="s">
        <v>1109</v>
      </c>
      <c r="AM1782" s="17">
        <v>2008</v>
      </c>
      <c r="AN1782" s="15" t="s">
        <v>685</v>
      </c>
      <c r="AO1782" s="15" t="s">
        <v>56</v>
      </c>
      <c r="AP1782" s="15"/>
      <c r="AQ1782" s="15" t="s">
        <v>56</v>
      </c>
      <c r="AR1782" s="15" t="s">
        <v>58</v>
      </c>
      <c r="AS1782" s="15" t="s">
        <v>62</v>
      </c>
      <c r="AT1782" s="12"/>
      <c r="AU1782" s="45"/>
      <c r="AV1782" s="15"/>
      <c r="AW1782" s="12" t="str">
        <f>B1782&amp;C1782&amp;L1782&amp;M1782&amp;O1782&amp;U1782&amp;AL1782&amp;AM1782</f>
        <v>Canary IslandsMar de Las Calmas no-take areabranched erect algaecover1.99999815000157Hernandez2008</v>
      </c>
    </row>
    <row r="1783" spans="1:49" ht="14.5" x14ac:dyDescent="0.35">
      <c r="A1783" s="12">
        <v>1782</v>
      </c>
      <c r="B1783" s="15" t="s">
        <v>1107</v>
      </c>
      <c r="C1783" s="15" t="s">
        <v>1297</v>
      </c>
      <c r="D1783" s="12" t="s">
        <v>2638</v>
      </c>
      <c r="E1783" s="12" t="s">
        <v>68</v>
      </c>
      <c r="F1783" s="13" t="s">
        <v>50</v>
      </c>
      <c r="G1783" s="13" t="s">
        <v>51</v>
      </c>
      <c r="H1783" s="16" t="s">
        <v>108</v>
      </c>
      <c r="I1783" s="16" t="s">
        <v>53</v>
      </c>
      <c r="J1783" s="17">
        <v>7.75</v>
      </c>
      <c r="K1783" s="17"/>
      <c r="L1783" s="17"/>
      <c r="M1783" s="17" t="s">
        <v>1112</v>
      </c>
      <c r="N1783" s="53" t="s">
        <v>98</v>
      </c>
      <c r="O1783" s="17" t="s">
        <v>101</v>
      </c>
      <c r="P1783" s="17"/>
      <c r="Q1783" s="17"/>
      <c r="R1783" s="17"/>
      <c r="S1783" s="17">
        <v>0</v>
      </c>
      <c r="T1783" s="17">
        <v>0</v>
      </c>
      <c r="U1783" s="19" t="str">
        <f t="shared" si="120"/>
        <v>N/A</v>
      </c>
      <c r="V1783" s="41" t="str">
        <f t="shared" si="119"/>
        <v>N/A</v>
      </c>
      <c r="W1783" s="14"/>
      <c r="X1783" s="17" t="s">
        <v>56</v>
      </c>
      <c r="Z1783" s="17" t="s">
        <v>56</v>
      </c>
      <c r="AA1783" s="17"/>
      <c r="AB1783" s="17" t="s">
        <v>57</v>
      </c>
      <c r="AC1783" s="17">
        <v>2001</v>
      </c>
      <c r="AD1783" s="17">
        <v>0</v>
      </c>
      <c r="AE1783" s="17"/>
      <c r="AF1783" s="17"/>
      <c r="AG1783" s="17">
        <v>1996</v>
      </c>
      <c r="AH1783" s="14">
        <f t="shared" si="117"/>
        <v>5</v>
      </c>
      <c r="AI1783" s="17">
        <f t="shared" si="118"/>
        <v>5</v>
      </c>
      <c r="AJ1783" s="17"/>
      <c r="AK1783" s="17" t="s">
        <v>56</v>
      </c>
      <c r="AL1783" s="16" t="s">
        <v>1109</v>
      </c>
      <c r="AM1783" s="17">
        <v>2008</v>
      </c>
      <c r="AN1783" s="15" t="s">
        <v>685</v>
      </c>
      <c r="AO1783" s="15" t="s">
        <v>56</v>
      </c>
      <c r="AP1783" s="15"/>
      <c r="AQ1783" s="15" t="s">
        <v>56</v>
      </c>
      <c r="AR1783" s="15" t="s">
        <v>58</v>
      </c>
      <c r="AS1783" s="15" t="s">
        <v>62</v>
      </c>
      <c r="AT1783" s="12"/>
      <c r="AU1783" s="45"/>
      <c r="AV1783" s="15"/>
      <c r="AW1783" s="12" t="str">
        <f>B1783&amp;C1783&amp;L1783&amp;M1783&amp;O1783&amp;U1783&amp;AL1783&amp;AM1783</f>
        <v>Canary IslandsMar de Las Calmas no-take areacalcified algaecoverN/AHernandez2008</v>
      </c>
    </row>
    <row r="1784" spans="1:49" ht="14.5" x14ac:dyDescent="0.35">
      <c r="A1784" s="12">
        <v>1783</v>
      </c>
      <c r="B1784" s="15" t="s">
        <v>1107</v>
      </c>
      <c r="C1784" s="15" t="s">
        <v>1297</v>
      </c>
      <c r="D1784" s="12" t="s">
        <v>2638</v>
      </c>
      <c r="E1784" s="12" t="s">
        <v>68</v>
      </c>
      <c r="F1784" s="13" t="s">
        <v>50</v>
      </c>
      <c r="G1784" s="13" t="s">
        <v>51</v>
      </c>
      <c r="H1784" s="16" t="s">
        <v>108</v>
      </c>
      <c r="I1784" s="16" t="s">
        <v>53</v>
      </c>
      <c r="J1784" s="17">
        <v>7.75</v>
      </c>
      <c r="K1784" s="17"/>
      <c r="L1784" s="17"/>
      <c r="M1784" s="17" t="s">
        <v>1113</v>
      </c>
      <c r="N1784" s="53" t="s">
        <v>98</v>
      </c>
      <c r="O1784" s="17" t="s">
        <v>101</v>
      </c>
      <c r="P1784" s="17"/>
      <c r="Q1784" s="17"/>
      <c r="R1784" s="17"/>
      <c r="S1784" s="17">
        <v>38.37838</v>
      </c>
      <c r="T1784" s="17">
        <v>2.1621619999999999</v>
      </c>
      <c r="U1784" s="19">
        <f t="shared" si="120"/>
        <v>5.6338021563182183E-2</v>
      </c>
      <c r="V1784" s="41">
        <f t="shared" si="119"/>
        <v>-94.366197843681789</v>
      </c>
      <c r="W1784" s="14"/>
      <c r="X1784" s="17" t="s">
        <v>56</v>
      </c>
      <c r="Z1784" s="17" t="s">
        <v>56</v>
      </c>
      <c r="AA1784" s="17"/>
      <c r="AB1784" s="17" t="s">
        <v>57</v>
      </c>
      <c r="AC1784" s="17">
        <v>2001</v>
      </c>
      <c r="AD1784" s="17">
        <v>0</v>
      </c>
      <c r="AE1784" s="17"/>
      <c r="AF1784" s="17"/>
      <c r="AG1784" s="17">
        <v>1996</v>
      </c>
      <c r="AH1784" s="14">
        <f t="shared" si="117"/>
        <v>5</v>
      </c>
      <c r="AI1784" s="17">
        <f t="shared" si="118"/>
        <v>5</v>
      </c>
      <c r="AJ1784" s="17"/>
      <c r="AK1784" s="17" t="s">
        <v>56</v>
      </c>
      <c r="AL1784" s="16" t="s">
        <v>1109</v>
      </c>
      <c r="AM1784" s="17">
        <v>2008</v>
      </c>
      <c r="AN1784" s="15" t="s">
        <v>685</v>
      </c>
      <c r="AO1784" s="15" t="s">
        <v>56</v>
      </c>
      <c r="AP1784" s="15"/>
      <c r="AQ1784" s="15" t="s">
        <v>56</v>
      </c>
      <c r="AR1784" s="15" t="s">
        <v>58</v>
      </c>
      <c r="AS1784" s="15" t="s">
        <v>62</v>
      </c>
      <c r="AT1784" s="12"/>
      <c r="AU1784" s="45"/>
      <c r="AV1784" s="15"/>
      <c r="AW1784" s="12" t="str">
        <f>B1784&amp;C1784&amp;L1784&amp;M1784&amp;O1784&amp;U1784&amp;AL1784&amp;AM1784</f>
        <v>Canary IslandsMar de Las Calmas no-take areacrustose macroalgaecover0.0563380215631822Hernandez2008</v>
      </c>
    </row>
    <row r="1785" spans="1:49" ht="14.5" x14ac:dyDescent="0.35">
      <c r="A1785" s="12">
        <v>1784</v>
      </c>
      <c r="B1785" s="15" t="s">
        <v>1107</v>
      </c>
      <c r="C1785" s="15" t="s">
        <v>1144</v>
      </c>
      <c r="D1785" s="12" t="s">
        <v>2637</v>
      </c>
      <c r="E1785" s="12" t="s">
        <v>68</v>
      </c>
      <c r="F1785" s="13" t="s">
        <v>50</v>
      </c>
      <c r="G1785" s="13" t="s">
        <v>51</v>
      </c>
      <c r="H1785" s="16" t="s">
        <v>108</v>
      </c>
      <c r="I1785" s="16" t="s">
        <v>53</v>
      </c>
      <c r="J1785" s="17">
        <v>37.19</v>
      </c>
      <c r="K1785" s="17"/>
      <c r="L1785" s="17"/>
      <c r="M1785" s="17" t="s">
        <v>783</v>
      </c>
      <c r="N1785" s="53" t="s">
        <v>98</v>
      </c>
      <c r="O1785" s="17" t="s">
        <v>101</v>
      </c>
      <c r="P1785" s="17"/>
      <c r="Q1785" s="17"/>
      <c r="R1785" s="17"/>
      <c r="S1785" s="17">
        <v>1.6216219999999999</v>
      </c>
      <c r="T1785" s="17">
        <v>8.1081079999999996</v>
      </c>
      <c r="U1785" s="19">
        <f t="shared" si="120"/>
        <v>4.9999987666669545</v>
      </c>
      <c r="V1785" s="41">
        <f t="shared" si="119"/>
        <v>399.99987666669546</v>
      </c>
      <c r="W1785" s="14"/>
      <c r="X1785" s="17" t="s">
        <v>56</v>
      </c>
      <c r="Z1785" s="17" t="s">
        <v>56</v>
      </c>
      <c r="AA1785" s="17"/>
      <c r="AB1785" s="17" t="s">
        <v>57</v>
      </c>
      <c r="AC1785" s="17">
        <v>2004</v>
      </c>
      <c r="AD1785" s="17">
        <v>0</v>
      </c>
      <c r="AE1785" s="17"/>
      <c r="AF1785" s="17"/>
      <c r="AG1785" s="17">
        <v>2001</v>
      </c>
      <c r="AH1785" s="14">
        <f t="shared" si="117"/>
        <v>3</v>
      </c>
      <c r="AI1785" s="17">
        <f t="shared" si="118"/>
        <v>3</v>
      </c>
      <c r="AJ1785" s="17"/>
      <c r="AK1785" s="17" t="s">
        <v>56</v>
      </c>
      <c r="AL1785" s="16" t="s">
        <v>1109</v>
      </c>
      <c r="AM1785" s="17">
        <v>2008</v>
      </c>
      <c r="AN1785" s="15" t="s">
        <v>685</v>
      </c>
      <c r="AO1785" s="15" t="s">
        <v>56</v>
      </c>
      <c r="AP1785" s="15"/>
      <c r="AQ1785" s="15" t="s">
        <v>56</v>
      </c>
      <c r="AR1785" s="15" t="s">
        <v>58</v>
      </c>
      <c r="AS1785" s="15" t="s">
        <v>62</v>
      </c>
      <c r="AT1785" s="12"/>
      <c r="AU1785" s="45"/>
      <c r="AV1785" s="15"/>
      <c r="AW1785" s="12" t="str">
        <f>B1785&amp;C1785&amp;L1785&amp;M1785&amp;O1785&amp;U1785&amp;AL1785&amp;AM1785</f>
        <v>Canary IslandsLa Palma marine reserveturf algaecover4.99999876666695Hernandez2008</v>
      </c>
    </row>
    <row r="1786" spans="1:49" ht="14.5" x14ac:dyDescent="0.35">
      <c r="A1786" s="12">
        <v>1785</v>
      </c>
      <c r="B1786" s="15" t="s">
        <v>1107</v>
      </c>
      <c r="C1786" s="15" t="s">
        <v>1144</v>
      </c>
      <c r="D1786" s="12" t="s">
        <v>2637</v>
      </c>
      <c r="E1786" s="12" t="s">
        <v>68</v>
      </c>
      <c r="F1786" s="13" t="s">
        <v>50</v>
      </c>
      <c r="G1786" s="13" t="s">
        <v>51</v>
      </c>
      <c r="H1786" s="16" t="s">
        <v>108</v>
      </c>
      <c r="I1786" s="16" t="s">
        <v>53</v>
      </c>
      <c r="J1786" s="17">
        <v>37.19</v>
      </c>
      <c r="K1786" s="17"/>
      <c r="L1786" s="17"/>
      <c r="M1786" s="17" t="s">
        <v>1110</v>
      </c>
      <c r="N1786" s="53" t="s">
        <v>98</v>
      </c>
      <c r="O1786" s="17" t="s">
        <v>101</v>
      </c>
      <c r="P1786" s="17"/>
      <c r="Q1786" s="17"/>
      <c r="R1786" s="17"/>
      <c r="S1786" s="17">
        <v>1.081081</v>
      </c>
      <c r="T1786" s="17">
        <v>40.54054</v>
      </c>
      <c r="U1786" s="19">
        <f t="shared" si="120"/>
        <v>37.500002312500172</v>
      </c>
      <c r="V1786" s="41">
        <f t="shared" si="119"/>
        <v>3650.0002312500174</v>
      </c>
      <c r="W1786" s="14"/>
      <c r="X1786" s="17" t="s">
        <v>56</v>
      </c>
      <c r="Z1786" s="17" t="s">
        <v>56</v>
      </c>
      <c r="AA1786" s="17"/>
      <c r="AB1786" s="17" t="s">
        <v>57</v>
      </c>
      <c r="AC1786" s="17">
        <v>2004</v>
      </c>
      <c r="AD1786" s="17">
        <v>0</v>
      </c>
      <c r="AE1786" s="17"/>
      <c r="AF1786" s="17"/>
      <c r="AG1786" s="17">
        <v>2001</v>
      </c>
      <c r="AH1786" s="14">
        <f t="shared" si="117"/>
        <v>3</v>
      </c>
      <c r="AI1786" s="17">
        <f t="shared" si="118"/>
        <v>3</v>
      </c>
      <c r="AJ1786" s="17"/>
      <c r="AK1786" s="17" t="s">
        <v>56</v>
      </c>
      <c r="AL1786" s="16" t="s">
        <v>1109</v>
      </c>
      <c r="AM1786" s="17">
        <v>2008</v>
      </c>
      <c r="AN1786" s="15" t="s">
        <v>685</v>
      </c>
      <c r="AO1786" s="15" t="s">
        <v>56</v>
      </c>
      <c r="AP1786" s="15"/>
      <c r="AQ1786" s="15" t="s">
        <v>56</v>
      </c>
      <c r="AR1786" s="15" t="s">
        <v>58</v>
      </c>
      <c r="AS1786" s="15" t="s">
        <v>62</v>
      </c>
      <c r="AT1786" s="12"/>
      <c r="AU1786" s="45"/>
      <c r="AV1786" s="15"/>
      <c r="AW1786" s="12" t="str">
        <f>B1786&amp;C1786&amp;L1786&amp;M1786&amp;O1786&amp;U1786&amp;AL1786&amp;AM1786</f>
        <v>Canary IslandsLa Palma marine reserveunbranched erect algaecover37.5000023125002Hernandez2008</v>
      </c>
    </row>
    <row r="1787" spans="1:49" ht="14.5" x14ac:dyDescent="0.35">
      <c r="A1787" s="12">
        <v>1786</v>
      </c>
      <c r="B1787" s="15" t="s">
        <v>1107</v>
      </c>
      <c r="C1787" s="15" t="s">
        <v>1144</v>
      </c>
      <c r="D1787" s="12" t="s">
        <v>2637</v>
      </c>
      <c r="E1787" s="12" t="s">
        <v>68</v>
      </c>
      <c r="F1787" s="13" t="s">
        <v>50</v>
      </c>
      <c r="G1787" s="13" t="s">
        <v>51</v>
      </c>
      <c r="H1787" s="16" t="s">
        <v>108</v>
      </c>
      <c r="I1787" s="16" t="s">
        <v>53</v>
      </c>
      <c r="J1787" s="17">
        <v>37.19</v>
      </c>
      <c r="K1787" s="17"/>
      <c r="L1787" s="17"/>
      <c r="M1787" s="17" t="s">
        <v>1111</v>
      </c>
      <c r="N1787" s="53" t="s">
        <v>98</v>
      </c>
      <c r="O1787" s="17" t="s">
        <v>101</v>
      </c>
      <c r="P1787" s="17"/>
      <c r="Q1787" s="17"/>
      <c r="R1787" s="17"/>
      <c r="S1787" s="17">
        <v>0.54054100000000005</v>
      </c>
      <c r="T1787" s="17">
        <v>4.3243239999999998</v>
      </c>
      <c r="U1787" s="19">
        <f t="shared" si="120"/>
        <v>7.9999926000062889</v>
      </c>
      <c r="V1787" s="41">
        <f t="shared" si="119"/>
        <v>699.99926000062885</v>
      </c>
      <c r="W1787" s="14"/>
      <c r="X1787" s="17" t="s">
        <v>56</v>
      </c>
      <c r="Z1787" s="17" t="s">
        <v>56</v>
      </c>
      <c r="AA1787" s="17"/>
      <c r="AB1787" s="17" t="s">
        <v>57</v>
      </c>
      <c r="AC1787" s="17">
        <v>2004</v>
      </c>
      <c r="AD1787" s="17">
        <v>0</v>
      </c>
      <c r="AE1787" s="17"/>
      <c r="AF1787" s="17"/>
      <c r="AG1787" s="17">
        <v>2001</v>
      </c>
      <c r="AH1787" s="14">
        <f t="shared" si="117"/>
        <v>3</v>
      </c>
      <c r="AI1787" s="17">
        <f t="shared" si="118"/>
        <v>3</v>
      </c>
      <c r="AJ1787" s="17"/>
      <c r="AK1787" s="17" t="s">
        <v>56</v>
      </c>
      <c r="AL1787" s="16" t="s">
        <v>1109</v>
      </c>
      <c r="AM1787" s="17">
        <v>2008</v>
      </c>
      <c r="AN1787" s="15" t="s">
        <v>685</v>
      </c>
      <c r="AO1787" s="15" t="s">
        <v>56</v>
      </c>
      <c r="AP1787" s="15"/>
      <c r="AQ1787" s="15" t="s">
        <v>56</v>
      </c>
      <c r="AR1787" s="15" t="s">
        <v>58</v>
      </c>
      <c r="AS1787" s="15" t="s">
        <v>62</v>
      </c>
      <c r="AT1787" s="12"/>
      <c r="AU1787" s="45"/>
      <c r="AV1787" s="15"/>
      <c r="AW1787" s="12" t="str">
        <f>B1787&amp;C1787&amp;L1787&amp;M1787&amp;O1787&amp;U1787&amp;AL1787&amp;AM1787</f>
        <v>Canary IslandsLa Palma marine reservebranched erect algaecover7.99999260000629Hernandez2008</v>
      </c>
    </row>
    <row r="1788" spans="1:49" ht="14.5" x14ac:dyDescent="0.35">
      <c r="A1788" s="12">
        <v>1787</v>
      </c>
      <c r="B1788" s="15" t="s">
        <v>1107</v>
      </c>
      <c r="C1788" s="15" t="s">
        <v>1144</v>
      </c>
      <c r="D1788" s="12" t="s">
        <v>2637</v>
      </c>
      <c r="E1788" s="12" t="s">
        <v>68</v>
      </c>
      <c r="F1788" s="13" t="s">
        <v>50</v>
      </c>
      <c r="G1788" s="13" t="s">
        <v>51</v>
      </c>
      <c r="H1788" s="16" t="s">
        <v>108</v>
      </c>
      <c r="I1788" s="16" t="s">
        <v>53</v>
      </c>
      <c r="J1788" s="17">
        <v>37.19</v>
      </c>
      <c r="K1788" s="17"/>
      <c r="L1788" s="17"/>
      <c r="M1788" s="17" t="s">
        <v>1112</v>
      </c>
      <c r="N1788" s="53" t="s">
        <v>98</v>
      </c>
      <c r="O1788" s="17" t="s">
        <v>101</v>
      </c>
      <c r="P1788" s="17"/>
      <c r="Q1788" s="17"/>
      <c r="R1788" s="17"/>
      <c r="S1788" s="17">
        <v>0</v>
      </c>
      <c r="T1788" s="17">
        <v>2.1621619999999999</v>
      </c>
      <c r="U1788" s="19" t="str">
        <f t="shared" si="120"/>
        <v>N/A</v>
      </c>
      <c r="V1788" s="41" t="str">
        <f t="shared" si="119"/>
        <v>N/A</v>
      </c>
      <c r="W1788" s="14"/>
      <c r="X1788" s="17" t="s">
        <v>56</v>
      </c>
      <c r="Z1788" s="17" t="s">
        <v>56</v>
      </c>
      <c r="AA1788" s="17"/>
      <c r="AB1788" s="17" t="s">
        <v>57</v>
      </c>
      <c r="AC1788" s="17">
        <v>2004</v>
      </c>
      <c r="AD1788" s="17">
        <v>0</v>
      </c>
      <c r="AE1788" s="17"/>
      <c r="AF1788" s="17"/>
      <c r="AG1788" s="17">
        <v>2001</v>
      </c>
      <c r="AH1788" s="14">
        <f t="shared" si="117"/>
        <v>3</v>
      </c>
      <c r="AI1788" s="17">
        <f t="shared" si="118"/>
        <v>3</v>
      </c>
      <c r="AJ1788" s="17"/>
      <c r="AK1788" s="17" t="s">
        <v>56</v>
      </c>
      <c r="AL1788" s="16" t="s">
        <v>1109</v>
      </c>
      <c r="AM1788" s="17">
        <v>2008</v>
      </c>
      <c r="AN1788" s="15" t="s">
        <v>685</v>
      </c>
      <c r="AO1788" s="15" t="s">
        <v>56</v>
      </c>
      <c r="AP1788" s="15"/>
      <c r="AQ1788" s="15" t="s">
        <v>56</v>
      </c>
      <c r="AR1788" s="15" t="s">
        <v>58</v>
      </c>
      <c r="AS1788" s="15" t="s">
        <v>62</v>
      </c>
      <c r="AT1788" s="12"/>
      <c r="AU1788" s="45"/>
      <c r="AV1788" s="15"/>
      <c r="AW1788" s="12" t="str">
        <f>B1788&amp;C1788&amp;L1788&amp;M1788&amp;O1788&amp;U1788&amp;AL1788&amp;AM1788</f>
        <v>Canary IslandsLa Palma marine reservecalcified algaecoverN/AHernandez2008</v>
      </c>
    </row>
    <row r="1789" spans="1:49" ht="14.5" x14ac:dyDescent="0.35">
      <c r="A1789" s="12">
        <v>1788</v>
      </c>
      <c r="B1789" s="15" t="s">
        <v>1107</v>
      </c>
      <c r="C1789" s="15" t="s">
        <v>1144</v>
      </c>
      <c r="D1789" s="12" t="s">
        <v>2637</v>
      </c>
      <c r="E1789" s="12" t="s">
        <v>68</v>
      </c>
      <c r="F1789" s="13" t="s">
        <v>50</v>
      </c>
      <c r="G1789" s="13" t="s">
        <v>51</v>
      </c>
      <c r="H1789" s="16" t="s">
        <v>108</v>
      </c>
      <c r="I1789" s="16" t="s">
        <v>53</v>
      </c>
      <c r="J1789" s="17">
        <v>37.19</v>
      </c>
      <c r="K1789" s="17"/>
      <c r="L1789" s="17"/>
      <c r="M1789" s="17" t="s">
        <v>1113</v>
      </c>
      <c r="N1789" s="53" t="s">
        <v>98</v>
      </c>
      <c r="O1789" s="17" t="s">
        <v>101</v>
      </c>
      <c r="P1789" s="17"/>
      <c r="Q1789" s="17"/>
      <c r="R1789" s="17"/>
      <c r="S1789" s="17">
        <v>38.37838</v>
      </c>
      <c r="T1789" s="17">
        <v>14.59459</v>
      </c>
      <c r="U1789" s="19">
        <f t="shared" si="120"/>
        <v>0.3802815543543005</v>
      </c>
      <c r="V1789" s="41">
        <f t="shared" si="119"/>
        <v>-61.971844564569942</v>
      </c>
      <c r="W1789" s="14"/>
      <c r="X1789" s="17" t="s">
        <v>56</v>
      </c>
      <c r="Z1789" s="17" t="s">
        <v>56</v>
      </c>
      <c r="AA1789" s="17"/>
      <c r="AB1789" s="17" t="s">
        <v>57</v>
      </c>
      <c r="AC1789" s="17">
        <v>2004</v>
      </c>
      <c r="AD1789" s="17">
        <v>0</v>
      </c>
      <c r="AE1789" s="17"/>
      <c r="AF1789" s="17"/>
      <c r="AG1789" s="17">
        <v>2001</v>
      </c>
      <c r="AH1789" s="14">
        <f t="shared" si="117"/>
        <v>3</v>
      </c>
      <c r="AI1789" s="17">
        <f t="shared" si="118"/>
        <v>3</v>
      </c>
      <c r="AJ1789" s="17"/>
      <c r="AK1789" s="17" t="s">
        <v>56</v>
      </c>
      <c r="AL1789" s="16" t="s">
        <v>1109</v>
      </c>
      <c r="AM1789" s="17">
        <v>2008</v>
      </c>
      <c r="AN1789" s="15" t="s">
        <v>685</v>
      </c>
      <c r="AO1789" s="15" t="s">
        <v>56</v>
      </c>
      <c r="AP1789" s="15"/>
      <c r="AQ1789" s="15" t="s">
        <v>56</v>
      </c>
      <c r="AR1789" s="15" t="s">
        <v>58</v>
      </c>
      <c r="AS1789" s="15" t="s">
        <v>62</v>
      </c>
      <c r="AT1789" s="12"/>
      <c r="AU1789" s="45"/>
      <c r="AV1789" s="15"/>
      <c r="AW1789" s="12" t="str">
        <f>B1789&amp;C1789&amp;L1789&amp;M1789&amp;O1789&amp;U1789&amp;AL1789&amp;AM1789</f>
        <v>Canary IslandsLa Palma marine reservecrustose macroalgaecover0.3802815543543Hernandez2008</v>
      </c>
    </row>
    <row r="1790" spans="1:49" ht="14.5" x14ac:dyDescent="0.35">
      <c r="A1790" s="12">
        <v>1789</v>
      </c>
      <c r="B1790" s="15" t="s">
        <v>536</v>
      </c>
      <c r="C1790" s="15" t="s">
        <v>592</v>
      </c>
      <c r="D1790" s="15" t="s">
        <v>592</v>
      </c>
      <c r="E1790" s="15" t="s">
        <v>68</v>
      </c>
      <c r="F1790" s="13" t="s">
        <v>480</v>
      </c>
      <c r="G1790" s="13" t="s">
        <v>51</v>
      </c>
      <c r="H1790" s="16" t="s">
        <v>481</v>
      </c>
      <c r="I1790" s="16" t="s">
        <v>53</v>
      </c>
      <c r="J1790" s="17">
        <v>6.5</v>
      </c>
      <c r="K1790" s="17"/>
      <c r="L1790" s="17"/>
      <c r="M1790" s="17" t="s">
        <v>69</v>
      </c>
      <c r="N1790" s="17" t="s">
        <v>1070</v>
      </c>
      <c r="O1790" s="17" t="s">
        <v>70</v>
      </c>
      <c r="P1790" s="17"/>
      <c r="Q1790" s="17"/>
      <c r="R1790" s="17"/>
      <c r="S1790" s="17">
        <v>32</v>
      </c>
      <c r="T1790" s="17">
        <v>130.4</v>
      </c>
      <c r="U1790" s="20">
        <f t="shared" si="120"/>
        <v>4.0750000000000002</v>
      </c>
      <c r="V1790" s="41">
        <f t="shared" si="119"/>
        <v>307.5</v>
      </c>
      <c r="W1790" s="17"/>
      <c r="X1790" s="17" t="s">
        <v>56</v>
      </c>
      <c r="Z1790" s="17" t="s">
        <v>56</v>
      </c>
      <c r="AA1790" s="17"/>
      <c r="AB1790" s="17" t="s">
        <v>57</v>
      </c>
      <c r="AC1790" s="17">
        <v>2004</v>
      </c>
      <c r="AD1790" s="17">
        <v>0</v>
      </c>
      <c r="AE1790" s="17"/>
      <c r="AF1790" s="17"/>
      <c r="AG1790" s="17">
        <v>1974</v>
      </c>
      <c r="AH1790" s="14">
        <f t="shared" si="117"/>
        <v>30</v>
      </c>
      <c r="AI1790" s="17">
        <f t="shared" si="118"/>
        <v>30</v>
      </c>
      <c r="AJ1790" s="17"/>
      <c r="AK1790" s="17" t="s">
        <v>56</v>
      </c>
      <c r="AL1790" s="16" t="s">
        <v>490</v>
      </c>
      <c r="AM1790" s="17">
        <v>2008</v>
      </c>
      <c r="AN1790" s="15" t="s">
        <v>263</v>
      </c>
      <c r="AO1790" s="15" t="s">
        <v>56</v>
      </c>
      <c r="AP1790" s="15"/>
      <c r="AQ1790" s="15" t="s">
        <v>56</v>
      </c>
      <c r="AR1790" s="15" t="s">
        <v>58</v>
      </c>
      <c r="AS1790" s="15" t="s">
        <v>62</v>
      </c>
      <c r="AT1790" s="15"/>
      <c r="AU1790" s="45" t="s">
        <v>491</v>
      </c>
      <c r="AV1790" s="15"/>
      <c r="AW1790" s="12" t="str">
        <f>B1790&amp;C1790&amp;L1790&amp;M1790&amp;O1790&amp;U1790&amp;AL1790&amp;AM1790</f>
        <v>FranceCerbere–Banyuls Marine Natural Reservefishbiomassden4.075Harmelin-Vivien2008</v>
      </c>
    </row>
    <row r="1791" spans="1:49" ht="14.5" x14ac:dyDescent="0.35">
      <c r="A1791" s="12">
        <v>1790</v>
      </c>
      <c r="B1791" s="15" t="s">
        <v>536</v>
      </c>
      <c r="C1791" s="15" t="s">
        <v>579</v>
      </c>
      <c r="D1791" s="15" t="s">
        <v>579</v>
      </c>
      <c r="E1791" s="12" t="s">
        <v>68</v>
      </c>
      <c r="F1791" s="13" t="s">
        <v>480</v>
      </c>
      <c r="G1791" s="13" t="s">
        <v>51</v>
      </c>
      <c r="H1791" s="16" t="s">
        <v>481</v>
      </c>
      <c r="I1791" s="16" t="s">
        <v>53</v>
      </c>
      <c r="J1791" s="17">
        <v>0.85</v>
      </c>
      <c r="K1791" s="17"/>
      <c r="L1791" s="17"/>
      <c r="M1791" s="17" t="s">
        <v>69</v>
      </c>
      <c r="N1791" s="17" t="s">
        <v>1070</v>
      </c>
      <c r="O1791" s="17" t="s">
        <v>70</v>
      </c>
      <c r="P1791" s="17"/>
      <c r="Q1791" s="17"/>
      <c r="R1791" s="17"/>
      <c r="S1791" s="17">
        <v>23.2</v>
      </c>
      <c r="T1791" s="17">
        <v>225.6</v>
      </c>
      <c r="U1791" s="19">
        <f t="shared" si="120"/>
        <v>9.7241379310344822</v>
      </c>
      <c r="V1791" s="41">
        <f t="shared" si="119"/>
        <v>872.41379310344826</v>
      </c>
      <c r="W1791" s="14"/>
      <c r="X1791" s="17" t="s">
        <v>56</v>
      </c>
      <c r="Z1791" s="17" t="s">
        <v>56</v>
      </c>
      <c r="AA1791" s="17"/>
      <c r="AB1791" s="17" t="s">
        <v>57</v>
      </c>
      <c r="AC1791" s="17">
        <v>2003</v>
      </c>
      <c r="AD1791" s="17">
        <v>0</v>
      </c>
      <c r="AE1791" s="17"/>
      <c r="AF1791" s="17"/>
      <c r="AG1791" s="17">
        <v>1983</v>
      </c>
      <c r="AH1791" s="14">
        <f t="shared" si="117"/>
        <v>20</v>
      </c>
      <c r="AI1791" s="17">
        <f t="shared" si="118"/>
        <v>20</v>
      </c>
      <c r="AJ1791" s="17"/>
      <c r="AK1791" s="17" t="s">
        <v>56</v>
      </c>
      <c r="AL1791" s="16" t="s">
        <v>490</v>
      </c>
      <c r="AM1791" s="17">
        <v>2008</v>
      </c>
      <c r="AN1791" s="15" t="s">
        <v>263</v>
      </c>
      <c r="AO1791" s="15" t="s">
        <v>56</v>
      </c>
      <c r="AP1791" s="15"/>
      <c r="AQ1791" s="15" t="s">
        <v>56</v>
      </c>
      <c r="AR1791" s="15" t="s">
        <v>58</v>
      </c>
      <c r="AS1791" s="15" t="s">
        <v>62</v>
      </c>
      <c r="AT1791" s="12"/>
      <c r="AU1791" s="45" t="s">
        <v>491</v>
      </c>
      <c r="AV1791" s="15"/>
      <c r="AW1791" s="12" t="str">
        <f>B1791&amp;C1791&amp;L1791&amp;M1791&amp;O1791&amp;U1791&amp;AL1791&amp;AM1791</f>
        <v>FranceCarry-le-Rouet Natural Parkfishbiomassden9.72413793103448Harmelin-Vivien2008</v>
      </c>
    </row>
    <row r="1792" spans="1:49" ht="14.5" x14ac:dyDescent="0.35">
      <c r="A1792" s="12">
        <v>1791</v>
      </c>
      <c r="B1792" s="15" t="s">
        <v>477</v>
      </c>
      <c r="C1792" s="15" t="s">
        <v>478</v>
      </c>
      <c r="D1792" s="12" t="s">
        <v>478</v>
      </c>
      <c r="E1792" s="12" t="s">
        <v>68</v>
      </c>
      <c r="F1792" s="13" t="s">
        <v>480</v>
      </c>
      <c r="G1792" s="13" t="s">
        <v>51</v>
      </c>
      <c r="H1792" s="16" t="s">
        <v>481</v>
      </c>
      <c r="I1792" s="16" t="s">
        <v>53</v>
      </c>
      <c r="J1792" s="17">
        <v>19</v>
      </c>
      <c r="K1792" s="17"/>
      <c r="L1792" s="17"/>
      <c r="M1792" s="17" t="s">
        <v>69</v>
      </c>
      <c r="N1792" s="17" t="s">
        <v>1070</v>
      </c>
      <c r="O1792" s="17" t="s">
        <v>70</v>
      </c>
      <c r="P1792" s="17"/>
      <c r="Q1792" s="17"/>
      <c r="R1792" s="17"/>
      <c r="S1792" s="17">
        <v>21.6</v>
      </c>
      <c r="T1792" s="17">
        <v>108.8</v>
      </c>
      <c r="U1792" s="19">
        <f t="shared" si="120"/>
        <v>5.0370370370370363</v>
      </c>
      <c r="V1792" s="41">
        <f t="shared" si="119"/>
        <v>403.70370370370364</v>
      </c>
      <c r="W1792" s="14"/>
      <c r="X1792" s="17" t="s">
        <v>56</v>
      </c>
      <c r="Z1792" s="17" t="s">
        <v>56</v>
      </c>
      <c r="AA1792" s="17"/>
      <c r="AB1792" s="17" t="s">
        <v>57</v>
      </c>
      <c r="AC1792" s="17">
        <v>2003</v>
      </c>
      <c r="AD1792" s="17">
        <v>0</v>
      </c>
      <c r="AE1792" s="17"/>
      <c r="AF1792" s="17"/>
      <c r="AG1792" s="17">
        <v>1995</v>
      </c>
      <c r="AH1792" s="14">
        <f t="shared" ref="AH1792:AH1855" si="121">IF(OR(AG1792="NA",AC1792="NA"),"NA",IF(OR(AC1792="",AG1792=""), "", AC1792-AG1792))</f>
        <v>8</v>
      </c>
      <c r="AI1792" s="17">
        <f t="shared" ref="AI1792:AI1855" si="122">IF(AH1792="NA", "NA",IF(OR(AH1792="",AND(AD1792="",AE1792="")), "",AH1792+AD1792+AE1792/12))</f>
        <v>8</v>
      </c>
      <c r="AJ1792" s="17"/>
      <c r="AK1792" s="17" t="s">
        <v>56</v>
      </c>
      <c r="AL1792" s="16" t="s">
        <v>490</v>
      </c>
      <c r="AM1792" s="17">
        <v>2008</v>
      </c>
      <c r="AN1792" s="15" t="s">
        <v>263</v>
      </c>
      <c r="AO1792" s="15" t="s">
        <v>56</v>
      </c>
      <c r="AP1792" s="15"/>
      <c r="AQ1792" s="15" t="s">
        <v>56</v>
      </c>
      <c r="AR1792" s="15" t="s">
        <v>58</v>
      </c>
      <c r="AS1792" s="15" t="s">
        <v>62</v>
      </c>
      <c r="AT1792" s="12"/>
      <c r="AU1792" s="45" t="s">
        <v>491</v>
      </c>
      <c r="AV1792" s="15"/>
      <c r="AW1792" s="12" t="str">
        <f>B1792&amp;C1792&amp;L1792&amp;M1792&amp;O1792&amp;U1792&amp;AL1792&amp;AM1792</f>
        <v>SpainCabo de Palos – Islas Hormigas Marine Reservefishbiomassden5.03703703703704Harmelin-Vivien2008</v>
      </c>
    </row>
    <row r="1793" spans="1:49" ht="14.5" x14ac:dyDescent="0.35">
      <c r="A1793" s="12">
        <v>1792</v>
      </c>
      <c r="B1793" s="15" t="s">
        <v>477</v>
      </c>
      <c r="C1793" s="15" t="s">
        <v>521</v>
      </c>
      <c r="D1793" s="12" t="s">
        <v>522</v>
      </c>
      <c r="E1793" s="12" t="s">
        <v>68</v>
      </c>
      <c r="F1793" s="13" t="s">
        <v>480</v>
      </c>
      <c r="G1793" s="13" t="s">
        <v>51</v>
      </c>
      <c r="H1793" s="16" t="s">
        <v>481</v>
      </c>
      <c r="I1793" s="16" t="s">
        <v>53</v>
      </c>
      <c r="J1793" s="17">
        <v>3.6</v>
      </c>
      <c r="K1793" s="17"/>
      <c r="L1793" s="17"/>
      <c r="M1793" s="17" t="s">
        <v>69</v>
      </c>
      <c r="N1793" s="17" t="s">
        <v>1070</v>
      </c>
      <c r="O1793" s="17" t="s">
        <v>70</v>
      </c>
      <c r="P1793" s="17"/>
      <c r="Q1793" s="17"/>
      <c r="R1793" s="17"/>
      <c r="S1793" s="17">
        <v>19.2</v>
      </c>
      <c r="T1793" s="17">
        <v>130.4</v>
      </c>
      <c r="U1793" s="19">
        <f t="shared" si="120"/>
        <v>6.791666666666667</v>
      </c>
      <c r="V1793" s="41">
        <f t="shared" si="119"/>
        <v>579.16666666666674</v>
      </c>
      <c r="W1793" s="14"/>
      <c r="X1793" s="17" t="s">
        <v>56</v>
      </c>
      <c r="Z1793" s="17" t="s">
        <v>56</v>
      </c>
      <c r="AA1793" s="17"/>
      <c r="AB1793" s="17" t="s">
        <v>57</v>
      </c>
      <c r="AC1793" s="17">
        <v>2004</v>
      </c>
      <c r="AD1793" s="17">
        <v>0</v>
      </c>
      <c r="AE1793" s="17"/>
      <c r="AF1793" s="17"/>
      <c r="AG1793" s="17">
        <v>1991</v>
      </c>
      <c r="AH1793" s="14">
        <f t="shared" si="121"/>
        <v>13</v>
      </c>
      <c r="AI1793" s="17">
        <f t="shared" si="122"/>
        <v>13</v>
      </c>
      <c r="AJ1793" s="17"/>
      <c r="AK1793" s="17" t="s">
        <v>56</v>
      </c>
      <c r="AL1793" s="16" t="s">
        <v>490</v>
      </c>
      <c r="AM1793" s="17">
        <v>2008</v>
      </c>
      <c r="AN1793" s="15" t="s">
        <v>263</v>
      </c>
      <c r="AO1793" s="15" t="s">
        <v>56</v>
      </c>
      <c r="AP1793" s="15"/>
      <c r="AQ1793" s="15" t="s">
        <v>56</v>
      </c>
      <c r="AR1793" s="15" t="s">
        <v>58</v>
      </c>
      <c r="AS1793" s="15" t="s">
        <v>62</v>
      </c>
      <c r="AT1793" s="12"/>
      <c r="AU1793" s="45" t="s">
        <v>2669</v>
      </c>
      <c r="AV1793" s="15"/>
      <c r="AW1793" s="12" t="str">
        <f>B1793&amp;C1793&amp;L1793&amp;M1793&amp;O1793&amp;U1793&amp;AL1793&amp;AM1793</f>
        <v>SpainCabrera Archipelago National Parkfishbiomassden6.79166666666667Harmelin-Vivien2008</v>
      </c>
    </row>
    <row r="1794" spans="1:49" ht="14.5" x14ac:dyDescent="0.35">
      <c r="A1794" s="12">
        <v>1793</v>
      </c>
      <c r="B1794" s="15" t="s">
        <v>477</v>
      </c>
      <c r="C1794" s="43" t="s">
        <v>1363</v>
      </c>
      <c r="D1794" s="44" t="s">
        <v>1375</v>
      </c>
      <c r="E1794" s="12" t="s">
        <v>68</v>
      </c>
      <c r="F1794" s="13" t="s">
        <v>480</v>
      </c>
      <c r="G1794" s="13" t="s">
        <v>51</v>
      </c>
      <c r="H1794" s="16" t="s">
        <v>481</v>
      </c>
      <c r="I1794" s="16" t="s">
        <v>53</v>
      </c>
      <c r="J1794" s="17">
        <v>0.94</v>
      </c>
      <c r="K1794" s="17"/>
      <c r="L1794" s="17"/>
      <c r="M1794" s="17" t="s">
        <v>69</v>
      </c>
      <c r="N1794" s="17" t="s">
        <v>1070</v>
      </c>
      <c r="O1794" s="17" t="s">
        <v>70</v>
      </c>
      <c r="P1794" s="17"/>
      <c r="Q1794" s="17"/>
      <c r="R1794" s="17"/>
      <c r="S1794" s="17">
        <v>21.6</v>
      </c>
      <c r="T1794" s="17">
        <v>140</v>
      </c>
      <c r="U1794" s="19">
        <f t="shared" si="120"/>
        <v>6.481481481481481</v>
      </c>
      <c r="V1794" s="41">
        <f t="shared" ref="V1794:V1857" si="123">IFERROR(IF(U1794 = "", "",(U1794-1)*100),"N/A")</f>
        <v>548.14814814814804</v>
      </c>
      <c r="W1794" s="14"/>
      <c r="X1794" s="17" t="s">
        <v>56</v>
      </c>
      <c r="Z1794" s="17" t="s">
        <v>56</v>
      </c>
      <c r="AA1794" s="17"/>
      <c r="AB1794" s="17" t="s">
        <v>57</v>
      </c>
      <c r="AC1794" s="17">
        <v>2004</v>
      </c>
      <c r="AD1794" s="17">
        <v>0</v>
      </c>
      <c r="AE1794" s="17"/>
      <c r="AF1794" s="17"/>
      <c r="AG1794" s="17">
        <v>1983</v>
      </c>
      <c r="AH1794" s="14">
        <f t="shared" si="121"/>
        <v>21</v>
      </c>
      <c r="AI1794" s="17">
        <f t="shared" si="122"/>
        <v>21</v>
      </c>
      <c r="AJ1794" s="17"/>
      <c r="AK1794" s="17" t="s">
        <v>56</v>
      </c>
      <c r="AL1794" s="16" t="s">
        <v>490</v>
      </c>
      <c r="AM1794" s="17">
        <v>2008</v>
      </c>
      <c r="AN1794" s="15" t="s">
        <v>263</v>
      </c>
      <c r="AO1794" s="15" t="s">
        <v>56</v>
      </c>
      <c r="AP1794" s="15"/>
      <c r="AQ1794" s="15" t="s">
        <v>56</v>
      </c>
      <c r="AR1794" s="15" t="s">
        <v>58</v>
      </c>
      <c r="AS1794" s="15" t="s">
        <v>62</v>
      </c>
      <c r="AT1794" s="12"/>
      <c r="AU1794" s="45" t="s">
        <v>491</v>
      </c>
      <c r="AV1794" s="15"/>
      <c r="AW1794" s="12" t="str">
        <f>B1794&amp;C1794&amp;L1794&amp;M1794&amp;O1794&amp;U1794&amp;AL1794&amp;AM1794</f>
        <v>SpainMedes Islands Marine Reservefishbiomassden6.48148148148148Harmelin-Vivien2008</v>
      </c>
    </row>
    <row r="1795" spans="1:49" ht="14.5" x14ac:dyDescent="0.35">
      <c r="A1795" s="12">
        <v>1794</v>
      </c>
      <c r="B1795" s="15" t="s">
        <v>477</v>
      </c>
      <c r="C1795" s="15" t="s">
        <v>2681</v>
      </c>
      <c r="D1795" s="15" t="s">
        <v>1900</v>
      </c>
      <c r="E1795" s="12" t="s">
        <v>68</v>
      </c>
      <c r="F1795" s="13" t="s">
        <v>480</v>
      </c>
      <c r="G1795" s="13" t="s">
        <v>51</v>
      </c>
      <c r="H1795" s="16" t="s">
        <v>481</v>
      </c>
      <c r="I1795" s="16" t="s">
        <v>53</v>
      </c>
      <c r="J1795" s="17">
        <v>14</v>
      </c>
      <c r="K1795" s="17"/>
      <c r="L1795" s="17"/>
      <c r="M1795" s="17" t="s">
        <v>69</v>
      </c>
      <c r="N1795" s="17" t="s">
        <v>1070</v>
      </c>
      <c r="O1795" s="17" t="s">
        <v>70</v>
      </c>
      <c r="P1795" s="17"/>
      <c r="Q1795" s="17"/>
      <c r="R1795" s="17"/>
      <c r="S1795" s="17">
        <v>42.4</v>
      </c>
      <c r="T1795" s="17">
        <v>75.2</v>
      </c>
      <c r="U1795" s="19">
        <f t="shared" si="120"/>
        <v>1.7735849056603774</v>
      </c>
      <c r="V1795" s="41">
        <f t="shared" si="123"/>
        <v>77.358490566037744</v>
      </c>
      <c r="W1795" s="14"/>
      <c r="X1795" s="17" t="s">
        <v>56</v>
      </c>
      <c r="Y1795" s="12"/>
      <c r="Z1795" s="17" t="s">
        <v>56</v>
      </c>
      <c r="AA1795" s="17"/>
      <c r="AB1795" s="17" t="s">
        <v>57</v>
      </c>
      <c r="AC1795" s="17">
        <v>2003</v>
      </c>
      <c r="AD1795" s="17">
        <v>0</v>
      </c>
      <c r="AE1795" s="17"/>
      <c r="AF1795" s="17"/>
      <c r="AG1795" s="17">
        <v>1986</v>
      </c>
      <c r="AH1795" s="14">
        <f t="shared" si="121"/>
        <v>17</v>
      </c>
      <c r="AI1795" s="17">
        <f t="shared" si="122"/>
        <v>17</v>
      </c>
      <c r="AJ1795" s="17"/>
      <c r="AK1795" s="17" t="s">
        <v>56</v>
      </c>
      <c r="AL1795" s="16" t="s">
        <v>490</v>
      </c>
      <c r="AM1795" s="17">
        <v>2008</v>
      </c>
      <c r="AN1795" s="15" t="s">
        <v>263</v>
      </c>
      <c r="AO1795" s="15" t="s">
        <v>56</v>
      </c>
      <c r="AP1795" s="15"/>
      <c r="AQ1795" s="15" t="s">
        <v>56</v>
      </c>
      <c r="AR1795" s="15" t="s">
        <v>58</v>
      </c>
      <c r="AS1795" s="15" t="s">
        <v>62</v>
      </c>
      <c r="AT1795" s="12"/>
      <c r="AU1795" s="45" t="s">
        <v>2685</v>
      </c>
      <c r="AV1795" s="15"/>
      <c r="AW1795" s="12" t="str">
        <f>B1795&amp;C1795&amp;L1795&amp;M1795&amp;O1795&amp;U1795&amp;AL1795&amp;AM1795</f>
        <v>SpainTabarca Island Marine Reserve No-take zonefishbiomassden1.77358490566038Harmelin-Vivien2008</v>
      </c>
    </row>
    <row r="1796" spans="1:49" ht="14.5" x14ac:dyDescent="0.35">
      <c r="A1796" s="12">
        <v>1795</v>
      </c>
      <c r="B1796" s="12" t="s">
        <v>536</v>
      </c>
      <c r="C1796" s="12" t="s">
        <v>592</v>
      </c>
      <c r="D1796" s="12" t="s">
        <v>592</v>
      </c>
      <c r="E1796" s="12" t="s">
        <v>68</v>
      </c>
      <c r="F1796" s="13" t="s">
        <v>480</v>
      </c>
      <c r="G1796" s="13" t="s">
        <v>51</v>
      </c>
      <c r="H1796" s="13" t="s">
        <v>481</v>
      </c>
      <c r="I1796" s="13" t="s">
        <v>53</v>
      </c>
      <c r="J1796" s="14">
        <v>6.5</v>
      </c>
      <c r="K1796" s="17"/>
      <c r="L1796" s="14"/>
      <c r="M1796" s="14" t="s">
        <v>69</v>
      </c>
      <c r="N1796" s="17" t="s">
        <v>1070</v>
      </c>
      <c r="O1796" s="17" t="s">
        <v>55</v>
      </c>
      <c r="P1796" s="14"/>
      <c r="Q1796" s="14"/>
      <c r="R1796" s="14"/>
      <c r="S1796" s="14">
        <v>10.8</v>
      </c>
      <c r="T1796" s="14">
        <v>11.2</v>
      </c>
      <c r="U1796" s="19">
        <f t="shared" si="120"/>
        <v>1.037037037037037</v>
      </c>
      <c r="V1796" s="41">
        <f t="shared" si="123"/>
        <v>3.7037037037036979</v>
      </c>
      <c r="W1796" s="14"/>
      <c r="X1796" s="14" t="s">
        <v>56</v>
      </c>
      <c r="Z1796" s="14" t="s">
        <v>56</v>
      </c>
      <c r="AA1796" s="14"/>
      <c r="AB1796" s="14" t="s">
        <v>57</v>
      </c>
      <c r="AC1796" s="14">
        <v>2004</v>
      </c>
      <c r="AD1796" s="14">
        <v>0</v>
      </c>
      <c r="AE1796" s="14"/>
      <c r="AF1796" s="14"/>
      <c r="AG1796" s="14">
        <v>1974</v>
      </c>
      <c r="AH1796" s="14">
        <f t="shared" si="121"/>
        <v>30</v>
      </c>
      <c r="AI1796" s="17">
        <f t="shared" si="122"/>
        <v>30</v>
      </c>
      <c r="AJ1796" s="14"/>
      <c r="AK1796" s="14" t="s">
        <v>56</v>
      </c>
      <c r="AL1796" s="13" t="s">
        <v>490</v>
      </c>
      <c r="AM1796" s="14">
        <v>2008</v>
      </c>
      <c r="AN1796" s="12" t="s">
        <v>263</v>
      </c>
      <c r="AO1796" s="12" t="s">
        <v>56</v>
      </c>
      <c r="AP1796" s="12"/>
      <c r="AQ1796" s="12" t="s">
        <v>56</v>
      </c>
      <c r="AR1796" s="12" t="s">
        <v>58</v>
      </c>
      <c r="AS1796" s="12" t="s">
        <v>62</v>
      </c>
      <c r="AT1796" s="12"/>
      <c r="AU1796" s="45" t="s">
        <v>491</v>
      </c>
      <c r="AV1796" s="15"/>
      <c r="AW1796" s="12" t="str">
        <f>B1796&amp;C1796&amp;L1796&amp;M1796&amp;O1796&amp;U1796&amp;AL1796&amp;AM1796</f>
        <v>FranceCerbere–Banyuls Marine Natural Reservefishrichness1.03703703703704Harmelin-Vivien2008</v>
      </c>
    </row>
    <row r="1797" spans="1:49" ht="14.5" x14ac:dyDescent="0.35">
      <c r="A1797" s="12">
        <v>1796</v>
      </c>
      <c r="B1797" s="12" t="s">
        <v>536</v>
      </c>
      <c r="C1797" s="12" t="s">
        <v>579</v>
      </c>
      <c r="D1797" s="12" t="s">
        <v>579</v>
      </c>
      <c r="E1797" s="12" t="s">
        <v>68</v>
      </c>
      <c r="F1797" s="13" t="s">
        <v>480</v>
      </c>
      <c r="G1797" s="13" t="s">
        <v>51</v>
      </c>
      <c r="H1797" s="13" t="s">
        <v>481</v>
      </c>
      <c r="I1797" s="13" t="s">
        <v>53</v>
      </c>
      <c r="J1797" s="14">
        <v>0.85</v>
      </c>
      <c r="K1797" s="14"/>
      <c r="L1797" s="14"/>
      <c r="M1797" s="14" t="s">
        <v>69</v>
      </c>
      <c r="N1797" s="17" t="s">
        <v>1070</v>
      </c>
      <c r="O1797" s="17" t="s">
        <v>55</v>
      </c>
      <c r="P1797" s="14"/>
      <c r="Q1797" s="14"/>
      <c r="R1797" s="14"/>
      <c r="S1797" s="14">
        <v>9.8000000000000007</v>
      </c>
      <c r="T1797" s="14">
        <v>12.9</v>
      </c>
      <c r="U1797" s="19">
        <f t="shared" si="120"/>
        <v>1.3163265306122449</v>
      </c>
      <c r="V1797" s="41">
        <f t="shared" si="123"/>
        <v>31.632653061224492</v>
      </c>
      <c r="W1797" s="14"/>
      <c r="X1797" s="14" t="s">
        <v>56</v>
      </c>
      <c r="Z1797" s="14" t="s">
        <v>56</v>
      </c>
      <c r="AA1797" s="14"/>
      <c r="AB1797" s="14" t="s">
        <v>57</v>
      </c>
      <c r="AC1797" s="14">
        <v>2003</v>
      </c>
      <c r="AD1797" s="14">
        <v>0</v>
      </c>
      <c r="AE1797" s="14"/>
      <c r="AF1797" s="14"/>
      <c r="AG1797" s="14">
        <v>1983</v>
      </c>
      <c r="AH1797" s="14">
        <f t="shared" si="121"/>
        <v>20</v>
      </c>
      <c r="AI1797" s="17">
        <f t="shared" si="122"/>
        <v>20</v>
      </c>
      <c r="AJ1797" s="14"/>
      <c r="AK1797" s="14" t="s">
        <v>56</v>
      </c>
      <c r="AL1797" s="13" t="s">
        <v>490</v>
      </c>
      <c r="AM1797" s="14">
        <v>2008</v>
      </c>
      <c r="AN1797" s="12" t="s">
        <v>263</v>
      </c>
      <c r="AO1797" s="12" t="s">
        <v>56</v>
      </c>
      <c r="AP1797" s="12"/>
      <c r="AQ1797" s="12" t="s">
        <v>56</v>
      </c>
      <c r="AR1797" s="12" t="s">
        <v>58</v>
      </c>
      <c r="AS1797" s="12" t="s">
        <v>62</v>
      </c>
      <c r="AT1797" s="12"/>
      <c r="AU1797" s="45" t="s">
        <v>491</v>
      </c>
      <c r="AV1797" s="15"/>
      <c r="AW1797" s="12" t="str">
        <f>B1797&amp;C1797&amp;L1797&amp;M1797&amp;O1797&amp;U1797&amp;AL1797&amp;AM1797</f>
        <v>FranceCarry-le-Rouet Natural Parkfishrichness1.31632653061224Harmelin-Vivien2008</v>
      </c>
    </row>
    <row r="1798" spans="1:49" ht="14.5" x14ac:dyDescent="0.35">
      <c r="A1798" s="12">
        <v>1797</v>
      </c>
      <c r="B1798" s="12" t="s">
        <v>477</v>
      </c>
      <c r="C1798" s="12" t="s">
        <v>478</v>
      </c>
      <c r="D1798" s="12" t="s">
        <v>478</v>
      </c>
      <c r="E1798" s="12" t="s">
        <v>68</v>
      </c>
      <c r="F1798" s="13" t="s">
        <v>480</v>
      </c>
      <c r="G1798" s="13" t="s">
        <v>51</v>
      </c>
      <c r="H1798" s="13" t="s">
        <v>481</v>
      </c>
      <c r="I1798" s="13" t="s">
        <v>53</v>
      </c>
      <c r="J1798" s="14">
        <v>19</v>
      </c>
      <c r="K1798" s="14"/>
      <c r="L1798" s="14"/>
      <c r="M1798" s="14" t="s">
        <v>69</v>
      </c>
      <c r="N1798" s="17" t="s">
        <v>1070</v>
      </c>
      <c r="O1798" s="17" t="s">
        <v>55</v>
      </c>
      <c r="P1798" s="14"/>
      <c r="Q1798" s="14"/>
      <c r="R1798" s="14"/>
      <c r="S1798" s="14">
        <v>13.9</v>
      </c>
      <c r="T1798" s="14">
        <v>14.1</v>
      </c>
      <c r="U1798" s="19">
        <f t="shared" si="120"/>
        <v>1.014388489208633</v>
      </c>
      <c r="V1798" s="41">
        <f t="shared" si="123"/>
        <v>1.4388489208633004</v>
      </c>
      <c r="W1798" s="14"/>
      <c r="X1798" s="14" t="s">
        <v>56</v>
      </c>
      <c r="Z1798" s="14" t="s">
        <v>56</v>
      </c>
      <c r="AA1798" s="14"/>
      <c r="AB1798" s="14" t="s">
        <v>57</v>
      </c>
      <c r="AC1798" s="14">
        <v>2003</v>
      </c>
      <c r="AD1798" s="14">
        <v>0</v>
      </c>
      <c r="AE1798" s="14"/>
      <c r="AF1798" s="14"/>
      <c r="AG1798" s="14">
        <v>1995</v>
      </c>
      <c r="AH1798" s="14">
        <f t="shared" si="121"/>
        <v>8</v>
      </c>
      <c r="AI1798" s="17">
        <f t="shared" si="122"/>
        <v>8</v>
      </c>
      <c r="AJ1798" s="14"/>
      <c r="AK1798" s="14" t="s">
        <v>56</v>
      </c>
      <c r="AL1798" s="13" t="s">
        <v>490</v>
      </c>
      <c r="AM1798" s="14">
        <v>2008</v>
      </c>
      <c r="AN1798" s="12" t="s">
        <v>263</v>
      </c>
      <c r="AO1798" s="12" t="s">
        <v>56</v>
      </c>
      <c r="AP1798" s="12"/>
      <c r="AQ1798" s="12" t="s">
        <v>56</v>
      </c>
      <c r="AR1798" s="12" t="s">
        <v>58</v>
      </c>
      <c r="AS1798" s="12" t="s">
        <v>62</v>
      </c>
      <c r="AT1798" s="12"/>
      <c r="AU1798" s="45" t="s">
        <v>491</v>
      </c>
      <c r="AV1798" s="15"/>
      <c r="AW1798" s="12" t="str">
        <f>B1798&amp;C1798&amp;L1798&amp;M1798&amp;O1798&amp;U1798&amp;AL1798&amp;AM1798</f>
        <v>SpainCabo de Palos – Islas Hormigas Marine Reservefishrichness1.01438848920863Harmelin-Vivien2008</v>
      </c>
    </row>
    <row r="1799" spans="1:49" ht="14.5" x14ac:dyDescent="0.35">
      <c r="A1799" s="12">
        <v>1798</v>
      </c>
      <c r="B1799" s="12" t="s">
        <v>477</v>
      </c>
      <c r="C1799" s="12" t="s">
        <v>521</v>
      </c>
      <c r="D1799" s="12" t="s">
        <v>522</v>
      </c>
      <c r="E1799" s="12" t="s">
        <v>68</v>
      </c>
      <c r="F1799" s="13" t="s">
        <v>480</v>
      </c>
      <c r="G1799" s="13" t="s">
        <v>51</v>
      </c>
      <c r="H1799" s="13" t="s">
        <v>481</v>
      </c>
      <c r="I1799" s="13" t="s">
        <v>53</v>
      </c>
      <c r="J1799" s="14">
        <v>3.6</v>
      </c>
      <c r="K1799" s="14"/>
      <c r="L1799" s="14"/>
      <c r="M1799" s="14" t="s">
        <v>69</v>
      </c>
      <c r="N1799" s="17" t="s">
        <v>1070</v>
      </c>
      <c r="O1799" s="17" t="s">
        <v>55</v>
      </c>
      <c r="P1799" s="14"/>
      <c r="Q1799" s="14"/>
      <c r="R1799" s="14"/>
      <c r="S1799" s="14">
        <v>12.4</v>
      </c>
      <c r="T1799" s="14">
        <v>13.1</v>
      </c>
      <c r="U1799" s="19">
        <f t="shared" si="120"/>
        <v>1.0564516129032258</v>
      </c>
      <c r="V1799" s="41">
        <f t="shared" si="123"/>
        <v>5.6451612903225756</v>
      </c>
      <c r="W1799" s="14"/>
      <c r="X1799" s="14" t="s">
        <v>56</v>
      </c>
      <c r="Z1799" s="14" t="s">
        <v>56</v>
      </c>
      <c r="AA1799" s="14"/>
      <c r="AB1799" s="14" t="s">
        <v>57</v>
      </c>
      <c r="AC1799" s="14">
        <v>2004</v>
      </c>
      <c r="AD1799" s="14">
        <v>0</v>
      </c>
      <c r="AE1799" s="14"/>
      <c r="AF1799" s="14"/>
      <c r="AG1799" s="14">
        <v>1991</v>
      </c>
      <c r="AH1799" s="14">
        <f t="shared" si="121"/>
        <v>13</v>
      </c>
      <c r="AI1799" s="17">
        <f t="shared" si="122"/>
        <v>13</v>
      </c>
      <c r="AJ1799" s="14"/>
      <c r="AK1799" s="14" t="s">
        <v>56</v>
      </c>
      <c r="AL1799" s="13" t="s">
        <v>490</v>
      </c>
      <c r="AM1799" s="14">
        <v>2008</v>
      </c>
      <c r="AN1799" s="12" t="s">
        <v>263</v>
      </c>
      <c r="AO1799" s="12" t="s">
        <v>56</v>
      </c>
      <c r="AP1799" s="12"/>
      <c r="AQ1799" s="12" t="s">
        <v>56</v>
      </c>
      <c r="AR1799" s="12" t="s">
        <v>58</v>
      </c>
      <c r="AS1799" s="12" t="s">
        <v>62</v>
      </c>
      <c r="AT1799" s="12"/>
      <c r="AU1799" s="45" t="s">
        <v>2669</v>
      </c>
      <c r="AV1799" s="15"/>
      <c r="AW1799" s="12" t="str">
        <f>B1799&amp;C1799&amp;L1799&amp;M1799&amp;O1799&amp;U1799&amp;AL1799&amp;AM1799</f>
        <v>SpainCabrera Archipelago National Parkfishrichness1.05645161290323Harmelin-Vivien2008</v>
      </c>
    </row>
    <row r="1800" spans="1:49" ht="14.5" x14ac:dyDescent="0.35">
      <c r="A1800" s="12">
        <v>1799</v>
      </c>
      <c r="B1800" s="15" t="s">
        <v>477</v>
      </c>
      <c r="C1800" s="43" t="s">
        <v>1363</v>
      </c>
      <c r="D1800" s="43" t="s">
        <v>1375</v>
      </c>
      <c r="E1800" s="12" t="s">
        <v>68</v>
      </c>
      <c r="F1800" s="13" t="s">
        <v>480</v>
      </c>
      <c r="G1800" s="13" t="s">
        <v>51</v>
      </c>
      <c r="H1800" s="16" t="s">
        <v>481</v>
      </c>
      <c r="I1800" s="16" t="s">
        <v>53</v>
      </c>
      <c r="J1800" s="17">
        <v>0.94</v>
      </c>
      <c r="K1800" s="17"/>
      <c r="L1800" s="17"/>
      <c r="M1800" s="17" t="s">
        <v>69</v>
      </c>
      <c r="N1800" s="17" t="s">
        <v>1070</v>
      </c>
      <c r="O1800" s="17" t="s">
        <v>55</v>
      </c>
      <c r="P1800" s="17"/>
      <c r="Q1800" s="17"/>
      <c r="R1800" s="17"/>
      <c r="S1800" s="17">
        <v>10.199999999999999</v>
      </c>
      <c r="T1800" s="17">
        <v>13.8</v>
      </c>
      <c r="U1800" s="19">
        <f t="shared" si="120"/>
        <v>1.3529411764705883</v>
      </c>
      <c r="V1800" s="41">
        <f t="shared" si="123"/>
        <v>35.294117647058833</v>
      </c>
      <c r="W1800" s="14"/>
      <c r="X1800" s="17" t="s">
        <v>56</v>
      </c>
      <c r="Z1800" s="17" t="s">
        <v>56</v>
      </c>
      <c r="AA1800" s="17"/>
      <c r="AB1800" s="17" t="s">
        <v>57</v>
      </c>
      <c r="AC1800" s="17">
        <v>2004</v>
      </c>
      <c r="AD1800" s="17">
        <v>0</v>
      </c>
      <c r="AE1800" s="17"/>
      <c r="AF1800" s="17"/>
      <c r="AG1800" s="17">
        <v>1983</v>
      </c>
      <c r="AH1800" s="14">
        <f t="shared" si="121"/>
        <v>21</v>
      </c>
      <c r="AI1800" s="17">
        <f t="shared" si="122"/>
        <v>21</v>
      </c>
      <c r="AJ1800" s="17"/>
      <c r="AK1800" s="17" t="s">
        <v>56</v>
      </c>
      <c r="AL1800" s="16" t="s">
        <v>490</v>
      </c>
      <c r="AM1800" s="17">
        <v>2008</v>
      </c>
      <c r="AN1800" s="15" t="s">
        <v>263</v>
      </c>
      <c r="AO1800" s="15" t="s">
        <v>56</v>
      </c>
      <c r="AP1800" s="15"/>
      <c r="AQ1800" s="15" t="s">
        <v>56</v>
      </c>
      <c r="AR1800" s="15" t="s">
        <v>58</v>
      </c>
      <c r="AS1800" s="15" t="s">
        <v>62</v>
      </c>
      <c r="AT1800" s="12"/>
      <c r="AU1800" s="45" t="s">
        <v>491</v>
      </c>
      <c r="AV1800" s="15"/>
      <c r="AW1800" s="12" t="str">
        <f>B1800&amp;C1800&amp;L1800&amp;M1800&amp;O1800&amp;U1800&amp;AL1800&amp;AM1800</f>
        <v>SpainMedes Islands Marine Reservefishrichness1.35294117647059Harmelin-Vivien2008</v>
      </c>
    </row>
    <row r="1801" spans="1:49" ht="14.5" x14ac:dyDescent="0.35">
      <c r="A1801" s="12">
        <v>1800</v>
      </c>
      <c r="B1801" s="12" t="s">
        <v>477</v>
      </c>
      <c r="C1801" s="12" t="s">
        <v>2681</v>
      </c>
      <c r="D1801" s="12" t="s">
        <v>1900</v>
      </c>
      <c r="E1801" s="12" t="s">
        <v>68</v>
      </c>
      <c r="F1801" s="13" t="s">
        <v>480</v>
      </c>
      <c r="G1801" s="13" t="s">
        <v>51</v>
      </c>
      <c r="H1801" s="13" t="s">
        <v>481</v>
      </c>
      <c r="I1801" s="13" t="s">
        <v>53</v>
      </c>
      <c r="J1801" s="14">
        <v>14</v>
      </c>
      <c r="K1801" s="14"/>
      <c r="L1801" s="14"/>
      <c r="M1801" s="14" t="s">
        <v>69</v>
      </c>
      <c r="N1801" s="17" t="s">
        <v>1070</v>
      </c>
      <c r="O1801" s="17" t="s">
        <v>55</v>
      </c>
      <c r="P1801" s="14"/>
      <c r="Q1801" s="14"/>
      <c r="R1801" s="14"/>
      <c r="S1801" s="14">
        <v>13.3</v>
      </c>
      <c r="T1801" s="14">
        <v>12.3</v>
      </c>
      <c r="U1801" s="19">
        <f t="shared" ref="U1801:U1832" si="124">IFERROR(IF(AND(Q1801="",R1801="",S1801="",T1801=""),"",IF(AND(Q1801&lt;&gt;"",R1801&lt;&gt;"",S1801&lt;&gt;"",T1801&lt;&gt;""),(T1801/R1801)/(S1801/Q1801),IF(AND(Q1801&lt;&gt;"",R1801&lt;&gt;""),R1801/Q1801,IF(AND(S1801&lt;&gt;"",T1801&lt;&gt;""),T1801/S1801,IF(AND(Q1801&lt;&gt;"",S1801&lt;&gt;""),Q1801/S1801,IF(AND(R1801&lt;&gt;"",T1801&lt;&gt;""),T1801/R1801)))))), "N/A")</f>
        <v>0.92481203007518797</v>
      </c>
      <c r="V1801" s="41">
        <f t="shared" si="123"/>
        <v>-7.518796992481203</v>
      </c>
      <c r="W1801" s="14"/>
      <c r="X1801" s="14" t="s">
        <v>56</v>
      </c>
      <c r="Y1801" s="12"/>
      <c r="Z1801" s="14" t="s">
        <v>56</v>
      </c>
      <c r="AA1801" s="14"/>
      <c r="AB1801" s="14" t="s">
        <v>57</v>
      </c>
      <c r="AC1801" s="14">
        <v>2003</v>
      </c>
      <c r="AD1801" s="14">
        <v>0</v>
      </c>
      <c r="AE1801" s="14"/>
      <c r="AF1801" s="14"/>
      <c r="AG1801" s="14">
        <v>1986</v>
      </c>
      <c r="AH1801" s="14">
        <f t="shared" si="121"/>
        <v>17</v>
      </c>
      <c r="AI1801" s="17">
        <f t="shared" si="122"/>
        <v>17</v>
      </c>
      <c r="AJ1801" s="14"/>
      <c r="AK1801" s="14" t="s">
        <v>56</v>
      </c>
      <c r="AL1801" s="13" t="s">
        <v>490</v>
      </c>
      <c r="AM1801" s="14">
        <v>2008</v>
      </c>
      <c r="AN1801" s="12" t="s">
        <v>263</v>
      </c>
      <c r="AO1801" s="12" t="s">
        <v>56</v>
      </c>
      <c r="AP1801" s="12"/>
      <c r="AQ1801" s="12" t="s">
        <v>56</v>
      </c>
      <c r="AR1801" s="12" t="s">
        <v>58</v>
      </c>
      <c r="AS1801" s="12" t="s">
        <v>62</v>
      </c>
      <c r="AT1801" s="12"/>
      <c r="AU1801" s="45" t="s">
        <v>2685</v>
      </c>
      <c r="AV1801" s="15"/>
      <c r="AW1801" s="12" t="str">
        <f>B1801&amp;C1801&amp;L1801&amp;M1801&amp;O1801&amp;U1801&amp;AL1801&amp;AM1801</f>
        <v>SpainTabarca Island Marine Reserve No-take zonefishrichness0.924812030075188Harmelin-Vivien2008</v>
      </c>
    </row>
    <row r="1802" spans="1:49" ht="14.5" x14ac:dyDescent="0.35">
      <c r="A1802" s="12">
        <v>1801</v>
      </c>
      <c r="B1802" s="12" t="s">
        <v>536</v>
      </c>
      <c r="C1802" s="12" t="s">
        <v>592</v>
      </c>
      <c r="D1802" s="12" t="s">
        <v>592</v>
      </c>
      <c r="E1802" s="12" t="s">
        <v>68</v>
      </c>
      <c r="F1802" s="13" t="s">
        <v>480</v>
      </c>
      <c r="G1802" s="13" t="s">
        <v>51</v>
      </c>
      <c r="H1802" s="13" t="s">
        <v>481</v>
      </c>
      <c r="I1802" s="13" t="s">
        <v>53</v>
      </c>
      <c r="J1802" s="14">
        <v>6.5</v>
      </c>
      <c r="K1802" s="14"/>
      <c r="L1802" s="14"/>
      <c r="M1802" s="14" t="s">
        <v>69</v>
      </c>
      <c r="N1802" s="17" t="s">
        <v>1070</v>
      </c>
      <c r="O1802" s="17" t="s">
        <v>86</v>
      </c>
      <c r="P1802" s="14"/>
      <c r="Q1802" s="14"/>
      <c r="R1802" s="14"/>
      <c r="S1802" s="14">
        <v>564</v>
      </c>
      <c r="T1802" s="14">
        <v>633.6</v>
      </c>
      <c r="U1802" s="19">
        <f t="shared" si="124"/>
        <v>1.123404255319149</v>
      </c>
      <c r="V1802" s="41">
        <f t="shared" si="123"/>
        <v>12.340425531914899</v>
      </c>
      <c r="W1802" s="14"/>
      <c r="X1802" s="14" t="s">
        <v>56</v>
      </c>
      <c r="Z1802" s="14" t="s">
        <v>56</v>
      </c>
      <c r="AA1802" s="14"/>
      <c r="AB1802" s="14" t="s">
        <v>57</v>
      </c>
      <c r="AC1802" s="14">
        <v>2004</v>
      </c>
      <c r="AD1802" s="14">
        <v>0</v>
      </c>
      <c r="AE1802" s="14"/>
      <c r="AF1802" s="14"/>
      <c r="AG1802" s="14">
        <v>1974</v>
      </c>
      <c r="AH1802" s="14">
        <f t="shared" si="121"/>
        <v>30</v>
      </c>
      <c r="AI1802" s="17">
        <f t="shared" si="122"/>
        <v>30</v>
      </c>
      <c r="AJ1802" s="14"/>
      <c r="AK1802" s="14" t="s">
        <v>56</v>
      </c>
      <c r="AL1802" s="13" t="s">
        <v>490</v>
      </c>
      <c r="AM1802" s="14">
        <v>2008</v>
      </c>
      <c r="AN1802" s="12" t="s">
        <v>263</v>
      </c>
      <c r="AO1802" s="12" t="s">
        <v>56</v>
      </c>
      <c r="AP1802" s="12"/>
      <c r="AQ1802" s="12" t="s">
        <v>56</v>
      </c>
      <c r="AR1802" s="12" t="s">
        <v>58</v>
      </c>
      <c r="AS1802" s="12" t="s">
        <v>62</v>
      </c>
      <c r="AT1802" s="12"/>
      <c r="AU1802" s="45" t="s">
        <v>491</v>
      </c>
      <c r="AV1802" s="15"/>
      <c r="AW1802" s="12" t="str">
        <f>B1802&amp;C1802&amp;L1802&amp;M1802&amp;O1802&amp;U1802&amp;AL1802&amp;AM1802</f>
        <v>FranceCerbere–Banyuls Marine Natural Reservefishdensity1.12340425531915Harmelin-Vivien2008</v>
      </c>
    </row>
    <row r="1803" spans="1:49" ht="14.5" x14ac:dyDescent="0.35">
      <c r="A1803" s="12">
        <v>1802</v>
      </c>
      <c r="B1803" s="15" t="s">
        <v>536</v>
      </c>
      <c r="C1803" s="15" t="s">
        <v>579</v>
      </c>
      <c r="D1803" s="15" t="s">
        <v>579</v>
      </c>
      <c r="E1803" s="12" t="s">
        <v>68</v>
      </c>
      <c r="F1803" s="13" t="s">
        <v>480</v>
      </c>
      <c r="G1803" s="13" t="s">
        <v>51</v>
      </c>
      <c r="H1803" s="16" t="s">
        <v>481</v>
      </c>
      <c r="I1803" s="16" t="s">
        <v>53</v>
      </c>
      <c r="J1803" s="17">
        <v>0.85</v>
      </c>
      <c r="K1803" s="17"/>
      <c r="L1803" s="17"/>
      <c r="M1803" s="17" t="s">
        <v>69</v>
      </c>
      <c r="N1803" s="17" t="s">
        <v>1070</v>
      </c>
      <c r="O1803" s="17" t="s">
        <v>86</v>
      </c>
      <c r="P1803" s="17"/>
      <c r="Q1803" s="17"/>
      <c r="R1803" s="17"/>
      <c r="S1803" s="17">
        <v>480.8</v>
      </c>
      <c r="T1803" s="17">
        <v>792</v>
      </c>
      <c r="U1803" s="19">
        <f t="shared" si="124"/>
        <v>1.6472545757071546</v>
      </c>
      <c r="V1803" s="41">
        <f t="shared" si="123"/>
        <v>64.725457570715463</v>
      </c>
      <c r="W1803" s="14"/>
      <c r="X1803" s="17" t="s">
        <v>56</v>
      </c>
      <c r="Z1803" s="17" t="s">
        <v>56</v>
      </c>
      <c r="AA1803" s="17"/>
      <c r="AB1803" s="17" t="s">
        <v>57</v>
      </c>
      <c r="AC1803" s="17">
        <v>2003</v>
      </c>
      <c r="AD1803" s="17">
        <v>0</v>
      </c>
      <c r="AE1803" s="17"/>
      <c r="AF1803" s="17"/>
      <c r="AG1803" s="17">
        <v>1983</v>
      </c>
      <c r="AH1803" s="14">
        <f t="shared" si="121"/>
        <v>20</v>
      </c>
      <c r="AI1803" s="17">
        <f t="shared" si="122"/>
        <v>20</v>
      </c>
      <c r="AJ1803" s="17"/>
      <c r="AK1803" s="17" t="s">
        <v>56</v>
      </c>
      <c r="AL1803" s="16" t="s">
        <v>490</v>
      </c>
      <c r="AM1803" s="17">
        <v>2008</v>
      </c>
      <c r="AN1803" s="15" t="s">
        <v>263</v>
      </c>
      <c r="AO1803" s="15" t="s">
        <v>56</v>
      </c>
      <c r="AP1803" s="15"/>
      <c r="AQ1803" s="15" t="s">
        <v>56</v>
      </c>
      <c r="AR1803" s="15" t="s">
        <v>58</v>
      </c>
      <c r="AS1803" s="15" t="s">
        <v>62</v>
      </c>
      <c r="AT1803" s="12"/>
      <c r="AU1803" s="45" t="s">
        <v>491</v>
      </c>
      <c r="AV1803" s="15"/>
      <c r="AW1803" s="12" t="str">
        <f>B1803&amp;C1803&amp;L1803&amp;M1803&amp;O1803&amp;U1803&amp;AL1803&amp;AM1803</f>
        <v>FranceCarry-le-Rouet Natural Parkfishdensity1.64725457570715Harmelin-Vivien2008</v>
      </c>
    </row>
    <row r="1804" spans="1:49" ht="14.5" x14ac:dyDescent="0.35">
      <c r="A1804" s="12">
        <v>1803</v>
      </c>
      <c r="B1804" s="15" t="s">
        <v>477</v>
      </c>
      <c r="C1804" s="15" t="s">
        <v>478</v>
      </c>
      <c r="D1804" s="15" t="s">
        <v>478</v>
      </c>
      <c r="E1804" s="12" t="s">
        <v>68</v>
      </c>
      <c r="F1804" s="13" t="s">
        <v>480</v>
      </c>
      <c r="G1804" s="13" t="s">
        <v>51</v>
      </c>
      <c r="H1804" s="16" t="s">
        <v>481</v>
      </c>
      <c r="I1804" s="16" t="s">
        <v>53</v>
      </c>
      <c r="J1804" s="17">
        <v>19</v>
      </c>
      <c r="K1804" s="17"/>
      <c r="L1804" s="17"/>
      <c r="M1804" s="17" t="s">
        <v>69</v>
      </c>
      <c r="N1804" s="17" t="s">
        <v>1070</v>
      </c>
      <c r="O1804" s="17" t="s">
        <v>86</v>
      </c>
      <c r="P1804" s="17"/>
      <c r="Q1804" s="17"/>
      <c r="R1804" s="17"/>
      <c r="S1804" s="17">
        <v>572.79999999999995</v>
      </c>
      <c r="T1804" s="17">
        <v>744</v>
      </c>
      <c r="U1804" s="19">
        <f t="shared" si="124"/>
        <v>1.298882681564246</v>
      </c>
      <c r="V1804" s="41">
        <f t="shared" si="123"/>
        <v>29.888268156424601</v>
      </c>
      <c r="W1804" s="14"/>
      <c r="X1804" s="17" t="s">
        <v>56</v>
      </c>
      <c r="Z1804" s="17" t="s">
        <v>56</v>
      </c>
      <c r="AA1804" s="17"/>
      <c r="AB1804" s="17" t="s">
        <v>57</v>
      </c>
      <c r="AC1804" s="17">
        <v>2003</v>
      </c>
      <c r="AD1804" s="17">
        <v>0</v>
      </c>
      <c r="AE1804" s="17"/>
      <c r="AF1804" s="17"/>
      <c r="AG1804" s="17">
        <v>1995</v>
      </c>
      <c r="AH1804" s="14">
        <f t="shared" si="121"/>
        <v>8</v>
      </c>
      <c r="AI1804" s="17">
        <f t="shared" si="122"/>
        <v>8</v>
      </c>
      <c r="AJ1804" s="17"/>
      <c r="AK1804" s="17" t="s">
        <v>56</v>
      </c>
      <c r="AL1804" s="16" t="s">
        <v>490</v>
      </c>
      <c r="AM1804" s="17">
        <v>2008</v>
      </c>
      <c r="AN1804" s="15" t="s">
        <v>263</v>
      </c>
      <c r="AO1804" s="15" t="s">
        <v>56</v>
      </c>
      <c r="AP1804" s="15"/>
      <c r="AQ1804" s="15" t="s">
        <v>56</v>
      </c>
      <c r="AR1804" s="15" t="s">
        <v>58</v>
      </c>
      <c r="AS1804" s="15" t="s">
        <v>62</v>
      </c>
      <c r="AT1804" s="12"/>
      <c r="AU1804" s="45" t="s">
        <v>491</v>
      </c>
      <c r="AV1804" s="15"/>
      <c r="AW1804" s="12" t="str">
        <f>B1804&amp;C1804&amp;L1804&amp;M1804&amp;O1804&amp;U1804&amp;AL1804&amp;AM1804</f>
        <v>SpainCabo de Palos – Islas Hormigas Marine Reservefishdensity1.29888268156425Harmelin-Vivien2008</v>
      </c>
    </row>
    <row r="1805" spans="1:49" ht="14.5" x14ac:dyDescent="0.35">
      <c r="A1805" s="12">
        <v>1804</v>
      </c>
      <c r="B1805" s="15" t="s">
        <v>477</v>
      </c>
      <c r="C1805" s="15" t="s">
        <v>521</v>
      </c>
      <c r="D1805" s="15" t="s">
        <v>522</v>
      </c>
      <c r="E1805" s="12" t="s">
        <v>68</v>
      </c>
      <c r="F1805" s="13" t="s">
        <v>480</v>
      </c>
      <c r="G1805" s="13" t="s">
        <v>51</v>
      </c>
      <c r="H1805" s="16" t="s">
        <v>481</v>
      </c>
      <c r="I1805" s="16" t="s">
        <v>53</v>
      </c>
      <c r="J1805" s="17">
        <v>3.6</v>
      </c>
      <c r="K1805" s="17"/>
      <c r="L1805" s="17"/>
      <c r="M1805" s="17" t="s">
        <v>69</v>
      </c>
      <c r="N1805" s="17" t="s">
        <v>1070</v>
      </c>
      <c r="O1805" s="17" t="s">
        <v>86</v>
      </c>
      <c r="P1805" s="17"/>
      <c r="Q1805" s="17"/>
      <c r="R1805" s="17"/>
      <c r="S1805" s="17">
        <v>512.79999999999995</v>
      </c>
      <c r="T1805" s="17">
        <v>794.4</v>
      </c>
      <c r="U1805" s="19">
        <f t="shared" si="124"/>
        <v>1.5491419656786272</v>
      </c>
      <c r="V1805" s="41">
        <f t="shared" si="123"/>
        <v>54.914196567862717</v>
      </c>
      <c r="W1805" s="14"/>
      <c r="X1805" s="17" t="s">
        <v>56</v>
      </c>
      <c r="Z1805" s="17" t="s">
        <v>56</v>
      </c>
      <c r="AA1805" s="17"/>
      <c r="AB1805" s="17" t="s">
        <v>57</v>
      </c>
      <c r="AC1805" s="17">
        <v>2004</v>
      </c>
      <c r="AD1805" s="17">
        <v>0</v>
      </c>
      <c r="AE1805" s="17"/>
      <c r="AF1805" s="17"/>
      <c r="AG1805" s="17">
        <v>1991</v>
      </c>
      <c r="AH1805" s="14">
        <f t="shared" si="121"/>
        <v>13</v>
      </c>
      <c r="AI1805" s="17">
        <f t="shared" si="122"/>
        <v>13</v>
      </c>
      <c r="AJ1805" s="17"/>
      <c r="AK1805" s="17" t="s">
        <v>56</v>
      </c>
      <c r="AL1805" s="16" t="s">
        <v>490</v>
      </c>
      <c r="AM1805" s="17">
        <v>2008</v>
      </c>
      <c r="AN1805" s="15" t="s">
        <v>263</v>
      </c>
      <c r="AO1805" s="15" t="s">
        <v>56</v>
      </c>
      <c r="AP1805" s="15"/>
      <c r="AQ1805" s="15" t="s">
        <v>56</v>
      </c>
      <c r="AR1805" s="15" t="s">
        <v>58</v>
      </c>
      <c r="AS1805" s="15" t="s">
        <v>62</v>
      </c>
      <c r="AT1805" s="12"/>
      <c r="AU1805" s="45" t="s">
        <v>2669</v>
      </c>
      <c r="AV1805" s="15"/>
      <c r="AW1805" s="12" t="str">
        <f>B1805&amp;C1805&amp;L1805&amp;M1805&amp;O1805&amp;U1805&amp;AL1805&amp;AM1805</f>
        <v>SpainCabrera Archipelago National Parkfishdensity1.54914196567863Harmelin-Vivien2008</v>
      </c>
    </row>
    <row r="1806" spans="1:49" ht="14.5" x14ac:dyDescent="0.35">
      <c r="A1806" s="12">
        <v>1805</v>
      </c>
      <c r="B1806" s="15" t="s">
        <v>477</v>
      </c>
      <c r="C1806" s="43" t="s">
        <v>1363</v>
      </c>
      <c r="D1806" s="43" t="s">
        <v>1375</v>
      </c>
      <c r="E1806" s="12" t="s">
        <v>68</v>
      </c>
      <c r="F1806" s="13" t="s">
        <v>480</v>
      </c>
      <c r="G1806" s="13" t="s">
        <v>51</v>
      </c>
      <c r="H1806" s="16" t="s">
        <v>481</v>
      </c>
      <c r="I1806" s="16" t="s">
        <v>53</v>
      </c>
      <c r="J1806" s="17">
        <v>0.94</v>
      </c>
      <c r="K1806" s="17"/>
      <c r="L1806" s="17"/>
      <c r="M1806" s="17" t="s">
        <v>69</v>
      </c>
      <c r="N1806" s="17" t="s">
        <v>1070</v>
      </c>
      <c r="O1806" s="17" t="s">
        <v>86</v>
      </c>
      <c r="P1806" s="17"/>
      <c r="Q1806" s="17"/>
      <c r="R1806" s="17"/>
      <c r="S1806" s="17">
        <v>252</v>
      </c>
      <c r="T1806" s="17">
        <v>488.8</v>
      </c>
      <c r="U1806" s="19">
        <f t="shared" si="124"/>
        <v>1.9396825396825397</v>
      </c>
      <c r="V1806" s="41">
        <f t="shared" si="123"/>
        <v>93.968253968253961</v>
      </c>
      <c r="W1806" s="14"/>
      <c r="X1806" s="17" t="s">
        <v>56</v>
      </c>
      <c r="Z1806" s="17" t="s">
        <v>56</v>
      </c>
      <c r="AA1806" s="17"/>
      <c r="AB1806" s="17" t="s">
        <v>57</v>
      </c>
      <c r="AC1806" s="17">
        <v>2004</v>
      </c>
      <c r="AD1806" s="17">
        <v>0</v>
      </c>
      <c r="AE1806" s="17"/>
      <c r="AF1806" s="17"/>
      <c r="AG1806" s="17">
        <v>1983</v>
      </c>
      <c r="AH1806" s="14">
        <f t="shared" si="121"/>
        <v>21</v>
      </c>
      <c r="AI1806" s="17">
        <f t="shared" si="122"/>
        <v>21</v>
      </c>
      <c r="AJ1806" s="17"/>
      <c r="AK1806" s="17" t="s">
        <v>56</v>
      </c>
      <c r="AL1806" s="16" t="s">
        <v>490</v>
      </c>
      <c r="AM1806" s="17">
        <v>2008</v>
      </c>
      <c r="AN1806" s="15" t="s">
        <v>263</v>
      </c>
      <c r="AO1806" s="15" t="s">
        <v>56</v>
      </c>
      <c r="AP1806" s="15"/>
      <c r="AQ1806" s="15" t="s">
        <v>56</v>
      </c>
      <c r="AR1806" s="15" t="s">
        <v>58</v>
      </c>
      <c r="AS1806" s="15" t="s">
        <v>62</v>
      </c>
      <c r="AT1806" s="12"/>
      <c r="AU1806" s="45" t="s">
        <v>491</v>
      </c>
      <c r="AV1806" s="15"/>
      <c r="AW1806" s="12" t="str">
        <f>B1806&amp;C1806&amp;L1806&amp;M1806&amp;O1806&amp;U1806&amp;AL1806&amp;AM1806</f>
        <v>SpainMedes Islands Marine Reservefishdensity1.93968253968254Harmelin-Vivien2008</v>
      </c>
    </row>
    <row r="1807" spans="1:49" ht="14.5" x14ac:dyDescent="0.35">
      <c r="A1807" s="12">
        <v>1806</v>
      </c>
      <c r="B1807" s="12" t="s">
        <v>66</v>
      </c>
      <c r="C1807" s="12" t="s">
        <v>1552</v>
      </c>
      <c r="D1807" s="12" t="s">
        <v>453</v>
      </c>
      <c r="E1807" s="12" t="s">
        <v>68</v>
      </c>
      <c r="F1807" s="13" t="s">
        <v>50</v>
      </c>
      <c r="G1807" s="13" t="s">
        <v>454</v>
      </c>
      <c r="H1807" s="13" t="s">
        <v>52</v>
      </c>
      <c r="I1807" s="13" t="s">
        <v>53</v>
      </c>
      <c r="J1807" s="14">
        <f>6*2.5+(6*2.5)/2</f>
        <v>22.5</v>
      </c>
      <c r="K1807" s="14"/>
      <c r="L1807" s="14" t="s">
        <v>455</v>
      </c>
      <c r="M1807" s="14" t="s">
        <v>456</v>
      </c>
      <c r="N1807" s="14" t="s">
        <v>85</v>
      </c>
      <c r="O1807" s="17" t="s">
        <v>104</v>
      </c>
      <c r="P1807" s="14" t="s">
        <v>457</v>
      </c>
      <c r="Q1807" s="14"/>
      <c r="R1807" s="14"/>
      <c r="S1807" s="14">
        <v>25.41085</v>
      </c>
      <c r="T1807" s="14">
        <v>31.457360000000001</v>
      </c>
      <c r="U1807" s="19">
        <f t="shared" si="124"/>
        <v>1.2379499308366309</v>
      </c>
      <c r="V1807" s="41">
        <f t="shared" si="123"/>
        <v>23.794993083663087</v>
      </c>
      <c r="W1807" s="14"/>
      <c r="X1807" s="14" t="s">
        <v>56</v>
      </c>
      <c r="Z1807" s="14" t="s">
        <v>58</v>
      </c>
      <c r="AA1807" s="14"/>
      <c r="AB1807" s="14" t="s">
        <v>57</v>
      </c>
      <c r="AC1807" s="14">
        <v>2006</v>
      </c>
      <c r="AD1807" s="14">
        <v>11</v>
      </c>
      <c r="AE1807" s="14"/>
      <c r="AF1807" s="14"/>
      <c r="AG1807" s="14">
        <v>2005</v>
      </c>
      <c r="AH1807" s="14">
        <f t="shared" si="121"/>
        <v>1</v>
      </c>
      <c r="AI1807" s="17">
        <f t="shared" si="122"/>
        <v>12</v>
      </c>
      <c r="AJ1807" s="14"/>
      <c r="AK1807" s="14" t="s">
        <v>56</v>
      </c>
      <c r="AL1807" s="13" t="s">
        <v>458</v>
      </c>
      <c r="AM1807" s="14">
        <v>2018</v>
      </c>
      <c r="AN1807" s="12" t="s">
        <v>459</v>
      </c>
      <c r="AO1807" s="12" t="s">
        <v>56</v>
      </c>
      <c r="AP1807" s="12"/>
      <c r="AQ1807" s="12" t="s">
        <v>56</v>
      </c>
      <c r="AR1807" s="12" t="s">
        <v>58</v>
      </c>
      <c r="AS1807" s="12" t="s">
        <v>62</v>
      </c>
      <c r="AT1807" s="12"/>
      <c r="AU1807" s="45" t="s">
        <v>2558</v>
      </c>
      <c r="AV1807" s="15" t="s">
        <v>767</v>
      </c>
      <c r="AW1807" s="12" t="str">
        <f>B1807&amp;C1807&amp;L1807&amp;M1807&amp;O1807&amp;U1807&amp;AL1807&amp;AM1807</f>
        <v>AustraliaPinnacle no-take areaChrysophrys auratusAustralasian Snappersize1.23794993083663Harasti2018</v>
      </c>
    </row>
    <row r="1808" spans="1:49" ht="14.5" x14ac:dyDescent="0.35">
      <c r="A1808" s="12">
        <v>1807</v>
      </c>
      <c r="B1808" s="12" t="s">
        <v>66</v>
      </c>
      <c r="C1808" s="12" t="s">
        <v>1857</v>
      </c>
      <c r="D1808" s="15" t="s">
        <v>453</v>
      </c>
      <c r="E1808" s="12" t="s">
        <v>68</v>
      </c>
      <c r="F1808" s="13" t="s">
        <v>50</v>
      </c>
      <c r="G1808" s="13" t="s">
        <v>454</v>
      </c>
      <c r="H1808" s="13" t="s">
        <v>52</v>
      </c>
      <c r="I1808" s="13" t="s">
        <v>53</v>
      </c>
      <c r="J1808" s="14">
        <v>60</v>
      </c>
      <c r="K1808" s="14"/>
      <c r="L1808" s="14" t="s">
        <v>455</v>
      </c>
      <c r="M1808" s="14" t="s">
        <v>456</v>
      </c>
      <c r="N1808" s="14" t="s">
        <v>85</v>
      </c>
      <c r="O1808" s="17" t="s">
        <v>104</v>
      </c>
      <c r="P1808" s="14" t="s">
        <v>457</v>
      </c>
      <c r="Q1808" s="14"/>
      <c r="R1808" s="14"/>
      <c r="S1808" s="14">
        <v>25.62791</v>
      </c>
      <c r="T1808" s="14">
        <v>30.651160000000001</v>
      </c>
      <c r="U1808" s="19">
        <f t="shared" si="124"/>
        <v>1.1960070095454527</v>
      </c>
      <c r="V1808" s="41">
        <f t="shared" si="123"/>
        <v>19.600700954545268</v>
      </c>
      <c r="W1808" s="14"/>
      <c r="X1808" s="14" t="s">
        <v>56</v>
      </c>
      <c r="Z1808" s="14" t="s">
        <v>58</v>
      </c>
      <c r="AA1808" s="14"/>
      <c r="AB1808" s="14" t="s">
        <v>57</v>
      </c>
      <c r="AC1808" s="14">
        <v>2006</v>
      </c>
      <c r="AD1808" s="14">
        <v>11</v>
      </c>
      <c r="AE1808" s="14"/>
      <c r="AF1808" s="14"/>
      <c r="AG1808" s="14">
        <v>2005</v>
      </c>
      <c r="AH1808" s="14">
        <f t="shared" si="121"/>
        <v>1</v>
      </c>
      <c r="AI1808" s="17">
        <f t="shared" si="122"/>
        <v>12</v>
      </c>
      <c r="AJ1808" s="14"/>
      <c r="AK1808" s="14" t="s">
        <v>56</v>
      </c>
      <c r="AL1808" s="13" t="s">
        <v>458</v>
      </c>
      <c r="AM1808" s="14">
        <v>2018</v>
      </c>
      <c r="AN1808" s="12" t="s">
        <v>459</v>
      </c>
      <c r="AO1808" s="12" t="s">
        <v>56</v>
      </c>
      <c r="AP1808" s="12"/>
      <c r="AQ1808" s="12" t="s">
        <v>56</v>
      </c>
      <c r="AR1808" s="12" t="s">
        <v>58</v>
      </c>
      <c r="AS1808" s="12" t="s">
        <v>62</v>
      </c>
      <c r="AT1808" s="12"/>
      <c r="AU1808" s="45" t="s">
        <v>2558</v>
      </c>
      <c r="AV1808" s="15" t="s">
        <v>767</v>
      </c>
      <c r="AW1808" s="12" t="str">
        <f>B1808&amp;C1808&amp;L1808&amp;M1808&amp;O1808&amp;U1808&amp;AL1808&amp;AM1808</f>
        <v>AustraliaSeal Rocks no-take areaChrysophrys auratusAustralasian Snappersize1.19600700954545Harasti2018</v>
      </c>
    </row>
    <row r="1809" spans="1:49" ht="14.5" x14ac:dyDescent="0.35">
      <c r="A1809" s="12">
        <v>1808</v>
      </c>
      <c r="B1809" s="12" t="s">
        <v>66</v>
      </c>
      <c r="C1809" s="12" t="s">
        <v>476</v>
      </c>
      <c r="D1809" s="15" t="s">
        <v>453</v>
      </c>
      <c r="E1809" s="12" t="s">
        <v>68</v>
      </c>
      <c r="F1809" s="13" t="s">
        <v>50</v>
      </c>
      <c r="G1809" s="13" t="s">
        <v>454</v>
      </c>
      <c r="H1809" s="13" t="s">
        <v>52</v>
      </c>
      <c r="I1809" s="13" t="s">
        <v>53</v>
      </c>
      <c r="J1809" s="14">
        <v>5</v>
      </c>
      <c r="K1809" s="14"/>
      <c r="L1809" s="14" t="s">
        <v>455</v>
      </c>
      <c r="M1809" s="14" t="s">
        <v>456</v>
      </c>
      <c r="N1809" s="14" t="s">
        <v>85</v>
      </c>
      <c r="O1809" s="17" t="s">
        <v>104</v>
      </c>
      <c r="P1809" s="14" t="s">
        <v>457</v>
      </c>
      <c r="Q1809" s="14"/>
      <c r="R1809" s="14"/>
      <c r="S1809" s="14">
        <v>25.62791</v>
      </c>
      <c r="T1809" s="14">
        <v>28.341090000000001</v>
      </c>
      <c r="U1809" s="19">
        <f t="shared" si="124"/>
        <v>1.1058681726289814</v>
      </c>
      <c r="V1809" s="41">
        <f t="shared" si="123"/>
        <v>10.586817262898141</v>
      </c>
      <c r="W1809" s="14"/>
      <c r="X1809" s="14" t="s">
        <v>56</v>
      </c>
      <c r="Z1809" s="14" t="s">
        <v>58</v>
      </c>
      <c r="AA1809" s="14"/>
      <c r="AB1809" s="14" t="s">
        <v>57</v>
      </c>
      <c r="AC1809" s="14">
        <v>2006</v>
      </c>
      <c r="AD1809" s="14">
        <v>11</v>
      </c>
      <c r="AE1809" s="14"/>
      <c r="AF1809" s="14"/>
      <c r="AG1809" s="14">
        <v>2005</v>
      </c>
      <c r="AH1809" s="14">
        <f t="shared" si="121"/>
        <v>1</v>
      </c>
      <c r="AI1809" s="17">
        <f t="shared" si="122"/>
        <v>12</v>
      </c>
      <c r="AJ1809" s="14"/>
      <c r="AK1809" s="14" t="s">
        <v>56</v>
      </c>
      <c r="AL1809" s="13" t="s">
        <v>458</v>
      </c>
      <c r="AM1809" s="14">
        <v>2018</v>
      </c>
      <c r="AN1809" s="12" t="s">
        <v>459</v>
      </c>
      <c r="AO1809" s="12" t="s">
        <v>56</v>
      </c>
      <c r="AP1809" s="12"/>
      <c r="AQ1809" s="12" t="s">
        <v>56</v>
      </c>
      <c r="AR1809" s="12" t="s">
        <v>58</v>
      </c>
      <c r="AS1809" s="12" t="s">
        <v>62</v>
      </c>
      <c r="AT1809" s="12"/>
      <c r="AU1809" s="45" t="s">
        <v>2557</v>
      </c>
      <c r="AV1809" s="15" t="s">
        <v>767</v>
      </c>
      <c r="AW1809" s="12" t="str">
        <f>B1809&amp;C1809&amp;L1809&amp;M1809&amp;O1809&amp;U1809&amp;AL1809&amp;AM1809</f>
        <v>AustraliaCabbage Tree no-take areaChrysophrys auratusAustralasian Snappersize1.10586817262898Harasti2018</v>
      </c>
    </row>
    <row r="1810" spans="1:49" ht="14.5" x14ac:dyDescent="0.35">
      <c r="A1810" s="12">
        <v>1809</v>
      </c>
      <c r="B1810" s="12" t="s">
        <v>66</v>
      </c>
      <c r="C1810" s="12" t="s">
        <v>766</v>
      </c>
      <c r="D1810" s="12" t="s">
        <v>453</v>
      </c>
      <c r="E1810" s="12" t="s">
        <v>68</v>
      </c>
      <c r="F1810" s="13" t="s">
        <v>50</v>
      </c>
      <c r="G1810" s="13" t="s">
        <v>454</v>
      </c>
      <c r="H1810" s="13" t="s">
        <v>52</v>
      </c>
      <c r="I1810" s="13" t="s">
        <v>53</v>
      </c>
      <c r="J1810" s="14">
        <f>1.5*1.5</f>
        <v>2.25</v>
      </c>
      <c r="K1810" s="14"/>
      <c r="L1810" s="14" t="s">
        <v>455</v>
      </c>
      <c r="M1810" s="14" t="s">
        <v>456</v>
      </c>
      <c r="N1810" s="14" t="s">
        <v>85</v>
      </c>
      <c r="O1810" s="17" t="s">
        <v>104</v>
      </c>
      <c r="P1810" s="14" t="s">
        <v>457</v>
      </c>
      <c r="Q1810" s="14"/>
      <c r="R1810" s="14"/>
      <c r="S1810" s="14">
        <v>25.62791</v>
      </c>
      <c r="T1810" s="14">
        <v>28.232559999999999</v>
      </c>
      <c r="U1810" s="19">
        <f t="shared" si="124"/>
        <v>1.1016333364679367</v>
      </c>
      <c r="V1810" s="41">
        <f t="shared" si="123"/>
        <v>10.163333646793671</v>
      </c>
      <c r="W1810" s="14"/>
      <c r="X1810" s="14" t="s">
        <v>56</v>
      </c>
      <c r="Z1810" s="14" t="s">
        <v>58</v>
      </c>
      <c r="AA1810" s="14"/>
      <c r="AB1810" s="14" t="s">
        <v>57</v>
      </c>
      <c r="AC1810" s="14">
        <v>2006</v>
      </c>
      <c r="AD1810" s="14">
        <v>11</v>
      </c>
      <c r="AE1810" s="14"/>
      <c r="AF1810" s="14"/>
      <c r="AG1810" s="14">
        <v>2005</v>
      </c>
      <c r="AH1810" s="14">
        <f t="shared" si="121"/>
        <v>1</v>
      </c>
      <c r="AI1810" s="17">
        <f t="shared" si="122"/>
        <v>12</v>
      </c>
      <c r="AJ1810" s="14"/>
      <c r="AK1810" s="14" t="s">
        <v>56</v>
      </c>
      <c r="AL1810" s="13" t="s">
        <v>458</v>
      </c>
      <c r="AM1810" s="14">
        <v>2018</v>
      </c>
      <c r="AN1810" s="12" t="s">
        <v>459</v>
      </c>
      <c r="AO1810" s="12" t="s">
        <v>56</v>
      </c>
      <c r="AP1810" s="12"/>
      <c r="AQ1810" s="12" t="s">
        <v>56</v>
      </c>
      <c r="AR1810" s="12" t="s">
        <v>58</v>
      </c>
      <c r="AS1810" s="12" t="s">
        <v>62</v>
      </c>
      <c r="AT1810" s="12"/>
      <c r="AU1810" s="45" t="s">
        <v>2558</v>
      </c>
      <c r="AV1810" s="15" t="s">
        <v>767</v>
      </c>
      <c r="AW1810" s="12" t="str">
        <f>B1810&amp;C1810&amp;L1810&amp;M1810&amp;O1810&amp;U1810&amp;AL1810&amp;AM1810</f>
        <v>AustraliaFingal Island no-take areaChrysophrys auratusAustralasian Snappersize1.10163333646794Harasti2018</v>
      </c>
    </row>
    <row r="1811" spans="1:49" ht="14.5" x14ac:dyDescent="0.35">
      <c r="A1811" s="12">
        <v>1810</v>
      </c>
      <c r="B1811" s="15" t="s">
        <v>66</v>
      </c>
      <c r="C1811" s="15" t="s">
        <v>452</v>
      </c>
      <c r="D1811" s="15" t="s">
        <v>453</v>
      </c>
      <c r="E1811" s="15" t="s">
        <v>68</v>
      </c>
      <c r="F1811" s="13" t="s">
        <v>50</v>
      </c>
      <c r="G1811" s="13" t="s">
        <v>454</v>
      </c>
      <c r="H1811" s="16" t="s">
        <v>52</v>
      </c>
      <c r="I1811" s="16" t="s">
        <v>53</v>
      </c>
      <c r="J1811" s="17">
        <v>8.2799999999999994</v>
      </c>
      <c r="K1811" s="17"/>
      <c r="L1811" s="17" t="s">
        <v>455</v>
      </c>
      <c r="M1811" s="17" t="s">
        <v>456</v>
      </c>
      <c r="N1811" s="14" t="s">
        <v>85</v>
      </c>
      <c r="O1811" s="17" t="s">
        <v>104</v>
      </c>
      <c r="P1811" s="17" t="s">
        <v>457</v>
      </c>
      <c r="Q1811" s="17"/>
      <c r="R1811" s="17"/>
      <c r="S1811" s="17">
        <v>25.62791</v>
      </c>
      <c r="T1811" s="17">
        <v>26.325579999999999</v>
      </c>
      <c r="U1811" s="20">
        <f t="shared" si="124"/>
        <v>1.0272230548647938</v>
      </c>
      <c r="V1811" s="41">
        <f t="shared" si="123"/>
        <v>2.7223054864793816</v>
      </c>
      <c r="W1811" s="17"/>
      <c r="X1811" s="17" t="s">
        <v>56</v>
      </c>
      <c r="Z1811" s="17" t="s">
        <v>58</v>
      </c>
      <c r="AA1811" s="17"/>
      <c r="AB1811" s="17" t="s">
        <v>57</v>
      </c>
      <c r="AC1811" s="17">
        <v>2006</v>
      </c>
      <c r="AD1811" s="17">
        <v>11</v>
      </c>
      <c r="AE1811" s="17"/>
      <c r="AF1811" s="17"/>
      <c r="AG1811" s="17">
        <v>2005</v>
      </c>
      <c r="AH1811" s="14">
        <f t="shared" si="121"/>
        <v>1</v>
      </c>
      <c r="AI1811" s="17">
        <f t="shared" si="122"/>
        <v>12</v>
      </c>
      <c r="AJ1811" s="17"/>
      <c r="AK1811" s="17" t="s">
        <v>56</v>
      </c>
      <c r="AL1811" s="16" t="s">
        <v>458</v>
      </c>
      <c r="AM1811" s="17">
        <v>2018</v>
      </c>
      <c r="AN1811" s="15" t="s">
        <v>459</v>
      </c>
      <c r="AO1811" s="15" t="s">
        <v>56</v>
      </c>
      <c r="AP1811" s="15"/>
      <c r="AQ1811" s="15" t="s">
        <v>56</v>
      </c>
      <c r="AR1811" s="15" t="s">
        <v>58</v>
      </c>
      <c r="AS1811" s="15" t="s">
        <v>62</v>
      </c>
      <c r="AT1811" s="15"/>
      <c r="AU1811" s="45" t="s">
        <v>2557</v>
      </c>
      <c r="AV1811" s="15" t="s">
        <v>767</v>
      </c>
      <c r="AW1811" s="12" t="str">
        <f>B1811&amp;C1811&amp;L1811&amp;M1811&amp;O1811&amp;U1811&amp;AL1811&amp;AM1811</f>
        <v>AustraliaBroughton Island no-take areaChrysophrys auratusAustralasian Snappersize1.02722305486479Harasti2018</v>
      </c>
    </row>
    <row r="1812" spans="1:49" ht="14.5" x14ac:dyDescent="0.35">
      <c r="A1812" s="12">
        <v>1811</v>
      </c>
      <c r="B1812" s="12" t="s">
        <v>710</v>
      </c>
      <c r="C1812" s="12" t="s">
        <v>711</v>
      </c>
      <c r="D1812" s="15" t="s">
        <v>711</v>
      </c>
      <c r="E1812" s="12" t="s">
        <v>68</v>
      </c>
      <c r="F1812" s="13" t="s">
        <v>171</v>
      </c>
      <c r="G1812" s="13" t="s">
        <v>51</v>
      </c>
      <c r="H1812" s="13" t="s">
        <v>52</v>
      </c>
      <c r="I1812" s="13" t="s">
        <v>156</v>
      </c>
      <c r="J1812" s="18">
        <v>0.2</v>
      </c>
      <c r="K1812" s="23"/>
      <c r="L1812" s="17" t="s">
        <v>712</v>
      </c>
      <c r="M1812" s="5"/>
      <c r="N1812" s="14" t="s">
        <v>85</v>
      </c>
      <c r="O1812" s="17" t="s">
        <v>86</v>
      </c>
      <c r="P1812" s="5"/>
      <c r="Q1812" s="5"/>
      <c r="R1812" s="5"/>
      <c r="S1812" s="5">
        <f>0.73*1000</f>
        <v>730</v>
      </c>
      <c r="T1812" s="5">
        <f>6.61*1000</f>
        <v>6610</v>
      </c>
      <c r="U1812" s="5">
        <f t="shared" si="124"/>
        <v>9.0547945205479454</v>
      </c>
      <c r="V1812" s="5">
        <f t="shared" si="123"/>
        <v>805.47945205479459</v>
      </c>
      <c r="W1812" s="5"/>
      <c r="X1812" s="5" t="s">
        <v>56</v>
      </c>
      <c r="Y1812" s="18"/>
      <c r="Z1812" s="14" t="s">
        <v>56</v>
      </c>
      <c r="AA1812" s="5"/>
      <c r="AB1812" s="5" t="s">
        <v>57</v>
      </c>
      <c r="AC1812" s="5">
        <v>2005</v>
      </c>
      <c r="AD1812" s="5">
        <v>4</v>
      </c>
      <c r="AE1812" s="5"/>
      <c r="AF1812" s="5"/>
      <c r="AG1812" s="23">
        <v>2004</v>
      </c>
      <c r="AH1812" s="5">
        <f t="shared" si="121"/>
        <v>1</v>
      </c>
      <c r="AI1812" s="5">
        <f t="shared" si="122"/>
        <v>5</v>
      </c>
      <c r="AJ1812" s="5"/>
      <c r="AK1812" s="5" t="s">
        <v>58</v>
      </c>
      <c r="AL1812" s="6" t="s">
        <v>81</v>
      </c>
      <c r="AM1812" s="5">
        <v>2011</v>
      </c>
      <c r="AN1812" s="4" t="s">
        <v>263</v>
      </c>
      <c r="AO1812" s="4" t="s">
        <v>56</v>
      </c>
      <c r="AP1812" s="4"/>
      <c r="AQ1812" s="4" t="s">
        <v>56</v>
      </c>
      <c r="AR1812" s="4" t="s">
        <v>58</v>
      </c>
      <c r="AS1812" s="4" t="s">
        <v>163</v>
      </c>
      <c r="AT1812" s="4"/>
      <c r="AU1812" s="27" t="s">
        <v>2846</v>
      </c>
      <c r="AV1812" s="39"/>
      <c r="AW1812" s="12" t="str">
        <f>B1812&amp;C1812&amp;L1812&amp;M1812&amp;O1812&amp;U1812&amp;AL1812&amp;AM1812</f>
        <v>Papua New GuineaDyual Island MPAEpinephelus fuscoguttatusdensity9.05479452054795Hamilton2011</v>
      </c>
    </row>
    <row r="1813" spans="1:49" ht="14.5" x14ac:dyDescent="0.35">
      <c r="A1813" s="12">
        <v>1812</v>
      </c>
      <c r="B1813" s="15" t="s">
        <v>710</v>
      </c>
      <c r="C1813" s="12" t="s">
        <v>711</v>
      </c>
      <c r="D1813" s="12" t="s">
        <v>711</v>
      </c>
      <c r="E1813" s="12" t="s">
        <v>68</v>
      </c>
      <c r="F1813" s="13" t="s">
        <v>171</v>
      </c>
      <c r="G1813" s="13" t="s">
        <v>51</v>
      </c>
      <c r="H1813" s="13" t="s">
        <v>52</v>
      </c>
      <c r="I1813" s="13" t="s">
        <v>156</v>
      </c>
      <c r="J1813" s="18">
        <v>0.2</v>
      </c>
      <c r="K1813" s="23"/>
      <c r="L1813" s="14" t="s">
        <v>2806</v>
      </c>
      <c r="M1813" s="5"/>
      <c r="N1813" s="14" t="s">
        <v>85</v>
      </c>
      <c r="O1813" s="17" t="s">
        <v>86</v>
      </c>
      <c r="P1813" s="5"/>
      <c r="Q1813" s="5"/>
      <c r="R1813" s="5"/>
      <c r="S1813" s="5">
        <f>0.19*1000</f>
        <v>190</v>
      </c>
      <c r="T1813" s="5">
        <f>8.21*1000</f>
        <v>8210</v>
      </c>
      <c r="U1813" s="5">
        <f t="shared" si="124"/>
        <v>43.210526315789473</v>
      </c>
      <c r="V1813" s="5">
        <f t="shared" si="123"/>
        <v>4221.0526315789475</v>
      </c>
      <c r="W1813" s="5"/>
      <c r="X1813" s="5" t="s">
        <v>56</v>
      </c>
      <c r="Y1813" s="18"/>
      <c r="Z1813" s="14" t="s">
        <v>56</v>
      </c>
      <c r="AA1813" s="5"/>
      <c r="AB1813" s="5" t="s">
        <v>57</v>
      </c>
      <c r="AC1813" s="5">
        <v>2005</v>
      </c>
      <c r="AD1813" s="5">
        <v>4</v>
      </c>
      <c r="AE1813" s="5"/>
      <c r="AF1813" s="5"/>
      <c r="AG1813" s="23">
        <v>2004</v>
      </c>
      <c r="AH1813" s="5">
        <f t="shared" si="121"/>
        <v>1</v>
      </c>
      <c r="AI1813" s="5">
        <f t="shared" si="122"/>
        <v>5</v>
      </c>
      <c r="AJ1813" s="5"/>
      <c r="AK1813" s="5" t="s">
        <v>58</v>
      </c>
      <c r="AL1813" s="6" t="s">
        <v>81</v>
      </c>
      <c r="AM1813" s="5">
        <v>2011</v>
      </c>
      <c r="AN1813" s="4" t="s">
        <v>263</v>
      </c>
      <c r="AO1813" s="4" t="s">
        <v>56</v>
      </c>
      <c r="AP1813" s="4"/>
      <c r="AQ1813" s="4" t="s">
        <v>56</v>
      </c>
      <c r="AR1813" s="4" t="s">
        <v>58</v>
      </c>
      <c r="AS1813" s="4" t="s">
        <v>163</v>
      </c>
      <c r="AT1813" s="4"/>
      <c r="AU1813" s="27" t="s">
        <v>2846</v>
      </c>
      <c r="AV1813" s="39"/>
      <c r="AW1813" s="12" t="str">
        <f>B1813&amp;C1813&amp;L1813&amp;M1813&amp;O1813&amp;U1813&amp;AL1813&amp;AM1813</f>
        <v>Papua New GuineaDyual Island MPAEpinephelus polyphekadiondensity43.2105263157895Hamilton2011</v>
      </c>
    </row>
    <row r="1814" spans="1:49" ht="14.5" x14ac:dyDescent="0.35">
      <c r="A1814" s="12">
        <v>1813</v>
      </c>
      <c r="B1814" s="15" t="s">
        <v>710</v>
      </c>
      <c r="C1814" s="15" t="s">
        <v>711</v>
      </c>
      <c r="D1814" s="15" t="s">
        <v>711</v>
      </c>
      <c r="E1814" s="12" t="s">
        <v>68</v>
      </c>
      <c r="F1814" s="13" t="s">
        <v>171</v>
      </c>
      <c r="G1814" s="13" t="s">
        <v>51</v>
      </c>
      <c r="H1814" s="13" t="s">
        <v>52</v>
      </c>
      <c r="I1814" s="13" t="s">
        <v>156</v>
      </c>
      <c r="J1814" s="18">
        <v>0.2</v>
      </c>
      <c r="K1814" s="23"/>
      <c r="L1814" s="17" t="s">
        <v>2807</v>
      </c>
      <c r="M1814" s="5"/>
      <c r="N1814" s="14" t="s">
        <v>85</v>
      </c>
      <c r="O1814" s="17" t="s">
        <v>86</v>
      </c>
      <c r="P1814" s="5"/>
      <c r="Q1814" s="5"/>
      <c r="R1814" s="5"/>
      <c r="S1814" s="5">
        <f>5.81*1000</f>
        <v>5810</v>
      </c>
      <c r="T1814" s="5">
        <f>6.52*1000</f>
        <v>6520</v>
      </c>
      <c r="U1814" s="5">
        <f t="shared" si="124"/>
        <v>1.1222030981067126</v>
      </c>
      <c r="V1814" s="5">
        <f t="shared" si="123"/>
        <v>12.22030981067126</v>
      </c>
      <c r="W1814" s="5"/>
      <c r="X1814" s="5" t="s">
        <v>56</v>
      </c>
      <c r="Y1814" s="18"/>
      <c r="Z1814" s="14" t="s">
        <v>56</v>
      </c>
      <c r="AA1814" s="5"/>
      <c r="AB1814" s="5" t="s">
        <v>57</v>
      </c>
      <c r="AC1814" s="5">
        <v>2005</v>
      </c>
      <c r="AD1814" s="5">
        <v>4</v>
      </c>
      <c r="AE1814" s="5"/>
      <c r="AF1814" s="5"/>
      <c r="AG1814" s="23">
        <v>2004</v>
      </c>
      <c r="AH1814" s="5">
        <f t="shared" si="121"/>
        <v>1</v>
      </c>
      <c r="AI1814" s="5">
        <f t="shared" si="122"/>
        <v>5</v>
      </c>
      <c r="AJ1814" s="5"/>
      <c r="AK1814" s="5" t="s">
        <v>58</v>
      </c>
      <c r="AL1814" s="6" t="s">
        <v>81</v>
      </c>
      <c r="AM1814" s="5">
        <v>2011</v>
      </c>
      <c r="AN1814" s="4" t="s">
        <v>263</v>
      </c>
      <c r="AO1814" s="4" t="s">
        <v>56</v>
      </c>
      <c r="AP1814" s="4"/>
      <c r="AQ1814" s="4" t="s">
        <v>56</v>
      </c>
      <c r="AR1814" s="4" t="s">
        <v>58</v>
      </c>
      <c r="AS1814" s="4" t="s">
        <v>163</v>
      </c>
      <c r="AT1814" s="4"/>
      <c r="AU1814" s="27" t="s">
        <v>2846</v>
      </c>
      <c r="AV1814" s="39"/>
      <c r="AW1814" s="12" t="str">
        <f>B1814&amp;C1814&amp;L1814&amp;M1814&amp;O1814&amp;U1814&amp;AL1814&amp;AM1814</f>
        <v>Papua New GuineaDyual Island MPAPlectropomus areolatusdensity1.12220309810671Hamilton2011</v>
      </c>
    </row>
    <row r="1815" spans="1:49" ht="14.5" x14ac:dyDescent="0.35">
      <c r="A1815" s="12">
        <v>1814</v>
      </c>
      <c r="B1815" s="15" t="s">
        <v>710</v>
      </c>
      <c r="C1815" s="12" t="s">
        <v>1980</v>
      </c>
      <c r="D1815" s="15" t="s">
        <v>1980</v>
      </c>
      <c r="E1815" s="12" t="s">
        <v>68</v>
      </c>
      <c r="F1815" s="13" t="s">
        <v>171</v>
      </c>
      <c r="G1815" s="13" t="s">
        <v>51</v>
      </c>
      <c r="H1815" s="13" t="s">
        <v>52</v>
      </c>
      <c r="I1815" s="13" t="s">
        <v>156</v>
      </c>
      <c r="J1815" s="18">
        <v>0.1</v>
      </c>
      <c r="K1815" s="23"/>
      <c r="L1815" s="17" t="s">
        <v>712</v>
      </c>
      <c r="M1815" s="5"/>
      <c r="N1815" s="14" t="s">
        <v>85</v>
      </c>
      <c r="O1815" s="17" t="s">
        <v>86</v>
      </c>
      <c r="P1815" s="5"/>
      <c r="Q1815" s="5"/>
      <c r="R1815" s="5"/>
      <c r="S1815" s="5">
        <f>0.73*1000</f>
        <v>730</v>
      </c>
      <c r="T1815" s="5">
        <f>2.92*1000</f>
        <v>2920</v>
      </c>
      <c r="U1815" s="5">
        <f t="shared" si="124"/>
        <v>4</v>
      </c>
      <c r="V1815" s="5">
        <f t="shared" si="123"/>
        <v>300</v>
      </c>
      <c r="W1815" s="5"/>
      <c r="X1815" s="5" t="s">
        <v>56</v>
      </c>
      <c r="Y1815" s="18"/>
      <c r="Z1815" s="14" t="s">
        <v>56</v>
      </c>
      <c r="AA1815" s="5"/>
      <c r="AB1815" s="5" t="s">
        <v>57</v>
      </c>
      <c r="AC1815" s="5">
        <v>2005</v>
      </c>
      <c r="AD1815" s="5">
        <v>4</v>
      </c>
      <c r="AE1815" s="5"/>
      <c r="AF1815" s="5"/>
      <c r="AG1815" s="23">
        <v>2004</v>
      </c>
      <c r="AH1815" s="5">
        <f t="shared" si="121"/>
        <v>1</v>
      </c>
      <c r="AI1815" s="5">
        <f t="shared" si="122"/>
        <v>5</v>
      </c>
      <c r="AJ1815" s="5"/>
      <c r="AK1815" s="5" t="s">
        <v>58</v>
      </c>
      <c r="AL1815" s="6" t="s">
        <v>81</v>
      </c>
      <c r="AM1815" s="5">
        <v>2011</v>
      </c>
      <c r="AN1815" s="4" t="s">
        <v>263</v>
      </c>
      <c r="AO1815" s="4" t="s">
        <v>56</v>
      </c>
      <c r="AP1815" s="4"/>
      <c r="AQ1815" s="4" t="s">
        <v>56</v>
      </c>
      <c r="AR1815" s="4" t="s">
        <v>58</v>
      </c>
      <c r="AS1815" s="4" t="s">
        <v>163</v>
      </c>
      <c r="AT1815" s="4"/>
      <c r="AU1815" s="27" t="s">
        <v>2847</v>
      </c>
      <c r="AV1815" s="39"/>
      <c r="AW1815" s="12" t="str">
        <f>B1815&amp;C1815&amp;L1815&amp;M1815&amp;O1815&amp;U1815&amp;AL1815&amp;AM1815</f>
        <v>Papua New GuineaTigak Islands MPAEpinephelus fuscoguttatusdensity4Hamilton2011</v>
      </c>
    </row>
    <row r="1816" spans="1:49" ht="14.5" x14ac:dyDescent="0.35">
      <c r="A1816" s="12">
        <v>1815</v>
      </c>
      <c r="B1816" s="12" t="s">
        <v>710</v>
      </c>
      <c r="C1816" s="12" t="s">
        <v>1980</v>
      </c>
      <c r="D1816" s="12" t="s">
        <v>1980</v>
      </c>
      <c r="E1816" s="12" t="s">
        <v>68</v>
      </c>
      <c r="F1816" s="13" t="s">
        <v>171</v>
      </c>
      <c r="G1816" s="13" t="s">
        <v>51</v>
      </c>
      <c r="H1816" s="13" t="s">
        <v>52</v>
      </c>
      <c r="I1816" s="13" t="s">
        <v>156</v>
      </c>
      <c r="J1816" s="18">
        <v>0.1</v>
      </c>
      <c r="K1816" s="23"/>
      <c r="L1816" s="14" t="s">
        <v>2806</v>
      </c>
      <c r="M1816" s="5"/>
      <c r="N1816" s="14" t="s">
        <v>85</v>
      </c>
      <c r="O1816" s="17" t="s">
        <v>86</v>
      </c>
      <c r="P1816" s="5"/>
      <c r="Q1816" s="5"/>
      <c r="R1816" s="5"/>
      <c r="S1816" s="5">
        <f>0.19*1000</f>
        <v>190</v>
      </c>
      <c r="T1816" s="5">
        <f>1.93*1000</f>
        <v>1930</v>
      </c>
      <c r="U1816" s="5">
        <f t="shared" si="124"/>
        <v>10.157894736842104</v>
      </c>
      <c r="V1816" s="5">
        <f t="shared" si="123"/>
        <v>915.78947368421041</v>
      </c>
      <c r="W1816" s="5"/>
      <c r="X1816" s="5" t="s">
        <v>56</v>
      </c>
      <c r="Y1816" s="18"/>
      <c r="Z1816" s="14" t="s">
        <v>56</v>
      </c>
      <c r="AA1816" s="5"/>
      <c r="AB1816" s="5" t="s">
        <v>57</v>
      </c>
      <c r="AC1816" s="5">
        <v>2005</v>
      </c>
      <c r="AD1816" s="5">
        <v>4</v>
      </c>
      <c r="AE1816" s="5"/>
      <c r="AF1816" s="5"/>
      <c r="AG1816" s="23">
        <v>2004</v>
      </c>
      <c r="AH1816" s="5">
        <f t="shared" si="121"/>
        <v>1</v>
      </c>
      <c r="AI1816" s="5">
        <f t="shared" si="122"/>
        <v>5</v>
      </c>
      <c r="AJ1816" s="5"/>
      <c r="AK1816" s="5" t="s">
        <v>58</v>
      </c>
      <c r="AL1816" s="6" t="s">
        <v>81</v>
      </c>
      <c r="AM1816" s="5">
        <v>2011</v>
      </c>
      <c r="AN1816" s="4" t="s">
        <v>263</v>
      </c>
      <c r="AO1816" s="4" t="s">
        <v>56</v>
      </c>
      <c r="AP1816" s="4"/>
      <c r="AQ1816" s="4" t="s">
        <v>56</v>
      </c>
      <c r="AR1816" s="4" t="s">
        <v>58</v>
      </c>
      <c r="AS1816" s="4" t="s">
        <v>163</v>
      </c>
      <c r="AT1816" s="4"/>
      <c r="AU1816" s="27" t="s">
        <v>2847</v>
      </c>
      <c r="AV1816" s="39"/>
      <c r="AW1816" s="12" t="str">
        <f>B1816&amp;C1816&amp;L1816&amp;M1816&amp;O1816&amp;U1816&amp;AL1816&amp;AM1816</f>
        <v>Papua New GuineaTigak Islands MPAEpinephelus polyphekadiondensity10.1578947368421Hamilton2011</v>
      </c>
    </row>
    <row r="1817" spans="1:49" ht="14.5" x14ac:dyDescent="0.35">
      <c r="A1817" s="12">
        <v>1816</v>
      </c>
      <c r="B1817" s="15" t="s">
        <v>710</v>
      </c>
      <c r="C1817" s="15" t="s">
        <v>1980</v>
      </c>
      <c r="D1817" s="15" t="s">
        <v>1980</v>
      </c>
      <c r="E1817" s="12" t="s">
        <v>68</v>
      </c>
      <c r="F1817" s="13" t="s">
        <v>171</v>
      </c>
      <c r="G1817" s="13" t="s">
        <v>51</v>
      </c>
      <c r="H1817" s="13" t="s">
        <v>52</v>
      </c>
      <c r="I1817" s="13" t="s">
        <v>156</v>
      </c>
      <c r="J1817" s="18">
        <v>0.1</v>
      </c>
      <c r="K1817" s="23"/>
      <c r="L1817" s="17" t="s">
        <v>2807</v>
      </c>
      <c r="M1817" s="5"/>
      <c r="N1817" s="14" t="s">
        <v>85</v>
      </c>
      <c r="O1817" s="17" t="s">
        <v>86</v>
      </c>
      <c r="P1817" s="5"/>
      <c r="Q1817" s="5"/>
      <c r="R1817" s="5"/>
      <c r="S1817" s="5">
        <f>5.81*1000</f>
        <v>5810</v>
      </c>
      <c r="T1817" s="5">
        <f>5.03*1000</f>
        <v>5030</v>
      </c>
      <c r="U1817" s="5">
        <f t="shared" si="124"/>
        <v>0.86574870912220314</v>
      </c>
      <c r="V1817" s="5">
        <f t="shared" si="123"/>
        <v>-13.425129087779686</v>
      </c>
      <c r="W1817" s="5"/>
      <c r="X1817" s="5" t="s">
        <v>56</v>
      </c>
      <c r="Y1817" s="18"/>
      <c r="Z1817" s="14" t="s">
        <v>56</v>
      </c>
      <c r="AA1817" s="5"/>
      <c r="AB1817" s="5" t="s">
        <v>57</v>
      </c>
      <c r="AC1817" s="5">
        <v>2005</v>
      </c>
      <c r="AD1817" s="5">
        <v>4</v>
      </c>
      <c r="AE1817" s="5"/>
      <c r="AF1817" s="5"/>
      <c r="AG1817" s="23">
        <v>2004</v>
      </c>
      <c r="AH1817" s="5">
        <f t="shared" si="121"/>
        <v>1</v>
      </c>
      <c r="AI1817" s="5">
        <f t="shared" si="122"/>
        <v>5</v>
      </c>
      <c r="AJ1817" s="5"/>
      <c r="AK1817" s="5" t="s">
        <v>58</v>
      </c>
      <c r="AL1817" s="6" t="s">
        <v>81</v>
      </c>
      <c r="AM1817" s="5">
        <v>2011</v>
      </c>
      <c r="AN1817" s="4" t="s">
        <v>263</v>
      </c>
      <c r="AO1817" s="4" t="s">
        <v>56</v>
      </c>
      <c r="AP1817" s="4"/>
      <c r="AQ1817" s="4" t="s">
        <v>56</v>
      </c>
      <c r="AR1817" s="4" t="s">
        <v>58</v>
      </c>
      <c r="AS1817" s="4" t="s">
        <v>163</v>
      </c>
      <c r="AT1817" s="4"/>
      <c r="AU1817" s="27" t="s">
        <v>2847</v>
      </c>
      <c r="AV1817" s="39"/>
      <c r="AW1817" s="12" t="str">
        <f>B1817&amp;C1817&amp;L1817&amp;M1817&amp;O1817&amp;U1817&amp;AL1817&amp;AM1817</f>
        <v>Papua New GuineaTigak Islands MPAPlectropomus areolatusdensity0.865748709122203Hamilton2011</v>
      </c>
    </row>
    <row r="1818" spans="1:49" ht="14.5" x14ac:dyDescent="0.35">
      <c r="A1818" s="12">
        <v>1817</v>
      </c>
      <c r="B1818" s="15" t="s">
        <v>477</v>
      </c>
      <c r="C1818" s="43" t="s">
        <v>1363</v>
      </c>
      <c r="D1818" s="43" t="s">
        <v>1375</v>
      </c>
      <c r="E1818" s="12" t="s">
        <v>136</v>
      </c>
      <c r="F1818" s="13" t="s">
        <v>480</v>
      </c>
      <c r="G1818" s="13" t="s">
        <v>51</v>
      </c>
      <c r="H1818" s="16" t="s">
        <v>481</v>
      </c>
      <c r="I1818" s="16" t="s">
        <v>53</v>
      </c>
      <c r="J1818" s="17">
        <v>0.94</v>
      </c>
      <c r="K1818" s="17"/>
      <c r="L1818" s="17"/>
      <c r="M1818" s="17" t="s">
        <v>69</v>
      </c>
      <c r="N1818" s="17" t="s">
        <v>1070</v>
      </c>
      <c r="O1818" s="17" t="s">
        <v>55</v>
      </c>
      <c r="P1818" s="17"/>
      <c r="Q1818" s="17"/>
      <c r="R1818" s="17"/>
      <c r="S1818" s="17">
        <v>3.9</v>
      </c>
      <c r="T1818" s="17">
        <v>6.1</v>
      </c>
      <c r="U1818" s="19">
        <f t="shared" si="124"/>
        <v>1.5641025641025641</v>
      </c>
      <c r="V1818" s="41">
        <f t="shared" si="123"/>
        <v>56.410256410256409</v>
      </c>
      <c r="W1818" s="14"/>
      <c r="X1818" s="17" t="s">
        <v>56</v>
      </c>
      <c r="Y1818" s="12"/>
      <c r="Z1818" s="17" t="s">
        <v>56</v>
      </c>
      <c r="AA1818" s="17"/>
      <c r="AB1818" s="17" t="s">
        <v>57</v>
      </c>
      <c r="AC1818" s="17">
        <v>2018</v>
      </c>
      <c r="AD1818" s="17">
        <v>0</v>
      </c>
      <c r="AE1818" s="17"/>
      <c r="AF1818" s="17"/>
      <c r="AG1818" s="17">
        <v>1983</v>
      </c>
      <c r="AH1818" s="14">
        <f t="shared" si="121"/>
        <v>35</v>
      </c>
      <c r="AI1818" s="17">
        <f t="shared" si="122"/>
        <v>35</v>
      </c>
      <c r="AJ1818" s="17"/>
      <c r="AK1818" s="17" t="s">
        <v>56</v>
      </c>
      <c r="AL1818" s="15" t="s">
        <v>1384</v>
      </c>
      <c r="AM1818" s="17">
        <v>2019</v>
      </c>
      <c r="AN1818" s="12" t="s">
        <v>860</v>
      </c>
      <c r="AO1818" s="15" t="s">
        <v>56</v>
      </c>
      <c r="AP1818" s="15"/>
      <c r="AQ1818" s="15" t="s">
        <v>56</v>
      </c>
      <c r="AR1818" s="15" t="s">
        <v>58</v>
      </c>
      <c r="AS1818" s="15" t="s">
        <v>62</v>
      </c>
      <c r="AT1818" s="12"/>
      <c r="AU1818" s="45"/>
      <c r="AV1818" s="15"/>
      <c r="AW1818" s="12" t="str">
        <f>B1818&amp;C1818&amp;L1818&amp;M1818&amp;O1818&amp;U1818&amp;AL1818&amp;AM1818</f>
        <v>SpainMedes Islands Marine Reservefishrichness1.56410256410256Grane-Feliu2019</v>
      </c>
    </row>
    <row r="1819" spans="1:49" ht="14.5" x14ac:dyDescent="0.35">
      <c r="A1819" s="12">
        <v>1818</v>
      </c>
      <c r="B1819" s="15" t="s">
        <v>477</v>
      </c>
      <c r="C1819" s="43" t="s">
        <v>1363</v>
      </c>
      <c r="D1819" s="43" t="s">
        <v>1375</v>
      </c>
      <c r="E1819" s="12" t="s">
        <v>136</v>
      </c>
      <c r="F1819" s="13" t="s">
        <v>480</v>
      </c>
      <c r="G1819" s="13" t="s">
        <v>51</v>
      </c>
      <c r="H1819" s="16" t="s">
        <v>481</v>
      </c>
      <c r="I1819" s="16" t="s">
        <v>53</v>
      </c>
      <c r="J1819" s="17">
        <v>0.94</v>
      </c>
      <c r="K1819" s="17"/>
      <c r="L1819" s="17"/>
      <c r="M1819" s="17" t="s">
        <v>69</v>
      </c>
      <c r="N1819" s="17" t="s">
        <v>1070</v>
      </c>
      <c r="O1819" s="17" t="s">
        <v>70</v>
      </c>
      <c r="P1819" s="17"/>
      <c r="Q1819" s="17"/>
      <c r="R1819" s="17"/>
      <c r="S1819" s="17">
        <v>5.3036000000000003</v>
      </c>
      <c r="T1819" s="17">
        <v>102.58</v>
      </c>
      <c r="U1819" s="19">
        <f t="shared" si="124"/>
        <v>19.341579304623274</v>
      </c>
      <c r="V1819" s="41">
        <f t="shared" si="123"/>
        <v>1834.1579304623274</v>
      </c>
      <c r="W1819" s="14"/>
      <c r="X1819" s="17" t="s">
        <v>56</v>
      </c>
      <c r="Y1819" s="12"/>
      <c r="Z1819" s="17" t="s">
        <v>56</v>
      </c>
      <c r="AA1819" s="17"/>
      <c r="AB1819" s="17" t="s">
        <v>57</v>
      </c>
      <c r="AC1819" s="17">
        <v>2018</v>
      </c>
      <c r="AD1819" s="17">
        <v>0</v>
      </c>
      <c r="AE1819" s="17"/>
      <c r="AF1819" s="17"/>
      <c r="AG1819" s="17">
        <v>1983</v>
      </c>
      <c r="AH1819" s="14">
        <f t="shared" si="121"/>
        <v>35</v>
      </c>
      <c r="AI1819" s="17">
        <f t="shared" si="122"/>
        <v>35</v>
      </c>
      <c r="AJ1819" s="17"/>
      <c r="AK1819" s="17" t="s">
        <v>56</v>
      </c>
      <c r="AL1819" s="15" t="s">
        <v>1384</v>
      </c>
      <c r="AM1819" s="17">
        <v>2019</v>
      </c>
      <c r="AN1819" s="12" t="s">
        <v>860</v>
      </c>
      <c r="AO1819" s="15" t="s">
        <v>56</v>
      </c>
      <c r="AP1819" s="15"/>
      <c r="AQ1819" s="15" t="s">
        <v>56</v>
      </c>
      <c r="AR1819" s="15" t="s">
        <v>58</v>
      </c>
      <c r="AS1819" s="15" t="s">
        <v>62</v>
      </c>
      <c r="AT1819" s="12"/>
      <c r="AU1819" s="45"/>
      <c r="AV1819" s="15"/>
      <c r="AW1819" s="12" t="str">
        <f>B1819&amp;C1819&amp;L1819&amp;M1819&amp;O1819&amp;U1819&amp;AL1819&amp;AM1819</f>
        <v>SpainMedes Islands Marine Reservefishbiomassden19.3415793046233Grane-Feliu2019</v>
      </c>
    </row>
    <row r="1820" spans="1:49" ht="14.5" x14ac:dyDescent="0.35">
      <c r="A1820" s="12">
        <v>1819</v>
      </c>
      <c r="B1820" s="15" t="s">
        <v>477</v>
      </c>
      <c r="C1820" s="43" t="s">
        <v>1363</v>
      </c>
      <c r="D1820" s="43" t="s">
        <v>1375</v>
      </c>
      <c r="E1820" s="12" t="s">
        <v>136</v>
      </c>
      <c r="F1820" s="13" t="s">
        <v>480</v>
      </c>
      <c r="G1820" s="13" t="s">
        <v>51</v>
      </c>
      <c r="H1820" s="16" t="s">
        <v>481</v>
      </c>
      <c r="I1820" s="16" t="s">
        <v>53</v>
      </c>
      <c r="J1820" s="17">
        <v>0.94</v>
      </c>
      <c r="K1820" s="17"/>
      <c r="L1820" s="17"/>
      <c r="M1820" s="17" t="s">
        <v>69</v>
      </c>
      <c r="N1820" s="17" t="s">
        <v>1070</v>
      </c>
      <c r="O1820" s="17" t="s">
        <v>86</v>
      </c>
      <c r="P1820" s="17"/>
      <c r="Q1820" s="17"/>
      <c r="R1820" s="17"/>
      <c r="S1820" s="17">
        <v>38.44</v>
      </c>
      <c r="T1820" s="17">
        <v>102.78</v>
      </c>
      <c r="U1820" s="19">
        <f t="shared" si="124"/>
        <v>2.6737773152965665</v>
      </c>
      <c r="V1820" s="41">
        <f t="shared" si="123"/>
        <v>167.37773152965664</v>
      </c>
      <c r="W1820" s="14"/>
      <c r="X1820" s="17" t="s">
        <v>56</v>
      </c>
      <c r="Z1820" s="17" t="s">
        <v>56</v>
      </c>
      <c r="AA1820" s="17"/>
      <c r="AB1820" s="17" t="s">
        <v>57</v>
      </c>
      <c r="AC1820" s="17">
        <v>2018</v>
      </c>
      <c r="AD1820" s="17">
        <v>0</v>
      </c>
      <c r="AE1820" s="17"/>
      <c r="AF1820" s="17"/>
      <c r="AG1820" s="17">
        <v>1983</v>
      </c>
      <c r="AH1820" s="14">
        <f t="shared" si="121"/>
        <v>35</v>
      </c>
      <c r="AI1820" s="17">
        <f t="shared" si="122"/>
        <v>35</v>
      </c>
      <c r="AJ1820" s="17"/>
      <c r="AK1820" s="17" t="s">
        <v>56</v>
      </c>
      <c r="AL1820" s="15" t="s">
        <v>1384</v>
      </c>
      <c r="AM1820" s="17">
        <v>2019</v>
      </c>
      <c r="AN1820" s="12" t="s">
        <v>860</v>
      </c>
      <c r="AO1820" s="15" t="s">
        <v>56</v>
      </c>
      <c r="AP1820" s="15"/>
      <c r="AQ1820" s="15" t="s">
        <v>56</v>
      </c>
      <c r="AR1820" s="15" t="s">
        <v>58</v>
      </c>
      <c r="AS1820" s="15" t="s">
        <v>62</v>
      </c>
      <c r="AT1820" s="12"/>
      <c r="AU1820" s="45"/>
      <c r="AV1820" s="15"/>
      <c r="AW1820" s="12" t="str">
        <f>B1820&amp;C1820&amp;L1820&amp;M1820&amp;O1820&amp;U1820&amp;AL1820&amp;AM1820</f>
        <v>SpainMedes Islands Marine Reservefishdensity2.67377731529657Grane-Feliu2019</v>
      </c>
    </row>
    <row r="1821" spans="1:49" ht="14.5" x14ac:dyDescent="0.35">
      <c r="A1821" s="12">
        <v>1820</v>
      </c>
      <c r="B1821" s="15" t="s">
        <v>153</v>
      </c>
      <c r="C1821" s="15" t="s">
        <v>2698</v>
      </c>
      <c r="D1821" s="15" t="s">
        <v>2699</v>
      </c>
      <c r="E1821" s="12" t="s">
        <v>68</v>
      </c>
      <c r="F1821" s="13" t="s">
        <v>50</v>
      </c>
      <c r="G1821" s="13" t="s">
        <v>51</v>
      </c>
      <c r="H1821" s="16" t="s">
        <v>78</v>
      </c>
      <c r="I1821" s="16" t="s">
        <v>156</v>
      </c>
      <c r="J1821" s="17" t="s">
        <v>509</v>
      </c>
      <c r="K1821" s="17"/>
      <c r="L1821" s="17" t="s">
        <v>1543</v>
      </c>
      <c r="M1821" s="17"/>
      <c r="N1821" s="17" t="s">
        <v>170</v>
      </c>
      <c r="O1821" s="17" t="s">
        <v>86</v>
      </c>
      <c r="P1821" s="17"/>
      <c r="Q1821" s="17"/>
      <c r="R1821" s="17"/>
      <c r="S1821" s="17">
        <v>733.33330000000001</v>
      </c>
      <c r="T1821" s="17">
        <v>573.33330000000001</v>
      </c>
      <c r="U1821" s="19">
        <f t="shared" si="124"/>
        <v>0.78181817190082603</v>
      </c>
      <c r="V1821" s="41">
        <f t="shared" si="123"/>
        <v>-21.818182809917396</v>
      </c>
      <c r="W1821" s="14"/>
      <c r="X1821" s="17" t="s">
        <v>58</v>
      </c>
      <c r="Y1821" s="14">
        <v>60</v>
      </c>
      <c r="Z1821" s="17" t="s">
        <v>56</v>
      </c>
      <c r="AA1821" s="17"/>
      <c r="AB1821" s="17" t="s">
        <v>57</v>
      </c>
      <c r="AC1821" s="17">
        <v>2013</v>
      </c>
      <c r="AD1821" s="17">
        <v>0</v>
      </c>
      <c r="AE1821" s="17"/>
      <c r="AF1821" s="17"/>
      <c r="AG1821" s="17" t="s">
        <v>509</v>
      </c>
      <c r="AH1821" s="14" t="str">
        <f t="shared" si="121"/>
        <v>NA</v>
      </c>
      <c r="AI1821" s="17" t="str">
        <f t="shared" si="122"/>
        <v>NA</v>
      </c>
      <c r="AJ1821" s="17"/>
      <c r="AK1821" s="17" t="s">
        <v>56</v>
      </c>
      <c r="AL1821" s="15" t="s">
        <v>1544</v>
      </c>
      <c r="AM1821" s="17">
        <v>2019</v>
      </c>
      <c r="AN1821" s="12" t="s">
        <v>309</v>
      </c>
      <c r="AO1821" s="15" t="s">
        <v>56</v>
      </c>
      <c r="AP1821" s="15"/>
      <c r="AQ1821" s="15" t="s">
        <v>56</v>
      </c>
      <c r="AR1821" s="15" t="s">
        <v>58</v>
      </c>
      <c r="AS1821" s="15" t="s">
        <v>62</v>
      </c>
      <c r="AT1821" s="12"/>
      <c r="AU1821" s="45" t="s">
        <v>2700</v>
      </c>
      <c r="AV1821" s="15"/>
      <c r="AW1821" s="12" t="str">
        <f>B1821&amp;C1821&amp;L1821&amp;M1821&amp;O1821&amp;U1821&amp;AL1821&amp;AM1821</f>
        <v>PhilippinesPinamgo, Cataban, Handumon, Jandayan Norte, Batasan, Bilang-Bilangan ReservesHippolytidaedensity0.781818171900826Gillespie2019</v>
      </c>
    </row>
    <row r="1822" spans="1:49" ht="14.5" x14ac:dyDescent="0.35">
      <c r="A1822" s="12">
        <v>1821</v>
      </c>
      <c r="B1822" s="15" t="s">
        <v>153</v>
      </c>
      <c r="C1822" s="15" t="s">
        <v>2698</v>
      </c>
      <c r="D1822" s="15" t="s">
        <v>2699</v>
      </c>
      <c r="E1822" s="12" t="s">
        <v>68</v>
      </c>
      <c r="F1822" s="13" t="s">
        <v>50</v>
      </c>
      <c r="G1822" s="13" t="s">
        <v>51</v>
      </c>
      <c r="H1822" s="16" t="s">
        <v>78</v>
      </c>
      <c r="I1822" s="16" t="s">
        <v>156</v>
      </c>
      <c r="J1822" s="17" t="s">
        <v>509</v>
      </c>
      <c r="K1822" s="17"/>
      <c r="L1822" s="17" t="s">
        <v>1545</v>
      </c>
      <c r="M1822" s="17"/>
      <c r="N1822" s="17" t="s">
        <v>170</v>
      </c>
      <c r="O1822" s="17" t="s">
        <v>86</v>
      </c>
      <c r="P1822" s="17"/>
      <c r="Q1822" s="17"/>
      <c r="R1822" s="17"/>
      <c r="S1822" s="17">
        <v>653.33330000000001</v>
      </c>
      <c r="T1822" s="17">
        <v>1033.3330000000001</v>
      </c>
      <c r="U1822" s="19">
        <f t="shared" si="124"/>
        <v>1.5816322235526645</v>
      </c>
      <c r="V1822" s="41">
        <f t="shared" si="123"/>
        <v>58.163222355266456</v>
      </c>
      <c r="W1822" s="14"/>
      <c r="X1822" s="17" t="s">
        <v>58</v>
      </c>
      <c r="Y1822" s="17">
        <v>60</v>
      </c>
      <c r="Z1822" s="17" t="s">
        <v>56</v>
      </c>
      <c r="AA1822" s="17"/>
      <c r="AB1822" s="17" t="s">
        <v>57</v>
      </c>
      <c r="AC1822" s="17">
        <v>2013</v>
      </c>
      <c r="AD1822" s="17">
        <v>0</v>
      </c>
      <c r="AE1822" s="17"/>
      <c r="AF1822" s="17"/>
      <c r="AG1822" s="17" t="s">
        <v>509</v>
      </c>
      <c r="AH1822" s="14" t="str">
        <f t="shared" si="121"/>
        <v>NA</v>
      </c>
      <c r="AI1822" s="17" t="str">
        <f t="shared" si="122"/>
        <v>NA</v>
      </c>
      <c r="AJ1822" s="17"/>
      <c r="AK1822" s="17" t="s">
        <v>56</v>
      </c>
      <c r="AL1822" s="15" t="s">
        <v>1544</v>
      </c>
      <c r="AM1822" s="17">
        <v>2019</v>
      </c>
      <c r="AN1822" s="12" t="s">
        <v>309</v>
      </c>
      <c r="AO1822" s="15" t="s">
        <v>56</v>
      </c>
      <c r="AP1822" s="15"/>
      <c r="AQ1822" s="15" t="s">
        <v>56</v>
      </c>
      <c r="AR1822" s="15" t="s">
        <v>58</v>
      </c>
      <c r="AS1822" s="15" t="s">
        <v>62</v>
      </c>
      <c r="AT1822" s="12"/>
      <c r="AU1822" s="45" t="s">
        <v>2700</v>
      </c>
      <c r="AV1822" s="15"/>
      <c r="AW1822" s="12" t="str">
        <f>B1822&amp;C1822&amp;L1822&amp;M1822&amp;O1822&amp;U1822&amp;AL1822&amp;AM1822</f>
        <v>PhilippinesPinamgo, Cataban, Handumon, Jandayan Norte, Batasan, Bilang-Bilangan ReservesArcidaedensity1.58163222355266Gillespie2019</v>
      </c>
    </row>
    <row r="1823" spans="1:49" ht="14.5" x14ac:dyDescent="0.35">
      <c r="A1823" s="12">
        <v>1822</v>
      </c>
      <c r="B1823" s="15" t="s">
        <v>153</v>
      </c>
      <c r="C1823" s="15" t="s">
        <v>2698</v>
      </c>
      <c r="D1823" s="15" t="s">
        <v>2699</v>
      </c>
      <c r="E1823" s="12" t="s">
        <v>68</v>
      </c>
      <c r="F1823" s="13" t="s">
        <v>50</v>
      </c>
      <c r="G1823" s="13" t="s">
        <v>51</v>
      </c>
      <c r="H1823" s="16" t="s">
        <v>78</v>
      </c>
      <c r="I1823" s="16" t="s">
        <v>156</v>
      </c>
      <c r="J1823" s="17" t="s">
        <v>509</v>
      </c>
      <c r="K1823" s="17"/>
      <c r="L1823" s="17" t="s">
        <v>1546</v>
      </c>
      <c r="M1823" s="17"/>
      <c r="N1823" s="17" t="s">
        <v>170</v>
      </c>
      <c r="O1823" s="17" t="s">
        <v>86</v>
      </c>
      <c r="P1823" s="17"/>
      <c r="Q1823" s="17"/>
      <c r="R1823" s="17"/>
      <c r="S1823" s="17">
        <v>520</v>
      </c>
      <c r="T1823" s="17">
        <v>506.66669999999999</v>
      </c>
      <c r="U1823" s="19">
        <f t="shared" si="124"/>
        <v>0.97435903846153848</v>
      </c>
      <c r="V1823" s="41">
        <f t="shared" si="123"/>
        <v>-2.5640961538461515</v>
      </c>
      <c r="W1823" s="14"/>
      <c r="X1823" s="17" t="s">
        <v>58</v>
      </c>
      <c r="Y1823" s="17">
        <v>60</v>
      </c>
      <c r="Z1823" s="17" t="s">
        <v>56</v>
      </c>
      <c r="AA1823" s="17"/>
      <c r="AB1823" s="17" t="s">
        <v>57</v>
      </c>
      <c r="AC1823" s="17">
        <v>2013</v>
      </c>
      <c r="AD1823" s="17">
        <v>0</v>
      </c>
      <c r="AE1823" s="17"/>
      <c r="AF1823" s="17"/>
      <c r="AG1823" s="17" t="s">
        <v>509</v>
      </c>
      <c r="AH1823" s="14" t="str">
        <f t="shared" si="121"/>
        <v>NA</v>
      </c>
      <c r="AI1823" s="17" t="str">
        <f t="shared" si="122"/>
        <v>NA</v>
      </c>
      <c r="AJ1823" s="17"/>
      <c r="AK1823" s="17" t="s">
        <v>56</v>
      </c>
      <c r="AL1823" s="15" t="s">
        <v>1544</v>
      </c>
      <c r="AM1823" s="17">
        <v>2019</v>
      </c>
      <c r="AN1823" s="12" t="s">
        <v>309</v>
      </c>
      <c r="AO1823" s="15" t="s">
        <v>56</v>
      </c>
      <c r="AP1823" s="15"/>
      <c r="AQ1823" s="15" t="s">
        <v>56</v>
      </c>
      <c r="AR1823" s="15" t="s">
        <v>58</v>
      </c>
      <c r="AS1823" s="15" t="s">
        <v>62</v>
      </c>
      <c r="AT1823" s="12"/>
      <c r="AU1823" s="45" t="s">
        <v>2700</v>
      </c>
      <c r="AV1823" s="15"/>
      <c r="AW1823" s="12" t="str">
        <f>B1823&amp;C1823&amp;L1823&amp;M1823&amp;O1823&amp;U1823&amp;AL1823&amp;AM1823</f>
        <v>PhilippinesPinamgo, Cataban, Handumon, Jandayan Norte, Batasan, Bilang-Bilangan ReservesVermetidaedensity0.974359038461538Gillespie2019</v>
      </c>
    </row>
    <row r="1824" spans="1:49" ht="14.5" x14ac:dyDescent="0.35">
      <c r="A1824" s="12">
        <v>1823</v>
      </c>
      <c r="B1824" s="15" t="s">
        <v>153</v>
      </c>
      <c r="C1824" s="15" t="s">
        <v>2698</v>
      </c>
      <c r="D1824" s="15" t="s">
        <v>2699</v>
      </c>
      <c r="E1824" s="12" t="s">
        <v>68</v>
      </c>
      <c r="F1824" s="13" t="s">
        <v>50</v>
      </c>
      <c r="G1824" s="13" t="s">
        <v>51</v>
      </c>
      <c r="H1824" s="16" t="s">
        <v>78</v>
      </c>
      <c r="I1824" s="16" t="s">
        <v>156</v>
      </c>
      <c r="J1824" s="17" t="s">
        <v>509</v>
      </c>
      <c r="K1824" s="17"/>
      <c r="L1824" s="17" t="s">
        <v>1547</v>
      </c>
      <c r="M1824" s="17"/>
      <c r="N1824" s="17" t="s">
        <v>170</v>
      </c>
      <c r="O1824" s="17" t="s">
        <v>86</v>
      </c>
      <c r="P1824" s="17"/>
      <c r="Q1824" s="17"/>
      <c r="R1824" s="17"/>
      <c r="S1824" s="17">
        <v>260</v>
      </c>
      <c r="T1824" s="17">
        <v>280</v>
      </c>
      <c r="U1824" s="19">
        <f t="shared" si="124"/>
        <v>1.0769230769230769</v>
      </c>
      <c r="V1824" s="41">
        <f t="shared" si="123"/>
        <v>7.6923076923076872</v>
      </c>
      <c r="W1824" s="14"/>
      <c r="X1824" s="17" t="s">
        <v>58</v>
      </c>
      <c r="Y1824" s="17">
        <v>60</v>
      </c>
      <c r="Z1824" s="17" t="s">
        <v>56</v>
      </c>
      <c r="AA1824" s="17"/>
      <c r="AB1824" s="17" t="s">
        <v>57</v>
      </c>
      <c r="AC1824" s="17">
        <v>2013</v>
      </c>
      <c r="AD1824" s="17">
        <v>0</v>
      </c>
      <c r="AE1824" s="17"/>
      <c r="AF1824" s="17"/>
      <c r="AG1824" s="17" t="s">
        <v>509</v>
      </c>
      <c r="AH1824" s="14" t="str">
        <f t="shared" si="121"/>
        <v>NA</v>
      </c>
      <c r="AI1824" s="17" t="str">
        <f t="shared" si="122"/>
        <v>NA</v>
      </c>
      <c r="AJ1824" s="17"/>
      <c r="AK1824" s="17" t="s">
        <v>56</v>
      </c>
      <c r="AL1824" s="15" t="s">
        <v>1544</v>
      </c>
      <c r="AM1824" s="17">
        <v>2019</v>
      </c>
      <c r="AN1824" s="12" t="s">
        <v>309</v>
      </c>
      <c r="AO1824" s="15" t="s">
        <v>56</v>
      </c>
      <c r="AP1824" s="15"/>
      <c r="AQ1824" s="15" t="s">
        <v>56</v>
      </c>
      <c r="AR1824" s="15" t="s">
        <v>58</v>
      </c>
      <c r="AS1824" s="15" t="s">
        <v>62</v>
      </c>
      <c r="AT1824" s="12"/>
      <c r="AU1824" s="45" t="s">
        <v>2700</v>
      </c>
      <c r="AV1824" s="15"/>
      <c r="AW1824" s="12" t="str">
        <f>B1824&amp;C1824&amp;L1824&amp;M1824&amp;O1824&amp;U1824&amp;AL1824&amp;AM1824</f>
        <v>PhilippinesPinamgo, Cataban, Handumon, Jandayan Norte, Batasan, Bilang-Bilangan ReservesCerithiidaedensity1.07692307692308Gillespie2019</v>
      </c>
    </row>
    <row r="1825" spans="1:49" ht="14.5" x14ac:dyDescent="0.35">
      <c r="A1825" s="12">
        <v>1824</v>
      </c>
      <c r="B1825" s="15" t="s">
        <v>153</v>
      </c>
      <c r="C1825" s="15" t="s">
        <v>2698</v>
      </c>
      <c r="D1825" s="15" t="s">
        <v>2699</v>
      </c>
      <c r="E1825" s="15" t="s">
        <v>68</v>
      </c>
      <c r="F1825" s="13" t="s">
        <v>50</v>
      </c>
      <c r="G1825" s="13" t="s">
        <v>51</v>
      </c>
      <c r="H1825" s="16" t="s">
        <v>78</v>
      </c>
      <c r="I1825" s="16" t="s">
        <v>156</v>
      </c>
      <c r="J1825" s="17" t="s">
        <v>509</v>
      </c>
      <c r="K1825" s="17"/>
      <c r="L1825" s="17" t="s">
        <v>1548</v>
      </c>
      <c r="M1825" s="17"/>
      <c r="N1825" s="17" t="s">
        <v>170</v>
      </c>
      <c r="O1825" s="17" t="s">
        <v>86</v>
      </c>
      <c r="P1825" s="17"/>
      <c r="Q1825" s="17"/>
      <c r="R1825" s="17"/>
      <c r="S1825" s="17">
        <v>393.33330000000001</v>
      </c>
      <c r="T1825" s="17">
        <v>193.33330000000001</v>
      </c>
      <c r="U1825" s="20">
        <f t="shared" si="124"/>
        <v>0.49152538063774415</v>
      </c>
      <c r="V1825" s="41">
        <f t="shared" si="123"/>
        <v>-50.847461936225578</v>
      </c>
      <c r="W1825" s="17"/>
      <c r="X1825" s="17" t="s">
        <v>58</v>
      </c>
      <c r="Y1825" s="17">
        <v>60</v>
      </c>
      <c r="Z1825" s="17" t="s">
        <v>56</v>
      </c>
      <c r="AA1825" s="17"/>
      <c r="AB1825" s="17" t="s">
        <v>57</v>
      </c>
      <c r="AC1825" s="17">
        <v>2013</v>
      </c>
      <c r="AD1825" s="17">
        <v>0</v>
      </c>
      <c r="AE1825" s="17"/>
      <c r="AF1825" s="17"/>
      <c r="AG1825" s="17" t="s">
        <v>509</v>
      </c>
      <c r="AH1825" s="14" t="str">
        <f t="shared" si="121"/>
        <v>NA</v>
      </c>
      <c r="AI1825" s="17" t="str">
        <f t="shared" si="122"/>
        <v>NA</v>
      </c>
      <c r="AJ1825" s="17"/>
      <c r="AK1825" s="17" t="s">
        <v>56</v>
      </c>
      <c r="AL1825" s="15" t="s">
        <v>1544</v>
      </c>
      <c r="AM1825" s="17">
        <v>2019</v>
      </c>
      <c r="AN1825" s="12" t="s">
        <v>309</v>
      </c>
      <c r="AO1825" s="15" t="s">
        <v>56</v>
      </c>
      <c r="AP1825" s="15"/>
      <c r="AQ1825" s="15" t="s">
        <v>56</v>
      </c>
      <c r="AR1825" s="15" t="s">
        <v>58</v>
      </c>
      <c r="AS1825" s="15" t="s">
        <v>62</v>
      </c>
      <c r="AT1825" s="15"/>
      <c r="AU1825" s="45" t="s">
        <v>2700</v>
      </c>
      <c r="AV1825" s="15"/>
      <c r="AW1825" s="12" t="str">
        <f>B1825&amp;C1825&amp;L1825&amp;M1825&amp;O1825&amp;U1825&amp;AL1825&amp;AM1825</f>
        <v>PhilippinesPinamgo, Cataban, Handumon, Jandayan Norte, Batasan, Bilang-Bilangan ReservesMalleidaedensity0.491525380637744Gillespie2019</v>
      </c>
    </row>
    <row r="1826" spans="1:49" ht="14.5" x14ac:dyDescent="0.35">
      <c r="A1826" s="12">
        <v>1825</v>
      </c>
      <c r="B1826" s="15" t="s">
        <v>153</v>
      </c>
      <c r="C1826" s="15" t="s">
        <v>2698</v>
      </c>
      <c r="D1826" s="15" t="s">
        <v>2699</v>
      </c>
      <c r="E1826" s="15" t="s">
        <v>68</v>
      </c>
      <c r="F1826" s="13" t="s">
        <v>50</v>
      </c>
      <c r="G1826" s="13" t="s">
        <v>51</v>
      </c>
      <c r="H1826" s="16" t="s">
        <v>78</v>
      </c>
      <c r="I1826" s="16" t="s">
        <v>156</v>
      </c>
      <c r="J1826" s="17" t="s">
        <v>509</v>
      </c>
      <c r="K1826" s="17"/>
      <c r="L1826" s="17" t="s">
        <v>1549</v>
      </c>
      <c r="M1826" s="17"/>
      <c r="N1826" s="17" t="s">
        <v>170</v>
      </c>
      <c r="O1826" s="17" t="s">
        <v>86</v>
      </c>
      <c r="P1826" s="17"/>
      <c r="Q1826" s="17"/>
      <c r="R1826" s="17"/>
      <c r="S1826" s="17">
        <v>120</v>
      </c>
      <c r="T1826" s="17">
        <v>200</v>
      </c>
      <c r="U1826" s="20">
        <f t="shared" si="124"/>
        <v>1.6666666666666667</v>
      </c>
      <c r="V1826" s="41">
        <f t="shared" si="123"/>
        <v>66.666666666666671</v>
      </c>
      <c r="W1826" s="17"/>
      <c r="X1826" s="17" t="s">
        <v>58</v>
      </c>
      <c r="Y1826" s="17">
        <v>60</v>
      </c>
      <c r="Z1826" s="17" t="s">
        <v>56</v>
      </c>
      <c r="AA1826" s="17"/>
      <c r="AB1826" s="17" t="s">
        <v>57</v>
      </c>
      <c r="AC1826" s="17">
        <v>2013</v>
      </c>
      <c r="AD1826" s="17">
        <v>0</v>
      </c>
      <c r="AE1826" s="17"/>
      <c r="AF1826" s="17"/>
      <c r="AG1826" s="17" t="s">
        <v>509</v>
      </c>
      <c r="AH1826" s="14" t="str">
        <f t="shared" si="121"/>
        <v>NA</v>
      </c>
      <c r="AI1826" s="17" t="str">
        <f t="shared" si="122"/>
        <v>NA</v>
      </c>
      <c r="AJ1826" s="17"/>
      <c r="AK1826" s="17" t="s">
        <v>56</v>
      </c>
      <c r="AL1826" s="15" t="s">
        <v>1544</v>
      </c>
      <c r="AM1826" s="17">
        <v>2019</v>
      </c>
      <c r="AN1826" s="12" t="s">
        <v>309</v>
      </c>
      <c r="AO1826" s="15" t="s">
        <v>56</v>
      </c>
      <c r="AP1826" s="15"/>
      <c r="AQ1826" s="15" t="s">
        <v>56</v>
      </c>
      <c r="AR1826" s="15" t="s">
        <v>58</v>
      </c>
      <c r="AS1826" s="15" t="s">
        <v>62</v>
      </c>
      <c r="AT1826" s="15"/>
      <c r="AU1826" s="45" t="s">
        <v>2700</v>
      </c>
      <c r="AV1826" s="15"/>
      <c r="AW1826" s="12" t="str">
        <f>B1826&amp;C1826&amp;L1826&amp;M1826&amp;O1826&amp;U1826&amp;AL1826&amp;AM1826</f>
        <v>PhilippinesPinamgo, Cataban, Handumon, Jandayan Norte, Batasan, Bilang-Bilangan ReservesMytilidaedensity1.66666666666667Gillespie2019</v>
      </c>
    </row>
    <row r="1827" spans="1:49" ht="14.5" x14ac:dyDescent="0.35">
      <c r="A1827" s="12">
        <v>1826</v>
      </c>
      <c r="B1827" s="15" t="s">
        <v>153</v>
      </c>
      <c r="C1827" s="15" t="s">
        <v>2698</v>
      </c>
      <c r="D1827" s="15" t="s">
        <v>2699</v>
      </c>
      <c r="E1827" s="15" t="s">
        <v>68</v>
      </c>
      <c r="F1827" s="16" t="s">
        <v>50</v>
      </c>
      <c r="G1827" s="16" t="s">
        <v>51</v>
      </c>
      <c r="H1827" s="16" t="s">
        <v>78</v>
      </c>
      <c r="I1827" s="16" t="s">
        <v>156</v>
      </c>
      <c r="J1827" s="17" t="s">
        <v>509</v>
      </c>
      <c r="K1827" s="17"/>
      <c r="L1827" s="17" t="s">
        <v>1550</v>
      </c>
      <c r="M1827" s="17"/>
      <c r="N1827" s="17" t="s">
        <v>170</v>
      </c>
      <c r="O1827" s="17" t="s">
        <v>86</v>
      </c>
      <c r="P1827" s="17"/>
      <c r="Q1827" s="17"/>
      <c r="R1827" s="17"/>
      <c r="S1827" s="17">
        <v>226.66669999999999</v>
      </c>
      <c r="T1827" s="17">
        <v>100</v>
      </c>
      <c r="U1827" s="20">
        <f t="shared" si="124"/>
        <v>0.44117640570935213</v>
      </c>
      <c r="V1827" s="41">
        <f t="shared" si="123"/>
        <v>-55.882359429064785</v>
      </c>
      <c r="W1827" s="17"/>
      <c r="X1827" s="17" t="s">
        <v>58</v>
      </c>
      <c r="Y1827" s="17">
        <v>60</v>
      </c>
      <c r="Z1827" s="17" t="s">
        <v>56</v>
      </c>
      <c r="AA1827" s="17"/>
      <c r="AB1827" s="17" t="s">
        <v>57</v>
      </c>
      <c r="AC1827" s="17">
        <v>2013</v>
      </c>
      <c r="AD1827" s="17">
        <v>0</v>
      </c>
      <c r="AE1827" s="17"/>
      <c r="AF1827" s="17"/>
      <c r="AG1827" s="17" t="s">
        <v>509</v>
      </c>
      <c r="AH1827" s="14" t="str">
        <f t="shared" si="121"/>
        <v>NA</v>
      </c>
      <c r="AI1827" s="17" t="str">
        <f t="shared" si="122"/>
        <v>NA</v>
      </c>
      <c r="AJ1827" s="17"/>
      <c r="AK1827" s="17" t="s">
        <v>56</v>
      </c>
      <c r="AL1827" s="15" t="s">
        <v>1544</v>
      </c>
      <c r="AM1827" s="17">
        <v>2019</v>
      </c>
      <c r="AN1827" s="12" t="s">
        <v>309</v>
      </c>
      <c r="AO1827" s="15" t="s">
        <v>56</v>
      </c>
      <c r="AP1827" s="15"/>
      <c r="AQ1827" s="15" t="s">
        <v>56</v>
      </c>
      <c r="AR1827" s="15" t="s">
        <v>58</v>
      </c>
      <c r="AS1827" s="15" t="s">
        <v>62</v>
      </c>
      <c r="AT1827" s="15"/>
      <c r="AU1827" s="45" t="s">
        <v>2700</v>
      </c>
      <c r="AV1827" s="15"/>
      <c r="AW1827" s="12" t="str">
        <f>B1827&amp;C1827&amp;L1827&amp;M1827&amp;O1827&amp;U1827&amp;AL1827&amp;AM1827</f>
        <v>PhilippinesPinamgo, Cataban, Handumon, Jandayan Norte, Batasan, Bilang-Bilangan ReservesOphiocomidaedensity0.441176405709352Gillespie2019</v>
      </c>
    </row>
    <row r="1828" spans="1:49" ht="14.5" x14ac:dyDescent="0.35">
      <c r="A1828" s="12">
        <v>1827</v>
      </c>
      <c r="B1828" s="15" t="s">
        <v>153</v>
      </c>
      <c r="C1828" s="15" t="s">
        <v>2698</v>
      </c>
      <c r="D1828" s="15" t="s">
        <v>2699</v>
      </c>
      <c r="E1828" s="15" t="s">
        <v>68</v>
      </c>
      <c r="F1828" s="16" t="s">
        <v>50</v>
      </c>
      <c r="G1828" s="16" t="s">
        <v>51</v>
      </c>
      <c r="H1828" s="16" t="s">
        <v>78</v>
      </c>
      <c r="I1828" s="16" t="s">
        <v>156</v>
      </c>
      <c r="J1828" s="17" t="s">
        <v>509</v>
      </c>
      <c r="K1828" s="17"/>
      <c r="L1828" s="17" t="s">
        <v>1551</v>
      </c>
      <c r="M1828" s="17"/>
      <c r="N1828" s="17" t="s">
        <v>170</v>
      </c>
      <c r="O1828" s="17" t="s">
        <v>86</v>
      </c>
      <c r="P1828" s="17"/>
      <c r="Q1828" s="17"/>
      <c r="R1828" s="17"/>
      <c r="S1828" s="17">
        <v>233.33330000000001</v>
      </c>
      <c r="T1828" s="17">
        <v>333.33330000000001</v>
      </c>
      <c r="U1828" s="20">
        <f t="shared" si="124"/>
        <v>1.4285714897959272</v>
      </c>
      <c r="V1828" s="41">
        <f t="shared" si="123"/>
        <v>42.857148979592722</v>
      </c>
      <c r="W1828" s="17"/>
      <c r="X1828" s="17" t="s">
        <v>58</v>
      </c>
      <c r="Y1828" s="17">
        <v>60</v>
      </c>
      <c r="Z1828" s="17" t="s">
        <v>56</v>
      </c>
      <c r="AA1828" s="17"/>
      <c r="AB1828" s="17" t="s">
        <v>57</v>
      </c>
      <c r="AC1828" s="17">
        <v>2013</v>
      </c>
      <c r="AD1828" s="17">
        <v>0</v>
      </c>
      <c r="AE1828" s="17"/>
      <c r="AF1828" s="17"/>
      <c r="AG1828" s="17" t="s">
        <v>509</v>
      </c>
      <c r="AH1828" s="14" t="str">
        <f t="shared" si="121"/>
        <v>NA</v>
      </c>
      <c r="AI1828" s="17" t="str">
        <f t="shared" si="122"/>
        <v>NA</v>
      </c>
      <c r="AJ1828" s="17"/>
      <c r="AK1828" s="17" t="s">
        <v>56</v>
      </c>
      <c r="AL1828" s="15" t="s">
        <v>1544</v>
      </c>
      <c r="AM1828" s="17">
        <v>2019</v>
      </c>
      <c r="AN1828" s="12" t="s">
        <v>309</v>
      </c>
      <c r="AO1828" s="15" t="s">
        <v>56</v>
      </c>
      <c r="AP1828" s="15"/>
      <c r="AQ1828" s="15" t="s">
        <v>56</v>
      </c>
      <c r="AR1828" s="15" t="s">
        <v>58</v>
      </c>
      <c r="AS1828" s="15" t="s">
        <v>62</v>
      </c>
      <c r="AT1828" s="15"/>
      <c r="AU1828" s="45" t="s">
        <v>2700</v>
      </c>
      <c r="AV1828" s="15"/>
      <c r="AW1828" s="12" t="str">
        <f>B1828&amp;C1828&amp;L1828&amp;M1828&amp;O1828&amp;U1828&amp;AL1828&amp;AM1828</f>
        <v>PhilippinesPinamgo, Cataban, Handumon, Jandayan Norte, Batasan, Bilang-Bilangan ReservesSabellidaedensity1.42857148979593Gillespie2019</v>
      </c>
    </row>
    <row r="1829" spans="1:49" ht="14.5" x14ac:dyDescent="0.35">
      <c r="A1829" s="12">
        <v>1828</v>
      </c>
      <c r="B1829" s="15" t="s">
        <v>66</v>
      </c>
      <c r="C1829" s="43" t="s">
        <v>1501</v>
      </c>
      <c r="D1829" s="15" t="s">
        <v>888</v>
      </c>
      <c r="E1829" s="15" t="s">
        <v>68</v>
      </c>
      <c r="F1829" s="16" t="s">
        <v>50</v>
      </c>
      <c r="G1829" s="16" t="s">
        <v>51</v>
      </c>
      <c r="H1829" s="16" t="s">
        <v>52</v>
      </c>
      <c r="I1829" s="16" t="s">
        <v>156</v>
      </c>
      <c r="J1829" s="17"/>
      <c r="K1829" s="17">
        <v>46</v>
      </c>
      <c r="L1829" s="17" t="s">
        <v>897</v>
      </c>
      <c r="M1829" s="17" t="s">
        <v>1502</v>
      </c>
      <c r="N1829" s="17" t="s">
        <v>120</v>
      </c>
      <c r="O1829" s="17" t="s">
        <v>86</v>
      </c>
      <c r="P1829" s="17"/>
      <c r="Q1829" s="17"/>
      <c r="R1829" s="17"/>
      <c r="S1829" s="17">
        <v>1.347826</v>
      </c>
      <c r="T1829" s="17">
        <v>2.0652170000000001</v>
      </c>
      <c r="U1829" s="20">
        <f t="shared" si="124"/>
        <v>1.5322578730488952</v>
      </c>
      <c r="V1829" s="41">
        <f t="shared" si="123"/>
        <v>53.225787304889515</v>
      </c>
      <c r="W1829" s="17"/>
      <c r="X1829" s="17" t="s">
        <v>56</v>
      </c>
      <c r="Y1829" s="17"/>
      <c r="Z1829" s="17" t="s">
        <v>56</v>
      </c>
      <c r="AA1829" s="17"/>
      <c r="AB1829" s="17" t="s">
        <v>57</v>
      </c>
      <c r="AC1829" s="17">
        <v>2000</v>
      </c>
      <c r="AD1829" s="17">
        <v>9</v>
      </c>
      <c r="AE1829" s="17"/>
      <c r="AF1829" s="17"/>
      <c r="AG1829" s="17">
        <v>1987</v>
      </c>
      <c r="AH1829" s="14">
        <f t="shared" si="121"/>
        <v>13</v>
      </c>
      <c r="AI1829" s="17">
        <f t="shared" si="122"/>
        <v>22</v>
      </c>
      <c r="AJ1829" s="17"/>
      <c r="AK1829" s="17" t="s">
        <v>58</v>
      </c>
      <c r="AL1829" s="15" t="s">
        <v>1503</v>
      </c>
      <c r="AM1829" s="17">
        <v>2013</v>
      </c>
      <c r="AN1829" s="12" t="s">
        <v>1504</v>
      </c>
      <c r="AO1829" s="15" t="s">
        <v>56</v>
      </c>
      <c r="AP1829" s="15"/>
      <c r="AQ1829" s="15" t="s">
        <v>56</v>
      </c>
      <c r="AR1829" s="15" t="s">
        <v>58</v>
      </c>
      <c r="AS1829" s="15" t="s">
        <v>62</v>
      </c>
      <c r="AT1829" s="15"/>
      <c r="AU1829" s="45" t="s">
        <v>2691</v>
      </c>
      <c r="AV1829" s="15"/>
      <c r="AW1829" s="12" t="str">
        <f>B1829&amp;C1829&amp;L1829&amp;M1829&amp;O1829&amp;U1829&amp;AL1829&amp;AM1829</f>
        <v>AustraliaOrpheus Island Marine National ParkPlectropomus spp.coral groupersdensity1.5322578730489Hassel2013</v>
      </c>
    </row>
    <row r="1830" spans="1:49" ht="14.5" x14ac:dyDescent="0.35">
      <c r="A1830" s="12">
        <v>1829</v>
      </c>
      <c r="B1830" s="15" t="s">
        <v>66</v>
      </c>
      <c r="C1830" s="43" t="s">
        <v>1501</v>
      </c>
      <c r="D1830" s="15" t="s">
        <v>888</v>
      </c>
      <c r="E1830" s="15" t="s">
        <v>68</v>
      </c>
      <c r="F1830" s="16" t="s">
        <v>50</v>
      </c>
      <c r="G1830" s="16" t="s">
        <v>51</v>
      </c>
      <c r="H1830" s="16" t="s">
        <v>52</v>
      </c>
      <c r="I1830" s="16" t="s">
        <v>156</v>
      </c>
      <c r="J1830" s="17"/>
      <c r="K1830" s="17">
        <v>46</v>
      </c>
      <c r="L1830" s="17" t="s">
        <v>1505</v>
      </c>
      <c r="M1830" s="17"/>
      <c r="N1830" s="14" t="s">
        <v>85</v>
      </c>
      <c r="O1830" s="17" t="s">
        <v>86</v>
      </c>
      <c r="P1830" s="17"/>
      <c r="Q1830" s="17"/>
      <c r="R1830" s="17"/>
      <c r="S1830" s="17">
        <v>5.5238100000000001</v>
      </c>
      <c r="T1830" s="17">
        <v>10.38095</v>
      </c>
      <c r="U1830" s="20">
        <f t="shared" si="124"/>
        <v>1.8793097517836421</v>
      </c>
      <c r="V1830" s="41">
        <f t="shared" si="123"/>
        <v>87.930975178364207</v>
      </c>
      <c r="W1830" s="17"/>
      <c r="X1830" s="17" t="s">
        <v>56</v>
      </c>
      <c r="Z1830" s="17" t="s">
        <v>56</v>
      </c>
      <c r="AA1830" s="17"/>
      <c r="AB1830" s="17" t="s">
        <v>57</v>
      </c>
      <c r="AC1830" s="17">
        <v>2000</v>
      </c>
      <c r="AD1830" s="17">
        <v>9</v>
      </c>
      <c r="AE1830" s="17"/>
      <c r="AF1830" s="17"/>
      <c r="AG1830" s="17">
        <v>1987</v>
      </c>
      <c r="AH1830" s="14">
        <f t="shared" si="121"/>
        <v>13</v>
      </c>
      <c r="AI1830" s="17">
        <f t="shared" si="122"/>
        <v>22</v>
      </c>
      <c r="AJ1830" s="17"/>
      <c r="AK1830" s="17" t="s">
        <v>58</v>
      </c>
      <c r="AL1830" s="15" t="s">
        <v>1503</v>
      </c>
      <c r="AM1830" s="17">
        <v>2013</v>
      </c>
      <c r="AN1830" s="12" t="s">
        <v>1504</v>
      </c>
      <c r="AO1830" s="15" t="s">
        <v>56</v>
      </c>
      <c r="AP1830" s="15"/>
      <c r="AQ1830" s="15" t="s">
        <v>56</v>
      </c>
      <c r="AR1830" s="15" t="s">
        <v>58</v>
      </c>
      <c r="AS1830" s="15" t="s">
        <v>62</v>
      </c>
      <c r="AT1830" s="15"/>
      <c r="AU1830" s="45" t="s">
        <v>2691</v>
      </c>
      <c r="AV1830" s="15"/>
      <c r="AW1830" s="12" t="str">
        <f>B1830&amp;C1830&amp;L1830&amp;M1830&amp;O1830&amp;U1830&amp;AL1830&amp;AM1830</f>
        <v>AustraliaOrpheus Island Marine National ParkLutjanus carponotatusdensity1.87930975178364Hassel2013</v>
      </c>
    </row>
    <row r="1831" spans="1:49" ht="14.5" x14ac:dyDescent="0.35">
      <c r="A1831" s="12">
        <v>1830</v>
      </c>
      <c r="B1831" s="15" t="s">
        <v>66</v>
      </c>
      <c r="C1831" s="43" t="s">
        <v>1501</v>
      </c>
      <c r="D1831" s="15" t="s">
        <v>888</v>
      </c>
      <c r="E1831" s="15" t="s">
        <v>68</v>
      </c>
      <c r="F1831" s="16" t="s">
        <v>50</v>
      </c>
      <c r="G1831" s="16" t="s">
        <v>51</v>
      </c>
      <c r="H1831" s="16" t="s">
        <v>52</v>
      </c>
      <c r="I1831" s="16" t="s">
        <v>156</v>
      </c>
      <c r="J1831" s="17"/>
      <c r="K1831" s="17">
        <v>46</v>
      </c>
      <c r="L1831" s="17" t="s">
        <v>1506</v>
      </c>
      <c r="M1831" s="17"/>
      <c r="N1831" s="14" t="s">
        <v>85</v>
      </c>
      <c r="O1831" s="17" t="s">
        <v>86</v>
      </c>
      <c r="P1831" s="17"/>
      <c r="Q1831" s="17"/>
      <c r="R1831" s="17"/>
      <c r="S1831" s="17">
        <v>25.816649999999999</v>
      </c>
      <c r="T1831" s="17">
        <v>13.69055</v>
      </c>
      <c r="U1831" s="20">
        <f t="shared" si="124"/>
        <v>0.53029924486716906</v>
      </c>
      <c r="V1831" s="41">
        <f t="shared" si="123"/>
        <v>-46.970075513283092</v>
      </c>
      <c r="W1831" s="17"/>
      <c r="X1831" s="17" t="s">
        <v>56</v>
      </c>
      <c r="Z1831" s="17" t="s">
        <v>56</v>
      </c>
      <c r="AA1831" s="17"/>
      <c r="AB1831" s="17" t="s">
        <v>57</v>
      </c>
      <c r="AC1831" s="17">
        <v>2000</v>
      </c>
      <c r="AD1831" s="17">
        <v>9</v>
      </c>
      <c r="AE1831" s="17"/>
      <c r="AF1831" s="17"/>
      <c r="AG1831" s="17">
        <v>1987</v>
      </c>
      <c r="AH1831" s="14">
        <f t="shared" si="121"/>
        <v>13</v>
      </c>
      <c r="AI1831" s="17">
        <f t="shared" si="122"/>
        <v>22</v>
      </c>
      <c r="AJ1831" s="17"/>
      <c r="AK1831" s="17" t="s">
        <v>58</v>
      </c>
      <c r="AL1831" s="15" t="s">
        <v>1503</v>
      </c>
      <c r="AM1831" s="17">
        <v>2013</v>
      </c>
      <c r="AN1831" s="12" t="s">
        <v>1504</v>
      </c>
      <c r="AO1831" s="15" t="s">
        <v>56</v>
      </c>
      <c r="AP1831" s="15"/>
      <c r="AQ1831" s="15" t="s">
        <v>56</v>
      </c>
      <c r="AR1831" s="15" t="s">
        <v>58</v>
      </c>
      <c r="AS1831" s="15" t="s">
        <v>62</v>
      </c>
      <c r="AT1831" s="15"/>
      <c r="AU1831" s="45" t="s">
        <v>2691</v>
      </c>
      <c r="AV1831" s="15"/>
      <c r="AW1831" s="12" t="str">
        <f>B1831&amp;C1831&amp;L1831&amp;M1831&amp;O1831&amp;U1831&amp;AL1831&amp;AM1831</f>
        <v>AustraliaOrpheus Island Marine National ParkSiganus doliatusdensity0.530299244867169Hassel2013</v>
      </c>
    </row>
    <row r="1832" spans="1:49" ht="14.5" x14ac:dyDescent="0.35">
      <c r="A1832" s="12">
        <v>1831</v>
      </c>
      <c r="B1832" s="15" t="s">
        <v>66</v>
      </c>
      <c r="C1832" s="43" t="s">
        <v>1501</v>
      </c>
      <c r="D1832" s="15" t="s">
        <v>888</v>
      </c>
      <c r="E1832" s="15" t="s">
        <v>68</v>
      </c>
      <c r="F1832" s="16" t="s">
        <v>50</v>
      </c>
      <c r="G1832" s="16" t="s">
        <v>51</v>
      </c>
      <c r="H1832" s="16" t="s">
        <v>52</v>
      </c>
      <c r="I1832" s="16" t="s">
        <v>156</v>
      </c>
      <c r="J1832" s="17"/>
      <c r="K1832" s="17">
        <v>46</v>
      </c>
      <c r="L1832" s="17" t="s">
        <v>188</v>
      </c>
      <c r="M1832" s="17"/>
      <c r="N1832" s="17" t="s">
        <v>170</v>
      </c>
      <c r="O1832" s="17" t="s">
        <v>86</v>
      </c>
      <c r="P1832" s="17"/>
      <c r="Q1832" s="17"/>
      <c r="R1832" s="17"/>
      <c r="S1832" s="17">
        <v>12.63415</v>
      </c>
      <c r="T1832" s="17">
        <v>15.414630000000001</v>
      </c>
      <c r="U1832" s="20">
        <f t="shared" si="124"/>
        <v>1.2200765385878749</v>
      </c>
      <c r="V1832" s="41">
        <f t="shared" si="123"/>
        <v>22.007653858787492</v>
      </c>
      <c r="W1832" s="17"/>
      <c r="X1832" s="17" t="s">
        <v>56</v>
      </c>
      <c r="Z1832" s="17" t="s">
        <v>56</v>
      </c>
      <c r="AA1832" s="17"/>
      <c r="AB1832" s="17" t="s">
        <v>57</v>
      </c>
      <c r="AC1832" s="17">
        <v>2000</v>
      </c>
      <c r="AD1832" s="17">
        <v>9</v>
      </c>
      <c r="AE1832" s="17"/>
      <c r="AF1832" s="17"/>
      <c r="AG1832" s="17">
        <v>1987</v>
      </c>
      <c r="AH1832" s="14">
        <f t="shared" si="121"/>
        <v>13</v>
      </c>
      <c r="AI1832" s="17">
        <f t="shared" si="122"/>
        <v>22</v>
      </c>
      <c r="AJ1832" s="17"/>
      <c r="AK1832" s="17" t="s">
        <v>58</v>
      </c>
      <c r="AL1832" s="15" t="s">
        <v>1503</v>
      </c>
      <c r="AM1832" s="17">
        <v>2013</v>
      </c>
      <c r="AN1832" s="12" t="s">
        <v>1504</v>
      </c>
      <c r="AO1832" s="15" t="s">
        <v>56</v>
      </c>
      <c r="AP1832" s="15"/>
      <c r="AQ1832" s="15" t="s">
        <v>56</v>
      </c>
      <c r="AR1832" s="15" t="s">
        <v>58</v>
      </c>
      <c r="AS1832" s="15" t="s">
        <v>62</v>
      </c>
      <c r="AT1832" s="15"/>
      <c r="AU1832" s="45" t="s">
        <v>2691</v>
      </c>
      <c r="AV1832" s="15"/>
      <c r="AW1832" s="12" t="str">
        <f>B1832&amp;C1832&amp;L1832&amp;M1832&amp;O1832&amp;U1832&amp;AL1832&amp;AM1832</f>
        <v>AustraliaOrpheus Island Marine National ParkChaetodontidaedensity1.22007653858787Hassel2013</v>
      </c>
    </row>
    <row r="1833" spans="1:49" ht="14.5" x14ac:dyDescent="0.35">
      <c r="A1833" s="12">
        <v>1832</v>
      </c>
      <c r="B1833" s="15" t="s">
        <v>66</v>
      </c>
      <c r="C1833" s="15" t="s">
        <v>887</v>
      </c>
      <c r="D1833" s="43" t="s">
        <v>888</v>
      </c>
      <c r="E1833" s="15" t="s">
        <v>68</v>
      </c>
      <c r="F1833" s="16" t="s">
        <v>50</v>
      </c>
      <c r="G1833" s="16" t="s">
        <v>51</v>
      </c>
      <c r="H1833" s="16" t="s">
        <v>52</v>
      </c>
      <c r="I1833" s="16" t="s">
        <v>156</v>
      </c>
      <c r="J1833" s="17">
        <v>114168</v>
      </c>
      <c r="K1833" s="17"/>
      <c r="L1833" s="17" t="s">
        <v>889</v>
      </c>
      <c r="M1833" s="17" t="s">
        <v>890</v>
      </c>
      <c r="N1833" s="17" t="s">
        <v>891</v>
      </c>
      <c r="O1833" s="17" t="s">
        <v>86</v>
      </c>
      <c r="P1833" s="17"/>
      <c r="Q1833" s="17"/>
      <c r="R1833" s="17"/>
      <c r="S1833" s="17">
        <v>1.4999999999999999E-2</v>
      </c>
      <c r="T1833" s="17">
        <v>0.06</v>
      </c>
      <c r="U1833" s="20">
        <f t="shared" ref="U1833:U1864" si="125">IFERROR(IF(AND(Q1833="",R1833="",S1833="",T1833=""),"",IF(AND(Q1833&lt;&gt;"",R1833&lt;&gt;"",S1833&lt;&gt;"",T1833&lt;&gt;""),(T1833/R1833)/(S1833/Q1833),IF(AND(Q1833&lt;&gt;"",R1833&lt;&gt;""),R1833/Q1833,IF(AND(S1833&lt;&gt;"",T1833&lt;&gt;""),T1833/S1833,IF(AND(Q1833&lt;&gt;"",S1833&lt;&gt;""),Q1833/S1833,IF(AND(R1833&lt;&gt;"",T1833&lt;&gt;""),T1833/R1833)))))), "N/A")</f>
        <v>4</v>
      </c>
      <c r="V1833" s="41">
        <f t="shared" si="123"/>
        <v>300</v>
      </c>
      <c r="W1833" s="17"/>
      <c r="X1833" s="17" t="s">
        <v>58</v>
      </c>
      <c r="Y1833" s="14">
        <v>1000</v>
      </c>
      <c r="Z1833" s="17" t="s">
        <v>58</v>
      </c>
      <c r="AA1833" s="17"/>
      <c r="AB1833" s="17" t="s">
        <v>57</v>
      </c>
      <c r="AC1833" s="17">
        <v>2012</v>
      </c>
      <c r="AD1833" s="17">
        <v>4</v>
      </c>
      <c r="AE1833" s="17"/>
      <c r="AF1833" s="17"/>
      <c r="AG1833" s="17" t="s">
        <v>509</v>
      </c>
      <c r="AH1833" s="14" t="str">
        <f t="shared" si="121"/>
        <v>NA</v>
      </c>
      <c r="AI1833" s="17" t="str">
        <f t="shared" si="122"/>
        <v>NA</v>
      </c>
      <c r="AJ1833" s="17"/>
      <c r="AK1833" s="17" t="s">
        <v>58</v>
      </c>
      <c r="AL1833" s="15" t="s">
        <v>892</v>
      </c>
      <c r="AM1833" s="17">
        <v>2019</v>
      </c>
      <c r="AN1833" s="12" t="s">
        <v>893</v>
      </c>
      <c r="AO1833" s="15" t="s">
        <v>56</v>
      </c>
      <c r="AP1833" s="15"/>
      <c r="AQ1833" s="15" t="s">
        <v>56</v>
      </c>
      <c r="AR1833" s="15" t="s">
        <v>58</v>
      </c>
      <c r="AS1833" s="15" t="s">
        <v>62</v>
      </c>
      <c r="AT1833" s="15"/>
      <c r="AU1833" s="45" t="s">
        <v>2578</v>
      </c>
      <c r="AV1833" s="15"/>
      <c r="AW1833" s="12" t="str">
        <f>B1833&amp;C1833&amp;L1833&amp;M1833&amp;O1833&amp;U1833&amp;AL1833&amp;AM1833</f>
        <v>AustraliaGreat Barrier Reef Marine Park no-entry zonesSelachimorphasharksdensity4Frisch2019</v>
      </c>
    </row>
    <row r="1834" spans="1:49" ht="14.5" x14ac:dyDescent="0.35">
      <c r="A1834" s="12">
        <v>1833</v>
      </c>
      <c r="B1834" s="15" t="s">
        <v>66</v>
      </c>
      <c r="C1834" s="15" t="s">
        <v>896</v>
      </c>
      <c r="D1834" s="15" t="s">
        <v>888</v>
      </c>
      <c r="E1834" s="15" t="s">
        <v>68</v>
      </c>
      <c r="F1834" s="16" t="s">
        <v>50</v>
      </c>
      <c r="G1834" s="16" t="s">
        <v>51</v>
      </c>
      <c r="H1834" s="16" t="s">
        <v>52</v>
      </c>
      <c r="I1834" s="16" t="s">
        <v>156</v>
      </c>
      <c r="J1834" s="17">
        <v>114168</v>
      </c>
      <c r="K1834" s="17"/>
      <c r="L1834" s="17" t="s">
        <v>889</v>
      </c>
      <c r="M1834" s="17" t="s">
        <v>890</v>
      </c>
      <c r="N1834" s="17" t="s">
        <v>891</v>
      </c>
      <c r="O1834" s="17" t="s">
        <v>86</v>
      </c>
      <c r="P1834" s="17"/>
      <c r="Q1834" s="17"/>
      <c r="R1834" s="17"/>
      <c r="S1834" s="17">
        <v>1.4999999999999999E-2</v>
      </c>
      <c r="T1834" s="17">
        <v>2.4E-2</v>
      </c>
      <c r="U1834" s="20">
        <f t="shared" si="125"/>
        <v>1.6</v>
      </c>
      <c r="V1834" s="41">
        <f t="shared" si="123"/>
        <v>60.000000000000007</v>
      </c>
      <c r="W1834" s="17"/>
      <c r="X1834" s="17" t="s">
        <v>58</v>
      </c>
      <c r="Y1834" s="14">
        <v>1000</v>
      </c>
      <c r="Z1834" s="17" t="s">
        <v>58</v>
      </c>
      <c r="AA1834" s="17"/>
      <c r="AB1834" s="17" t="s">
        <v>57</v>
      </c>
      <c r="AC1834" s="17">
        <v>2012</v>
      </c>
      <c r="AD1834" s="17">
        <v>4</v>
      </c>
      <c r="AE1834" s="17"/>
      <c r="AF1834" s="17"/>
      <c r="AG1834" s="17" t="s">
        <v>509</v>
      </c>
      <c r="AH1834" s="14" t="str">
        <f t="shared" si="121"/>
        <v>NA</v>
      </c>
      <c r="AI1834" s="17" t="str">
        <f t="shared" si="122"/>
        <v>NA</v>
      </c>
      <c r="AJ1834" s="17"/>
      <c r="AK1834" s="17" t="s">
        <v>58</v>
      </c>
      <c r="AL1834" s="15" t="s">
        <v>892</v>
      </c>
      <c r="AM1834" s="17">
        <v>2019</v>
      </c>
      <c r="AN1834" s="12" t="s">
        <v>893</v>
      </c>
      <c r="AO1834" s="15" t="s">
        <v>56</v>
      </c>
      <c r="AP1834" s="15"/>
      <c r="AQ1834" s="15" t="s">
        <v>56</v>
      </c>
      <c r="AR1834" s="15" t="s">
        <v>58</v>
      </c>
      <c r="AS1834" s="15" t="s">
        <v>62</v>
      </c>
      <c r="AT1834" s="15"/>
      <c r="AU1834" s="45" t="s">
        <v>2578</v>
      </c>
      <c r="AV1834" s="15"/>
      <c r="AW1834" s="12" t="str">
        <f>B1834&amp;C1834&amp;L1834&amp;M1834&amp;O1834&amp;U1834&amp;AL1834&amp;AM1834</f>
        <v>AustraliaGreat Barrier Reef Marine Park no-take zonesSelachimorphasharksdensity1.6Frisch2019</v>
      </c>
    </row>
    <row r="1835" spans="1:49" ht="14.5" x14ac:dyDescent="0.35">
      <c r="A1835" s="12">
        <v>1834</v>
      </c>
      <c r="B1835" s="12" t="s">
        <v>66</v>
      </c>
      <c r="C1835" s="12" t="s">
        <v>887</v>
      </c>
      <c r="D1835" s="43" t="s">
        <v>888</v>
      </c>
      <c r="E1835" s="12" t="s">
        <v>68</v>
      </c>
      <c r="F1835" s="13" t="s">
        <v>50</v>
      </c>
      <c r="G1835" s="13" t="s">
        <v>51</v>
      </c>
      <c r="H1835" s="13" t="s">
        <v>52</v>
      </c>
      <c r="I1835" s="13" t="s">
        <v>156</v>
      </c>
      <c r="J1835" s="14">
        <v>114168</v>
      </c>
      <c r="K1835" s="17"/>
      <c r="L1835" s="14" t="s">
        <v>889</v>
      </c>
      <c r="M1835" s="14" t="s">
        <v>890</v>
      </c>
      <c r="N1835" s="14" t="s">
        <v>891</v>
      </c>
      <c r="O1835" s="17" t="s">
        <v>70</v>
      </c>
      <c r="P1835" s="14"/>
      <c r="Q1835" s="14"/>
      <c r="R1835" s="14"/>
      <c r="S1835" s="14">
        <v>0.24</v>
      </c>
      <c r="T1835" s="14">
        <v>1.4</v>
      </c>
      <c r="U1835" s="19">
        <f t="shared" si="125"/>
        <v>5.833333333333333</v>
      </c>
      <c r="V1835" s="41">
        <f t="shared" si="123"/>
        <v>483.33333333333331</v>
      </c>
      <c r="W1835" s="14"/>
      <c r="X1835" s="14" t="s">
        <v>58</v>
      </c>
      <c r="Y1835" s="14">
        <v>1000</v>
      </c>
      <c r="Z1835" s="14" t="s">
        <v>58</v>
      </c>
      <c r="AA1835" s="14"/>
      <c r="AB1835" s="17" t="s">
        <v>57</v>
      </c>
      <c r="AC1835" s="14">
        <v>2012</v>
      </c>
      <c r="AD1835" s="14">
        <v>4</v>
      </c>
      <c r="AE1835" s="14"/>
      <c r="AF1835" s="14"/>
      <c r="AG1835" s="14" t="s">
        <v>509</v>
      </c>
      <c r="AH1835" s="14" t="str">
        <f t="shared" si="121"/>
        <v>NA</v>
      </c>
      <c r="AI1835" s="17" t="str">
        <f t="shared" si="122"/>
        <v>NA</v>
      </c>
      <c r="AJ1835" s="14"/>
      <c r="AK1835" s="14" t="s">
        <v>58</v>
      </c>
      <c r="AL1835" s="12" t="s">
        <v>892</v>
      </c>
      <c r="AM1835" s="14">
        <v>2019</v>
      </c>
      <c r="AN1835" s="12" t="s">
        <v>893</v>
      </c>
      <c r="AO1835" s="12" t="s">
        <v>56</v>
      </c>
      <c r="AP1835" s="12"/>
      <c r="AQ1835" s="12" t="s">
        <v>56</v>
      </c>
      <c r="AR1835" s="12" t="s">
        <v>58</v>
      </c>
      <c r="AS1835" s="12" t="s">
        <v>62</v>
      </c>
      <c r="AT1835" s="12"/>
      <c r="AU1835" s="45" t="s">
        <v>2578</v>
      </c>
      <c r="AV1835" s="15"/>
      <c r="AW1835" s="12" t="str">
        <f>B1835&amp;C1835&amp;L1835&amp;M1835&amp;O1835&amp;U1835&amp;AL1835&amp;AM1835</f>
        <v>AustraliaGreat Barrier Reef Marine Park no-entry zonesSelachimorphasharksbiomassden5.83333333333333Frisch2019</v>
      </c>
    </row>
    <row r="1836" spans="1:49" ht="14.5" x14ac:dyDescent="0.35">
      <c r="A1836" s="12">
        <v>1835</v>
      </c>
      <c r="B1836" s="12" t="s">
        <v>66</v>
      </c>
      <c r="C1836" s="12" t="s">
        <v>896</v>
      </c>
      <c r="D1836" s="12" t="s">
        <v>888</v>
      </c>
      <c r="E1836" s="12" t="s">
        <v>68</v>
      </c>
      <c r="F1836" s="13" t="s">
        <v>50</v>
      </c>
      <c r="G1836" s="13" t="s">
        <v>51</v>
      </c>
      <c r="H1836" s="13" t="s">
        <v>52</v>
      </c>
      <c r="I1836" s="13" t="s">
        <v>156</v>
      </c>
      <c r="J1836" s="14">
        <v>114168</v>
      </c>
      <c r="K1836" s="14"/>
      <c r="L1836" s="14" t="s">
        <v>889</v>
      </c>
      <c r="M1836" s="14" t="s">
        <v>890</v>
      </c>
      <c r="N1836" s="14" t="s">
        <v>891</v>
      </c>
      <c r="O1836" s="17" t="s">
        <v>70</v>
      </c>
      <c r="P1836" s="14"/>
      <c r="Q1836" s="14"/>
      <c r="R1836" s="14"/>
      <c r="S1836" s="14">
        <v>0.24</v>
      </c>
      <c r="T1836" s="14">
        <v>0.41</v>
      </c>
      <c r="U1836" s="19">
        <f t="shared" si="125"/>
        <v>1.7083333333333333</v>
      </c>
      <c r="V1836" s="41">
        <f t="shared" si="123"/>
        <v>70.833333333333329</v>
      </c>
      <c r="W1836" s="14"/>
      <c r="X1836" s="14" t="s">
        <v>58</v>
      </c>
      <c r="Y1836" s="14">
        <v>1000</v>
      </c>
      <c r="Z1836" s="14" t="s">
        <v>58</v>
      </c>
      <c r="AA1836" s="14"/>
      <c r="AB1836" s="14" t="s">
        <v>57</v>
      </c>
      <c r="AC1836" s="14">
        <v>2012</v>
      </c>
      <c r="AD1836" s="14">
        <v>4</v>
      </c>
      <c r="AE1836" s="14"/>
      <c r="AF1836" s="14"/>
      <c r="AG1836" s="14" t="s">
        <v>509</v>
      </c>
      <c r="AH1836" s="14" t="str">
        <f t="shared" si="121"/>
        <v>NA</v>
      </c>
      <c r="AI1836" s="17" t="str">
        <f t="shared" si="122"/>
        <v>NA</v>
      </c>
      <c r="AJ1836" s="14"/>
      <c r="AK1836" s="14" t="s">
        <v>58</v>
      </c>
      <c r="AL1836" s="12" t="s">
        <v>892</v>
      </c>
      <c r="AM1836" s="14">
        <v>2019</v>
      </c>
      <c r="AN1836" s="12" t="s">
        <v>893</v>
      </c>
      <c r="AO1836" s="12" t="s">
        <v>56</v>
      </c>
      <c r="AP1836" s="12"/>
      <c r="AQ1836" s="12" t="s">
        <v>56</v>
      </c>
      <c r="AR1836" s="12" t="s">
        <v>58</v>
      </c>
      <c r="AS1836" s="12" t="s">
        <v>62</v>
      </c>
      <c r="AT1836" s="12"/>
      <c r="AU1836" s="45" t="s">
        <v>2578</v>
      </c>
      <c r="AV1836" s="15"/>
      <c r="AW1836" s="12" t="str">
        <f>B1836&amp;C1836&amp;L1836&amp;M1836&amp;O1836&amp;U1836&amp;AL1836&amp;AM1836</f>
        <v>AustraliaGreat Barrier Reef Marine Park no-take zonesSelachimorphasharksbiomassden1.70833333333333Frisch2019</v>
      </c>
    </row>
    <row r="1837" spans="1:49" ht="14.5" x14ac:dyDescent="0.35">
      <c r="A1837" s="12">
        <v>1836</v>
      </c>
      <c r="B1837" s="15" t="s">
        <v>551</v>
      </c>
      <c r="C1837" s="15" t="s">
        <v>1961</v>
      </c>
      <c r="D1837" s="15" t="s">
        <v>1961</v>
      </c>
      <c r="E1837" s="15" t="s">
        <v>68</v>
      </c>
      <c r="F1837" s="16" t="s">
        <v>571</v>
      </c>
      <c r="G1837" s="16" t="s">
        <v>51</v>
      </c>
      <c r="H1837" s="16" t="s">
        <v>52</v>
      </c>
      <c r="I1837" s="16" t="s">
        <v>53</v>
      </c>
      <c r="J1837" s="17">
        <v>24.52</v>
      </c>
      <c r="K1837" s="17"/>
      <c r="L1837" s="17" t="s">
        <v>566</v>
      </c>
      <c r="M1837" s="17" t="s">
        <v>572</v>
      </c>
      <c r="N1837" s="14" t="s">
        <v>85</v>
      </c>
      <c r="O1837" s="17" t="s">
        <v>86</v>
      </c>
      <c r="P1837" s="17"/>
      <c r="Q1837" s="17">
        <f>13.66*1000</f>
        <v>13660</v>
      </c>
      <c r="R1837" s="17">
        <f>13.33*1000</f>
        <v>13330</v>
      </c>
      <c r="S1837" s="17">
        <f>13.6*1000</f>
        <v>13600</v>
      </c>
      <c r="T1837" s="17">
        <f>13.77*1000</f>
        <v>13770</v>
      </c>
      <c r="U1837" s="20">
        <f t="shared" si="125"/>
        <v>1.0375656414103525</v>
      </c>
      <c r="V1837" s="41">
        <f t="shared" si="123"/>
        <v>3.7565641410352457</v>
      </c>
      <c r="W1837" s="17"/>
      <c r="X1837" s="17" t="s">
        <v>56</v>
      </c>
      <c r="Z1837" s="17" t="s">
        <v>56</v>
      </c>
      <c r="AA1837" s="17"/>
      <c r="AB1837" s="14" t="s">
        <v>111</v>
      </c>
      <c r="AC1837" s="17">
        <v>1999</v>
      </c>
      <c r="AD1837" s="17">
        <v>17</v>
      </c>
      <c r="AE1837" s="17"/>
      <c r="AF1837" s="17"/>
      <c r="AG1837" s="17">
        <v>1999</v>
      </c>
      <c r="AH1837" s="14">
        <f t="shared" si="121"/>
        <v>0</v>
      </c>
      <c r="AI1837" s="17">
        <f t="shared" si="122"/>
        <v>17</v>
      </c>
      <c r="AJ1837" s="17"/>
      <c r="AK1837" s="17" t="s">
        <v>58</v>
      </c>
      <c r="AL1837" s="15" t="s">
        <v>573</v>
      </c>
      <c r="AM1837" s="17">
        <v>2012</v>
      </c>
      <c r="AN1837" s="12" t="s">
        <v>140</v>
      </c>
      <c r="AO1837" s="15" t="s">
        <v>56</v>
      </c>
      <c r="AP1837" s="15"/>
      <c r="AQ1837" s="15" t="s">
        <v>56</v>
      </c>
      <c r="AR1837" s="15" t="s">
        <v>58</v>
      </c>
      <c r="AS1837" s="15" t="s">
        <v>62</v>
      </c>
      <c r="AT1837" s="15"/>
      <c r="AU1837" s="45"/>
      <c r="AV1837" s="15"/>
      <c r="AW1837" s="12" t="str">
        <f>B1837&amp;C1837&amp;L1837&amp;M1837&amp;O1837&amp;U1837&amp;AL1837&amp;AM1837</f>
        <v>New ZealandTe Tapuwae o RongokakoJasus edwardsiispiny lobsterdensity1.03756564141035Freeman2012</v>
      </c>
    </row>
    <row r="1838" spans="1:49" ht="14.5" x14ac:dyDescent="0.35">
      <c r="A1838" s="12">
        <v>1837</v>
      </c>
      <c r="B1838" s="12" t="s">
        <v>551</v>
      </c>
      <c r="C1838" s="43" t="s">
        <v>1959</v>
      </c>
      <c r="D1838" s="43" t="s">
        <v>1959</v>
      </c>
      <c r="E1838" s="12" t="s">
        <v>68</v>
      </c>
      <c r="F1838" s="13" t="s">
        <v>571</v>
      </c>
      <c r="G1838" s="13" t="s">
        <v>51</v>
      </c>
      <c r="H1838" s="13" t="s">
        <v>52</v>
      </c>
      <c r="I1838" s="13" t="s">
        <v>53</v>
      </c>
      <c r="J1838" s="14">
        <v>4.46</v>
      </c>
      <c r="K1838" s="17"/>
      <c r="L1838" s="14" t="s">
        <v>566</v>
      </c>
      <c r="M1838" s="14" t="s">
        <v>572</v>
      </c>
      <c r="N1838" s="14" t="s">
        <v>85</v>
      </c>
      <c r="O1838" s="17" t="s">
        <v>86</v>
      </c>
      <c r="P1838" s="14"/>
      <c r="Q1838" s="14">
        <v>14189.19</v>
      </c>
      <c r="R1838" s="14">
        <v>10135.14</v>
      </c>
      <c r="S1838" s="14">
        <v>6081.0810000000001</v>
      </c>
      <c r="T1838" s="14">
        <v>24324.32</v>
      </c>
      <c r="U1838" s="19">
        <f t="shared" si="125"/>
        <v>5.5999967111126256</v>
      </c>
      <c r="V1838" s="41">
        <f t="shared" si="123"/>
        <v>459.99967111126256</v>
      </c>
      <c r="W1838" s="14"/>
      <c r="X1838" s="14" t="s">
        <v>56</v>
      </c>
      <c r="Z1838" s="14" t="s">
        <v>56</v>
      </c>
      <c r="AA1838" s="14"/>
      <c r="AB1838" s="14" t="s">
        <v>111</v>
      </c>
      <c r="AC1838" s="14">
        <v>1994</v>
      </c>
      <c r="AD1838" s="14">
        <v>12</v>
      </c>
      <c r="AE1838" s="14"/>
      <c r="AF1838" s="14"/>
      <c r="AG1838" s="14">
        <v>1997</v>
      </c>
      <c r="AH1838" s="14">
        <f t="shared" si="121"/>
        <v>-3</v>
      </c>
      <c r="AI1838" s="17">
        <f t="shared" si="122"/>
        <v>9</v>
      </c>
      <c r="AJ1838" s="14"/>
      <c r="AK1838" s="14" t="s">
        <v>58</v>
      </c>
      <c r="AL1838" s="12" t="s">
        <v>573</v>
      </c>
      <c r="AM1838" s="14">
        <v>2012</v>
      </c>
      <c r="AN1838" s="12" t="s">
        <v>140</v>
      </c>
      <c r="AO1838" s="12" t="s">
        <v>56</v>
      </c>
      <c r="AP1838" s="12"/>
      <c r="AQ1838" s="12" t="s">
        <v>56</v>
      </c>
      <c r="AR1838" s="12" t="s">
        <v>58</v>
      </c>
      <c r="AS1838" s="12" t="s">
        <v>62</v>
      </c>
      <c r="AT1838" s="12"/>
      <c r="AU1838" s="45"/>
      <c r="AV1838" s="15"/>
      <c r="AW1838" s="12" t="str">
        <f>B1838&amp;C1838&amp;L1838&amp;M1838&amp;O1838&amp;U1838&amp;AL1838&amp;AM1838</f>
        <v>New ZealandTe Angiangi Marine ReserveJasus edwardsiispiny lobsterdensity5.59999671111263Freeman2012</v>
      </c>
    </row>
    <row r="1839" spans="1:49" ht="14.5" x14ac:dyDescent="0.35">
      <c r="A1839" s="12">
        <v>1838</v>
      </c>
      <c r="B1839" s="12" t="s">
        <v>551</v>
      </c>
      <c r="C1839" s="12" t="s">
        <v>1248</v>
      </c>
      <c r="D1839" s="15" t="s">
        <v>1248</v>
      </c>
      <c r="E1839" s="12" t="s">
        <v>68</v>
      </c>
      <c r="F1839" s="13" t="s">
        <v>571</v>
      </c>
      <c r="G1839" s="13" t="s">
        <v>51</v>
      </c>
      <c r="H1839" s="13" t="s">
        <v>52</v>
      </c>
      <c r="I1839" s="13" t="s">
        <v>53</v>
      </c>
      <c r="J1839" s="14">
        <v>6.19</v>
      </c>
      <c r="K1839" s="14"/>
      <c r="L1839" s="14" t="s">
        <v>566</v>
      </c>
      <c r="M1839" s="14" t="s">
        <v>572</v>
      </c>
      <c r="N1839" s="14" t="s">
        <v>85</v>
      </c>
      <c r="O1839" s="17" t="s">
        <v>86</v>
      </c>
      <c r="P1839" s="14"/>
      <c r="Q1839" s="14">
        <v>7065.2169999999996</v>
      </c>
      <c r="R1839" s="14">
        <v>13043.48</v>
      </c>
      <c r="S1839" s="14">
        <v>8152.174</v>
      </c>
      <c r="T1839" s="14">
        <v>65760.87</v>
      </c>
      <c r="U1839" s="19">
        <f t="shared" si="125"/>
        <v>4.3694436021334466</v>
      </c>
      <c r="V1839" s="41">
        <f t="shared" si="123"/>
        <v>336.94436021334468</v>
      </c>
      <c r="W1839" s="14"/>
      <c r="X1839" s="14" t="s">
        <v>56</v>
      </c>
      <c r="Z1839" s="14" t="s">
        <v>56</v>
      </c>
      <c r="AA1839" s="14"/>
      <c r="AB1839" s="17" t="s">
        <v>111</v>
      </c>
      <c r="AC1839" s="14">
        <v>1992</v>
      </c>
      <c r="AD1839" s="14">
        <v>17</v>
      </c>
      <c r="AE1839" s="14"/>
      <c r="AF1839" s="14"/>
      <c r="AG1839" s="14">
        <v>1993</v>
      </c>
      <c r="AH1839" s="14">
        <f t="shared" si="121"/>
        <v>-1</v>
      </c>
      <c r="AI1839" s="17">
        <f t="shared" si="122"/>
        <v>16</v>
      </c>
      <c r="AJ1839" s="14"/>
      <c r="AK1839" s="14" t="s">
        <v>58</v>
      </c>
      <c r="AL1839" s="12" t="s">
        <v>573</v>
      </c>
      <c r="AM1839" s="14">
        <v>2012</v>
      </c>
      <c r="AN1839" s="12" t="s">
        <v>140</v>
      </c>
      <c r="AO1839" s="12" t="s">
        <v>56</v>
      </c>
      <c r="AP1839" s="12"/>
      <c r="AQ1839" s="12" t="s">
        <v>56</v>
      </c>
      <c r="AR1839" s="12" t="s">
        <v>58</v>
      </c>
      <c r="AS1839" s="12" t="s">
        <v>62</v>
      </c>
      <c r="AT1839" s="12"/>
      <c r="AU1839" s="45"/>
      <c r="AV1839" s="15"/>
      <c r="AW1839" s="12" t="str">
        <f>B1839&amp;C1839&amp;L1839&amp;M1839&amp;O1839&amp;U1839&amp;AL1839&amp;AM1839</f>
        <v>New ZealandLong Island–Kokomohua Marine ReserveJasus edwardsiispiny lobsterdensity4.36944360213345Freeman2012</v>
      </c>
    </row>
    <row r="1840" spans="1:49" ht="14.5" x14ac:dyDescent="0.35">
      <c r="A1840" s="12">
        <v>1839</v>
      </c>
      <c r="B1840" s="12" t="s">
        <v>551</v>
      </c>
      <c r="C1840" s="12" t="s">
        <v>1998</v>
      </c>
      <c r="D1840" s="12" t="s">
        <v>1998</v>
      </c>
      <c r="E1840" s="12" t="s">
        <v>68</v>
      </c>
      <c r="F1840" s="13" t="s">
        <v>571</v>
      </c>
      <c r="G1840" s="13" t="s">
        <v>51</v>
      </c>
      <c r="H1840" s="13" t="s">
        <v>52</v>
      </c>
      <c r="I1840" s="13" t="s">
        <v>53</v>
      </c>
      <c r="J1840" s="14">
        <v>18.350000000000001</v>
      </c>
      <c r="K1840" s="14"/>
      <c r="L1840" s="14" t="s">
        <v>566</v>
      </c>
      <c r="M1840" s="14" t="s">
        <v>572</v>
      </c>
      <c r="N1840" s="14" t="s">
        <v>85</v>
      </c>
      <c r="O1840" s="17" t="s">
        <v>86</v>
      </c>
      <c r="P1840" s="14"/>
      <c r="Q1840" s="14"/>
      <c r="R1840" s="14"/>
      <c r="S1840" s="14">
        <v>6122.4489999999996</v>
      </c>
      <c r="T1840" s="14">
        <v>28571.43</v>
      </c>
      <c r="U1840" s="19">
        <f t="shared" si="125"/>
        <v>4.6666668844444441</v>
      </c>
      <c r="V1840" s="41">
        <f t="shared" si="123"/>
        <v>366.66668844444439</v>
      </c>
      <c r="W1840" s="14"/>
      <c r="X1840" s="14" t="s">
        <v>56</v>
      </c>
      <c r="Z1840" s="14" t="s">
        <v>56</v>
      </c>
      <c r="AA1840" s="14"/>
      <c r="AB1840" s="14" t="s">
        <v>57</v>
      </c>
      <c r="AC1840" s="14">
        <v>1994</v>
      </c>
      <c r="AD1840" s="14">
        <v>18</v>
      </c>
      <c r="AE1840" s="14"/>
      <c r="AF1840" s="14"/>
      <c r="AG1840" s="14">
        <v>1993</v>
      </c>
      <c r="AH1840" s="14">
        <f t="shared" si="121"/>
        <v>1</v>
      </c>
      <c r="AI1840" s="17">
        <f t="shared" si="122"/>
        <v>19</v>
      </c>
      <c r="AJ1840" s="14"/>
      <c r="AK1840" s="14" t="s">
        <v>58</v>
      </c>
      <c r="AL1840" s="12" t="s">
        <v>573</v>
      </c>
      <c r="AM1840" s="14">
        <v>2012</v>
      </c>
      <c r="AN1840" s="12" t="s">
        <v>140</v>
      </c>
      <c r="AO1840" s="12" t="s">
        <v>56</v>
      </c>
      <c r="AP1840" s="12"/>
      <c r="AQ1840" s="12" t="s">
        <v>56</v>
      </c>
      <c r="AR1840" s="12" t="s">
        <v>58</v>
      </c>
      <c r="AS1840" s="12" t="s">
        <v>62</v>
      </c>
      <c r="AT1840" s="12"/>
      <c r="AU1840" s="45"/>
      <c r="AV1840" s="15"/>
      <c r="AW1840" s="12" t="str">
        <f>B1840&amp;C1840&amp;L1840&amp;M1840&amp;O1840&amp;U1840&amp;AL1840&amp;AM1840</f>
        <v>New ZealandTonga Island Marine ReserveJasus edwardsiispiny lobsterdensity4.66666688444444Freeman2012</v>
      </c>
    </row>
    <row r="1841" spans="1:49" ht="14.5" x14ac:dyDescent="0.35">
      <c r="A1841" s="12">
        <v>1840</v>
      </c>
      <c r="B1841" s="12" t="s">
        <v>551</v>
      </c>
      <c r="C1841" s="12" t="s">
        <v>552</v>
      </c>
      <c r="D1841" s="12" t="s">
        <v>552</v>
      </c>
      <c r="E1841" s="12" t="s">
        <v>68</v>
      </c>
      <c r="F1841" s="13" t="s">
        <v>571</v>
      </c>
      <c r="G1841" s="13" t="s">
        <v>51</v>
      </c>
      <c r="H1841" s="13" t="s">
        <v>52</v>
      </c>
      <c r="I1841" s="13" t="s">
        <v>53</v>
      </c>
      <c r="J1841" s="14">
        <v>5.18</v>
      </c>
      <c r="K1841" s="17"/>
      <c r="L1841" s="14" t="s">
        <v>566</v>
      </c>
      <c r="M1841" s="14" t="s">
        <v>572</v>
      </c>
      <c r="N1841" s="14" t="s">
        <v>85</v>
      </c>
      <c r="O1841" s="17" t="s">
        <v>86</v>
      </c>
      <c r="P1841" s="14"/>
      <c r="Q1841" s="14"/>
      <c r="R1841" s="14"/>
      <c r="S1841" s="14">
        <v>1162.7909999999999</v>
      </c>
      <c r="T1841" s="14">
        <v>11046.51</v>
      </c>
      <c r="U1841" s="19">
        <f t="shared" si="125"/>
        <v>9.4999961300010067</v>
      </c>
      <c r="V1841" s="41">
        <f t="shared" si="123"/>
        <v>849.99961300010068</v>
      </c>
      <c r="W1841" s="14"/>
      <c r="X1841" s="14" t="s">
        <v>56</v>
      </c>
      <c r="Z1841" s="14" t="s">
        <v>56</v>
      </c>
      <c r="AA1841" s="14"/>
      <c r="AB1841" s="14" t="s">
        <v>57</v>
      </c>
      <c r="AC1841" s="14">
        <v>1979</v>
      </c>
      <c r="AD1841" s="14">
        <v>35</v>
      </c>
      <c r="AE1841" s="14"/>
      <c r="AF1841" s="14"/>
      <c r="AG1841" s="14">
        <v>1975</v>
      </c>
      <c r="AH1841" s="14">
        <f t="shared" si="121"/>
        <v>4</v>
      </c>
      <c r="AI1841" s="17">
        <f t="shared" si="122"/>
        <v>39</v>
      </c>
      <c r="AJ1841" s="14"/>
      <c r="AK1841" s="14" t="s">
        <v>58</v>
      </c>
      <c r="AL1841" s="12" t="s">
        <v>573</v>
      </c>
      <c r="AM1841" s="14">
        <v>2012</v>
      </c>
      <c r="AN1841" s="12" t="s">
        <v>140</v>
      </c>
      <c r="AO1841" s="12" t="s">
        <v>56</v>
      </c>
      <c r="AP1841" s="12"/>
      <c r="AQ1841" s="12" t="s">
        <v>56</v>
      </c>
      <c r="AR1841" s="12" t="s">
        <v>58</v>
      </c>
      <c r="AS1841" s="12" t="s">
        <v>62</v>
      </c>
      <c r="AT1841" s="12"/>
      <c r="AU1841" s="45"/>
      <c r="AV1841" s="15"/>
      <c r="AW1841" s="12" t="str">
        <f>B1841&amp;C1841&amp;L1841&amp;M1841&amp;O1841&amp;U1841&amp;AL1841&amp;AM1841</f>
        <v>New ZealandCape Rodney–Okakari Point Marine ReserveJasus edwardsiispiny lobsterdensity9.49999613000101Freeman2012</v>
      </c>
    </row>
    <row r="1842" spans="1:49" ht="14.5" x14ac:dyDescent="0.35">
      <c r="A1842" s="12">
        <v>1841</v>
      </c>
      <c r="B1842" s="12" t="s">
        <v>551</v>
      </c>
      <c r="C1842" s="50" t="s">
        <v>2706</v>
      </c>
      <c r="D1842" s="12" t="s">
        <v>1962</v>
      </c>
      <c r="E1842" s="12" t="s">
        <v>68</v>
      </c>
      <c r="F1842" s="13" t="s">
        <v>571</v>
      </c>
      <c r="G1842" s="13" t="s">
        <v>51</v>
      </c>
      <c r="H1842" s="13" t="s">
        <v>52</v>
      </c>
      <c r="I1842" s="13" t="s">
        <v>53</v>
      </c>
      <c r="J1842" s="14">
        <v>8.4</v>
      </c>
      <c r="K1842" s="17"/>
      <c r="L1842" s="14" t="s">
        <v>566</v>
      </c>
      <c r="M1842" s="14" t="s">
        <v>572</v>
      </c>
      <c r="N1842" s="14" t="s">
        <v>85</v>
      </c>
      <c r="O1842" s="17" t="s">
        <v>86</v>
      </c>
      <c r="P1842" s="14"/>
      <c r="Q1842" s="14"/>
      <c r="R1842" s="14"/>
      <c r="S1842" s="14">
        <v>4054.0540000000001</v>
      </c>
      <c r="T1842" s="14">
        <v>20270.27</v>
      </c>
      <c r="U1842" s="19">
        <f t="shared" si="125"/>
        <v>5</v>
      </c>
      <c r="V1842" s="41">
        <f t="shared" si="123"/>
        <v>400</v>
      </c>
      <c r="W1842" s="14"/>
      <c r="X1842" s="14" t="s">
        <v>56</v>
      </c>
      <c r="Z1842" s="14" t="s">
        <v>56</v>
      </c>
      <c r="AA1842" s="14"/>
      <c r="AB1842" s="14" t="s">
        <v>57</v>
      </c>
      <c r="AC1842" s="14">
        <v>1997</v>
      </c>
      <c r="AD1842" s="14">
        <v>16</v>
      </c>
      <c r="AE1842" s="14"/>
      <c r="AF1842" s="14"/>
      <c r="AG1842" s="18">
        <v>1992</v>
      </c>
      <c r="AH1842" s="14">
        <f t="shared" si="121"/>
        <v>5</v>
      </c>
      <c r="AI1842" s="17">
        <f t="shared" si="122"/>
        <v>21</v>
      </c>
      <c r="AJ1842" s="14"/>
      <c r="AK1842" s="14" t="s">
        <v>58</v>
      </c>
      <c r="AL1842" s="12" t="s">
        <v>573</v>
      </c>
      <c r="AM1842" s="14">
        <v>2012</v>
      </c>
      <c r="AN1842" s="12" t="s">
        <v>140</v>
      </c>
      <c r="AO1842" s="12" t="s">
        <v>56</v>
      </c>
      <c r="AP1842" s="12"/>
      <c r="AQ1842" s="12" t="s">
        <v>56</v>
      </c>
      <c r="AR1842" s="12" t="s">
        <v>58</v>
      </c>
      <c r="AS1842" s="12" t="s">
        <v>62</v>
      </c>
      <c r="AT1842" s="12"/>
      <c r="AU1842" s="45"/>
      <c r="AV1842" s="15"/>
      <c r="AW1842" s="12" t="str">
        <f>B1842&amp;C1842&amp;L1842&amp;M1842&amp;O1842&amp;U1842&amp;AL1842&amp;AM1842</f>
        <v>New ZealandWhanganui A Hei Marine ReserveJasus edwardsiispiny lobsterdensity5Freeman2012</v>
      </c>
    </row>
    <row r="1843" spans="1:49" ht="14.5" x14ac:dyDescent="0.35">
      <c r="A1843" s="12">
        <v>1842</v>
      </c>
      <c r="B1843" s="12" t="s">
        <v>1527</v>
      </c>
      <c r="C1843" s="12" t="s">
        <v>2741</v>
      </c>
      <c r="D1843" s="15" t="s">
        <v>2740</v>
      </c>
      <c r="E1843" s="12" t="s">
        <v>68</v>
      </c>
      <c r="F1843" s="13" t="s">
        <v>571</v>
      </c>
      <c r="G1843" s="13" t="s">
        <v>51</v>
      </c>
      <c r="H1843" s="13" t="s">
        <v>481</v>
      </c>
      <c r="I1843" s="13" t="s">
        <v>53</v>
      </c>
      <c r="J1843" s="14">
        <v>1.79</v>
      </c>
      <c r="K1843" s="14"/>
      <c r="L1843" s="17" t="s">
        <v>1355</v>
      </c>
      <c r="M1843" s="14" t="s">
        <v>2000</v>
      </c>
      <c r="N1843" s="17" t="s">
        <v>1070</v>
      </c>
      <c r="O1843" s="17" t="s">
        <v>86</v>
      </c>
      <c r="P1843" s="14"/>
      <c r="Q1843" s="14"/>
      <c r="R1843" s="14"/>
      <c r="S1843" s="14">
        <v>723.68420000000003</v>
      </c>
      <c r="T1843" s="14">
        <v>4364.0349999999999</v>
      </c>
      <c r="U1843" s="19">
        <f t="shared" si="125"/>
        <v>6.0303029968044068</v>
      </c>
      <c r="V1843" s="41">
        <f t="shared" si="123"/>
        <v>503.03029968044069</v>
      </c>
      <c r="W1843" s="14"/>
      <c r="X1843" s="14" t="s">
        <v>56</v>
      </c>
      <c r="Z1843" s="14" t="s">
        <v>56</v>
      </c>
      <c r="AA1843" s="14"/>
      <c r="AB1843" s="14" t="s">
        <v>57</v>
      </c>
      <c r="AC1843" s="14">
        <v>2003</v>
      </c>
      <c r="AD1843" s="14">
        <v>6</v>
      </c>
      <c r="AE1843" s="14"/>
      <c r="AF1843" s="14"/>
      <c r="AG1843" s="14">
        <v>2001</v>
      </c>
      <c r="AH1843" s="14">
        <f t="shared" si="121"/>
        <v>2</v>
      </c>
      <c r="AI1843" s="17">
        <f t="shared" si="122"/>
        <v>8</v>
      </c>
      <c r="AJ1843" s="14"/>
      <c r="AK1843" s="14" t="s">
        <v>58</v>
      </c>
      <c r="AL1843" s="12" t="s">
        <v>1542</v>
      </c>
      <c r="AM1843" s="14">
        <v>2013</v>
      </c>
      <c r="AN1843" s="12" t="s">
        <v>150</v>
      </c>
      <c r="AO1843" s="12" t="s">
        <v>56</v>
      </c>
      <c r="AP1843" s="12"/>
      <c r="AQ1843" s="12" t="s">
        <v>56</v>
      </c>
      <c r="AR1843" s="12" t="s">
        <v>58</v>
      </c>
      <c r="AS1843" s="12" t="s">
        <v>62</v>
      </c>
      <c r="AT1843" s="12"/>
      <c r="AU1843" s="45" t="s">
        <v>2754</v>
      </c>
      <c r="AV1843" s="15"/>
      <c r="AW1843" s="12" t="str">
        <f>B1843&amp;C1843&amp;L1843&amp;M1843&amp;O1843&amp;U1843&amp;AL1843&amp;AM1843</f>
        <v>ItalyTorre Guaceto Zone AGastropodagastropodsdensity6.03030299680441Fraschetti2013</v>
      </c>
    </row>
    <row r="1844" spans="1:49" ht="14.5" x14ac:dyDescent="0.35">
      <c r="A1844" s="12">
        <v>1843</v>
      </c>
      <c r="B1844" s="15" t="s">
        <v>1527</v>
      </c>
      <c r="C1844" s="15" t="s">
        <v>2741</v>
      </c>
      <c r="D1844" s="15" t="s">
        <v>2740</v>
      </c>
      <c r="E1844" s="15" t="s">
        <v>68</v>
      </c>
      <c r="F1844" s="13" t="s">
        <v>571</v>
      </c>
      <c r="G1844" s="13" t="s">
        <v>51</v>
      </c>
      <c r="H1844" s="16" t="s">
        <v>481</v>
      </c>
      <c r="I1844" s="16" t="s">
        <v>53</v>
      </c>
      <c r="J1844" s="17">
        <v>1.79</v>
      </c>
      <c r="K1844" s="17"/>
      <c r="L1844" s="14" t="s">
        <v>445</v>
      </c>
      <c r="M1844" s="17" t="s">
        <v>1006</v>
      </c>
      <c r="N1844" s="14" t="s">
        <v>446</v>
      </c>
      <c r="O1844" s="17" t="s">
        <v>86</v>
      </c>
      <c r="P1844" s="17"/>
      <c r="Q1844" s="17"/>
      <c r="R1844" s="17"/>
      <c r="S1844" s="17">
        <v>5314.2860000000001</v>
      </c>
      <c r="T1844" s="17">
        <v>1257.143</v>
      </c>
      <c r="U1844" s="20">
        <f t="shared" si="125"/>
        <v>0.23655915394843258</v>
      </c>
      <c r="V1844" s="41">
        <f t="shared" si="123"/>
        <v>-76.344084605156738</v>
      </c>
      <c r="W1844" s="17"/>
      <c r="X1844" s="17" t="s">
        <v>56</v>
      </c>
      <c r="Z1844" s="17" t="s">
        <v>56</v>
      </c>
      <c r="AA1844" s="14"/>
      <c r="AB1844" s="17" t="s">
        <v>57</v>
      </c>
      <c r="AC1844" s="17">
        <v>2007</v>
      </c>
      <c r="AD1844" s="17">
        <v>2</v>
      </c>
      <c r="AE1844" s="17"/>
      <c r="AF1844" s="17"/>
      <c r="AG1844" s="17">
        <v>2001</v>
      </c>
      <c r="AH1844" s="14">
        <f t="shared" si="121"/>
        <v>6</v>
      </c>
      <c r="AI1844" s="17">
        <f t="shared" si="122"/>
        <v>8</v>
      </c>
      <c r="AJ1844" s="17"/>
      <c r="AK1844" s="17" t="s">
        <v>58</v>
      </c>
      <c r="AL1844" s="15" t="s">
        <v>1542</v>
      </c>
      <c r="AM1844" s="17">
        <v>2013</v>
      </c>
      <c r="AN1844" s="12" t="s">
        <v>150</v>
      </c>
      <c r="AO1844" s="15" t="s">
        <v>56</v>
      </c>
      <c r="AP1844" s="15"/>
      <c r="AQ1844" s="15" t="s">
        <v>56</v>
      </c>
      <c r="AR1844" s="15" t="s">
        <v>58</v>
      </c>
      <c r="AS1844" s="15" t="s">
        <v>62</v>
      </c>
      <c r="AT1844" s="15"/>
      <c r="AU1844" s="45" t="s">
        <v>2755</v>
      </c>
      <c r="AV1844" s="15"/>
      <c r="AW1844" s="12" t="str">
        <f>B1844&amp;C1844&amp;L1844&amp;M1844&amp;O1844&amp;U1844&amp;AL1844&amp;AM1844</f>
        <v>ItalyTorre Guaceto Zone AEchinoideasea urchinsdensity0.236559153948433Fraschetti2013</v>
      </c>
    </row>
    <row r="1845" spans="1:49" ht="14.5" x14ac:dyDescent="0.35">
      <c r="A1845" s="12">
        <v>1844</v>
      </c>
      <c r="B1845" s="12" t="s">
        <v>1527</v>
      </c>
      <c r="C1845" s="15" t="s">
        <v>2741</v>
      </c>
      <c r="D1845" s="15" t="s">
        <v>2740</v>
      </c>
      <c r="E1845" s="15" t="s">
        <v>68</v>
      </c>
      <c r="F1845" s="13" t="s">
        <v>571</v>
      </c>
      <c r="G1845" s="13" t="s">
        <v>51</v>
      </c>
      <c r="H1845" s="16" t="s">
        <v>481</v>
      </c>
      <c r="I1845" s="16" t="s">
        <v>53</v>
      </c>
      <c r="J1845" s="17"/>
      <c r="K1845" s="17"/>
      <c r="L1845" s="17" t="s">
        <v>1958</v>
      </c>
      <c r="M1845" s="17" t="s">
        <v>2001</v>
      </c>
      <c r="N1845" s="14" t="s">
        <v>85</v>
      </c>
      <c r="O1845" s="17" t="s">
        <v>86</v>
      </c>
      <c r="P1845" s="17"/>
      <c r="Q1845" s="17"/>
      <c r="R1845" s="17"/>
      <c r="S1845" s="17">
        <v>325833.3</v>
      </c>
      <c r="T1845" s="17">
        <v>499166.7</v>
      </c>
      <c r="U1845" s="20">
        <f t="shared" si="125"/>
        <v>1.5319695684879355</v>
      </c>
      <c r="V1845" s="41">
        <f t="shared" si="123"/>
        <v>53.196956848793555</v>
      </c>
      <c r="W1845" s="17"/>
      <c r="X1845" s="17" t="s">
        <v>56</v>
      </c>
      <c r="Z1845" s="17" t="s">
        <v>56</v>
      </c>
      <c r="AA1845" s="14"/>
      <c r="AB1845" s="17" t="s">
        <v>57</v>
      </c>
      <c r="AC1845" s="17">
        <v>2006</v>
      </c>
      <c r="AD1845" s="17">
        <v>3</v>
      </c>
      <c r="AE1845" s="17"/>
      <c r="AF1845" s="17"/>
      <c r="AG1845" s="17">
        <v>2001</v>
      </c>
      <c r="AH1845" s="14">
        <f t="shared" si="121"/>
        <v>5</v>
      </c>
      <c r="AI1845" s="17">
        <f t="shared" si="122"/>
        <v>8</v>
      </c>
      <c r="AJ1845" s="17"/>
      <c r="AK1845" s="17" t="s">
        <v>58</v>
      </c>
      <c r="AL1845" s="15" t="s">
        <v>1542</v>
      </c>
      <c r="AM1845" s="17">
        <v>2013</v>
      </c>
      <c r="AN1845" s="12" t="s">
        <v>150</v>
      </c>
      <c r="AO1845" s="15" t="s">
        <v>56</v>
      </c>
      <c r="AP1845" s="15"/>
      <c r="AQ1845" s="15" t="s">
        <v>56</v>
      </c>
      <c r="AR1845" s="15" t="s">
        <v>58</v>
      </c>
      <c r="AS1845" s="15" t="s">
        <v>62</v>
      </c>
      <c r="AT1845" s="15"/>
      <c r="AU1845" s="45" t="s">
        <v>2756</v>
      </c>
      <c r="AV1845" s="15"/>
      <c r="AW1845" s="12" t="str">
        <f>B1845&amp;C1845&amp;L1845&amp;M1845&amp;O1845&amp;U1845&amp;AL1845&amp;AM1845</f>
        <v>ItalyTorre Guaceto Zone APosidonia oceanicaNeptune grassdensity1.53196956848794Fraschetti2013</v>
      </c>
    </row>
    <row r="1846" spans="1:49" ht="14.5" x14ac:dyDescent="0.35">
      <c r="A1846" s="12">
        <v>1845</v>
      </c>
      <c r="B1846" s="15" t="s">
        <v>1527</v>
      </c>
      <c r="C1846" s="15" t="s">
        <v>1540</v>
      </c>
      <c r="D1846" s="15" t="s">
        <v>2696</v>
      </c>
      <c r="E1846" s="15" t="s">
        <v>49</v>
      </c>
      <c r="F1846" s="13" t="s">
        <v>571</v>
      </c>
      <c r="G1846" s="13" t="s">
        <v>51</v>
      </c>
      <c r="H1846" s="16" t="s">
        <v>481</v>
      </c>
      <c r="I1846" s="16" t="s">
        <v>53</v>
      </c>
      <c r="J1846" s="17">
        <v>16</v>
      </c>
      <c r="K1846" s="17"/>
      <c r="L1846" s="17" t="s">
        <v>1541</v>
      </c>
      <c r="M1846" s="17"/>
      <c r="N1846" s="17" t="s">
        <v>120</v>
      </c>
      <c r="O1846" s="17" t="s">
        <v>101</v>
      </c>
      <c r="P1846" s="17"/>
      <c r="Q1846" s="17"/>
      <c r="R1846" s="17"/>
      <c r="S1846" s="17">
        <v>38.083329999999997</v>
      </c>
      <c r="T1846" s="17">
        <v>34.166670000000003</v>
      </c>
      <c r="U1846" s="20">
        <f t="shared" si="125"/>
        <v>0.89715552710332858</v>
      </c>
      <c r="V1846" s="41">
        <f t="shared" si="123"/>
        <v>-10.284447289667142</v>
      </c>
      <c r="W1846" s="17"/>
      <c r="X1846" s="17" t="s">
        <v>56</v>
      </c>
      <c r="Z1846" s="17" t="s">
        <v>58</v>
      </c>
      <c r="AA1846" s="14"/>
      <c r="AB1846" s="17" t="s">
        <v>57</v>
      </c>
      <c r="AC1846" s="17">
        <v>2001</v>
      </c>
      <c r="AD1846" s="17">
        <v>9</v>
      </c>
      <c r="AE1846" s="17"/>
      <c r="AF1846" s="17"/>
      <c r="AG1846" s="17">
        <v>1989</v>
      </c>
      <c r="AH1846" s="14">
        <f t="shared" si="121"/>
        <v>12</v>
      </c>
      <c r="AI1846" s="17">
        <f t="shared" si="122"/>
        <v>21</v>
      </c>
      <c r="AJ1846" s="17"/>
      <c r="AK1846" s="17" t="s">
        <v>56</v>
      </c>
      <c r="AL1846" s="15" t="s">
        <v>1542</v>
      </c>
      <c r="AM1846" s="17">
        <v>2012</v>
      </c>
      <c r="AN1846" s="12" t="s">
        <v>183</v>
      </c>
      <c r="AO1846" s="15" t="s">
        <v>56</v>
      </c>
      <c r="AP1846" s="15"/>
      <c r="AQ1846" s="15" t="s">
        <v>56</v>
      </c>
      <c r="AR1846" s="15" t="s">
        <v>58</v>
      </c>
      <c r="AS1846" s="15" t="s">
        <v>62</v>
      </c>
      <c r="AT1846" s="15"/>
      <c r="AU1846" s="45" t="s">
        <v>2697</v>
      </c>
      <c r="AV1846" s="15"/>
      <c r="AW1846" s="12" t="str">
        <f>B1846&amp;C1846&amp;L1846&amp;M1846&amp;O1846&amp;U1846&amp;AL1846&amp;AM1846</f>
        <v>ItalyPianosa no-take areaCystoseiracover0.897155527103329Fraschetti2012</v>
      </c>
    </row>
    <row r="1847" spans="1:49" ht="14.5" x14ac:dyDescent="0.35">
      <c r="A1847" s="12">
        <v>1846</v>
      </c>
      <c r="B1847" s="15" t="s">
        <v>586</v>
      </c>
      <c r="C1847" s="15" t="s">
        <v>1480</v>
      </c>
      <c r="D1847" s="43" t="s">
        <v>718</v>
      </c>
      <c r="E1847" s="15" t="s">
        <v>1479</v>
      </c>
      <c r="F1847" s="13" t="s">
        <v>480</v>
      </c>
      <c r="G1847" s="13" t="s">
        <v>51</v>
      </c>
      <c r="H1847" s="16" t="s">
        <v>78</v>
      </c>
      <c r="I1847" s="16" t="s">
        <v>156</v>
      </c>
      <c r="J1847" s="17">
        <v>1</v>
      </c>
      <c r="K1847" s="17"/>
      <c r="L1847" s="17"/>
      <c r="M1847" s="17" t="s">
        <v>69</v>
      </c>
      <c r="N1847" s="17" t="s">
        <v>1070</v>
      </c>
      <c r="O1847" s="17" t="s">
        <v>70</v>
      </c>
      <c r="P1847" s="17"/>
      <c r="Q1847" s="17"/>
      <c r="R1847" s="17"/>
      <c r="S1847" s="17">
        <v>6.2318800000000003</v>
      </c>
      <c r="T1847" s="17">
        <v>6.8115899999999998</v>
      </c>
      <c r="U1847" s="20">
        <f t="shared" si="125"/>
        <v>1.0930232931314465</v>
      </c>
      <c r="V1847" s="41">
        <f t="shared" si="123"/>
        <v>9.3023293131446536</v>
      </c>
      <c r="W1847" s="17"/>
      <c r="X1847" s="17" t="s">
        <v>56</v>
      </c>
      <c r="Y1847" s="12"/>
      <c r="Z1847" s="17" t="s">
        <v>56</v>
      </c>
      <c r="AA1847" s="14"/>
      <c r="AB1847" s="17" t="s">
        <v>57</v>
      </c>
      <c r="AC1847" s="17">
        <v>2014</v>
      </c>
      <c r="AD1847" s="17">
        <v>0</v>
      </c>
      <c r="AE1847" s="17"/>
      <c r="AF1847" s="17"/>
      <c r="AG1847" s="17">
        <v>2002</v>
      </c>
      <c r="AH1847" s="14">
        <f t="shared" si="121"/>
        <v>12</v>
      </c>
      <c r="AI1847" s="17">
        <f t="shared" si="122"/>
        <v>12</v>
      </c>
      <c r="AJ1847" s="17"/>
      <c r="AK1847" s="17" t="s">
        <v>56</v>
      </c>
      <c r="AL1847" s="15" t="s">
        <v>720</v>
      </c>
      <c r="AM1847" s="17">
        <v>2017</v>
      </c>
      <c r="AN1847" s="12" t="s">
        <v>150</v>
      </c>
      <c r="AO1847" s="15" t="s">
        <v>56</v>
      </c>
      <c r="AP1847" s="15"/>
      <c r="AQ1847" s="15" t="s">
        <v>56</v>
      </c>
      <c r="AR1847" s="15" t="s">
        <v>58</v>
      </c>
      <c r="AS1847" s="15" t="s">
        <v>62</v>
      </c>
      <c r="AT1847" s="15"/>
      <c r="AU1847" s="45" t="s">
        <v>721</v>
      </c>
      <c r="AV1847" s="15"/>
      <c r="AW1847" s="12" t="str">
        <f>B1847&amp;C1847&amp;L1847&amp;M1847&amp;O1847&amp;U1847&amp;AL1847&amp;AM1847</f>
        <v>PalauNgelukes MPAfishbiomassden1.09302329313145Friedlander2017</v>
      </c>
    </row>
    <row r="1848" spans="1:49" ht="14.5" x14ac:dyDescent="0.35">
      <c r="A1848" s="12">
        <v>1847</v>
      </c>
      <c r="B1848" s="15" t="s">
        <v>586</v>
      </c>
      <c r="C1848" s="15" t="s">
        <v>2777</v>
      </c>
      <c r="D1848" s="43" t="s">
        <v>718</v>
      </c>
      <c r="E1848" s="15" t="s">
        <v>1481</v>
      </c>
      <c r="F1848" s="13" t="s">
        <v>480</v>
      </c>
      <c r="G1848" s="13" t="s">
        <v>51</v>
      </c>
      <c r="H1848" s="16" t="s">
        <v>78</v>
      </c>
      <c r="I1848" s="16" t="s">
        <v>156</v>
      </c>
      <c r="J1848" s="17">
        <v>3.3</v>
      </c>
      <c r="K1848" s="17"/>
      <c r="L1848" s="17"/>
      <c r="M1848" s="17" t="s">
        <v>69</v>
      </c>
      <c r="N1848" s="17" t="s">
        <v>1070</v>
      </c>
      <c r="O1848" s="17" t="s">
        <v>70</v>
      </c>
      <c r="P1848" s="17"/>
      <c r="Q1848" s="17"/>
      <c r="R1848" s="17"/>
      <c r="S1848" s="17">
        <v>3.4782600000000001</v>
      </c>
      <c r="T1848" s="17">
        <v>10.86957</v>
      </c>
      <c r="U1848" s="20">
        <f t="shared" si="125"/>
        <v>3.125002156250539</v>
      </c>
      <c r="V1848" s="41">
        <f t="shared" si="123"/>
        <v>212.5002156250539</v>
      </c>
      <c r="W1848" s="17"/>
      <c r="X1848" s="17" t="s">
        <v>56</v>
      </c>
      <c r="Y1848" s="12"/>
      <c r="Z1848" s="17" t="s">
        <v>56</v>
      </c>
      <c r="AA1848" s="14"/>
      <c r="AB1848" s="17" t="s">
        <v>57</v>
      </c>
      <c r="AC1848" s="17">
        <v>2014</v>
      </c>
      <c r="AD1848" s="17">
        <v>0</v>
      </c>
      <c r="AE1848" s="17"/>
      <c r="AF1848" s="17"/>
      <c r="AG1848" s="17">
        <v>1998</v>
      </c>
      <c r="AH1848" s="14">
        <f t="shared" si="121"/>
        <v>16</v>
      </c>
      <c r="AI1848" s="17">
        <f t="shared" si="122"/>
        <v>16</v>
      </c>
      <c r="AJ1848" s="17"/>
      <c r="AK1848" s="17" t="s">
        <v>56</v>
      </c>
      <c r="AL1848" s="15" t="s">
        <v>720</v>
      </c>
      <c r="AM1848" s="17">
        <v>2017</v>
      </c>
      <c r="AN1848" s="12" t="s">
        <v>150</v>
      </c>
      <c r="AO1848" s="15" t="s">
        <v>56</v>
      </c>
      <c r="AP1848" s="15"/>
      <c r="AQ1848" s="15" t="s">
        <v>56</v>
      </c>
      <c r="AR1848" s="15" t="s">
        <v>58</v>
      </c>
      <c r="AS1848" s="15" t="s">
        <v>62</v>
      </c>
      <c r="AT1848" s="15"/>
      <c r="AU1848" s="45" t="s">
        <v>721</v>
      </c>
      <c r="AV1848" s="15"/>
      <c r="AW1848" s="12" t="str">
        <f>B1848&amp;C1848&amp;L1848&amp;M1848&amp;O1848&amp;U1848&amp;AL1848&amp;AM1848</f>
        <v>PalauNgermasech MPAfishbiomassden3.12500215625054Friedlander2017</v>
      </c>
    </row>
    <row r="1849" spans="1:49" ht="14.5" x14ac:dyDescent="0.35">
      <c r="A1849" s="12">
        <v>1848</v>
      </c>
      <c r="B1849" s="15" t="s">
        <v>586</v>
      </c>
      <c r="C1849" s="15" t="s">
        <v>2776</v>
      </c>
      <c r="D1849" s="43" t="s">
        <v>718</v>
      </c>
      <c r="E1849" s="15" t="s">
        <v>1478</v>
      </c>
      <c r="F1849" s="13" t="s">
        <v>480</v>
      </c>
      <c r="G1849" s="13" t="s">
        <v>51</v>
      </c>
      <c r="H1849" s="16" t="s">
        <v>78</v>
      </c>
      <c r="I1849" s="16" t="s">
        <v>156</v>
      </c>
      <c r="J1849" s="17">
        <v>5.9</v>
      </c>
      <c r="K1849" s="17"/>
      <c r="L1849" s="17"/>
      <c r="M1849" s="17" t="s">
        <v>69</v>
      </c>
      <c r="N1849" s="17" t="s">
        <v>1070</v>
      </c>
      <c r="O1849" s="17" t="s">
        <v>70</v>
      </c>
      <c r="P1849" s="17"/>
      <c r="Q1849" s="17"/>
      <c r="R1849" s="17"/>
      <c r="S1849" s="17">
        <v>6.8115899999999998</v>
      </c>
      <c r="T1849" s="17">
        <v>11.594200000000001</v>
      </c>
      <c r="U1849" s="20">
        <f t="shared" si="125"/>
        <v>1.7021282842919203</v>
      </c>
      <c r="V1849" s="41">
        <f t="shared" si="123"/>
        <v>70.212828429192029</v>
      </c>
      <c r="W1849" s="17"/>
      <c r="X1849" s="17" t="s">
        <v>56</v>
      </c>
      <c r="Y1849" s="12"/>
      <c r="Z1849" s="17" t="s">
        <v>56</v>
      </c>
      <c r="AA1849" s="14"/>
      <c r="AB1849" s="17" t="s">
        <v>57</v>
      </c>
      <c r="AC1849" s="17">
        <v>2014</v>
      </c>
      <c r="AD1849" s="17">
        <v>0</v>
      </c>
      <c r="AE1849" s="17"/>
      <c r="AF1849" s="17"/>
      <c r="AG1849" s="17">
        <v>2001</v>
      </c>
      <c r="AH1849" s="14">
        <f t="shared" si="121"/>
        <v>13</v>
      </c>
      <c r="AI1849" s="17">
        <f t="shared" si="122"/>
        <v>13</v>
      </c>
      <c r="AJ1849" s="17"/>
      <c r="AK1849" s="17" t="s">
        <v>56</v>
      </c>
      <c r="AL1849" s="15" t="s">
        <v>720</v>
      </c>
      <c r="AM1849" s="17">
        <v>2017</v>
      </c>
      <c r="AN1849" s="12" t="s">
        <v>150</v>
      </c>
      <c r="AO1849" s="15" t="s">
        <v>56</v>
      </c>
      <c r="AP1849" s="15"/>
      <c r="AQ1849" s="15" t="s">
        <v>56</v>
      </c>
      <c r="AR1849" s="15" t="s">
        <v>58</v>
      </c>
      <c r="AS1849" s="15" t="s">
        <v>62</v>
      </c>
      <c r="AT1849" s="15"/>
      <c r="AU1849" s="45" t="s">
        <v>721</v>
      </c>
      <c r="AV1849" s="15"/>
      <c r="AW1849" s="12" t="str">
        <f>B1849&amp;C1849&amp;L1849&amp;M1849&amp;O1849&amp;U1849&amp;AL1849&amp;AM1849</f>
        <v>PalauNgederrak MPAfishbiomassden1.70212828429192Friedlander2017</v>
      </c>
    </row>
    <row r="1850" spans="1:49" ht="14.5" x14ac:dyDescent="0.35">
      <c r="A1850" s="12">
        <v>1849</v>
      </c>
      <c r="B1850" s="12" t="s">
        <v>586</v>
      </c>
      <c r="C1850" s="12" t="s">
        <v>2775</v>
      </c>
      <c r="D1850" s="44" t="s">
        <v>718</v>
      </c>
      <c r="E1850" s="12" t="s">
        <v>768</v>
      </c>
      <c r="F1850" s="13" t="s">
        <v>480</v>
      </c>
      <c r="G1850" s="13" t="s">
        <v>51</v>
      </c>
      <c r="H1850" s="13" t="s">
        <v>78</v>
      </c>
      <c r="I1850" s="13" t="s">
        <v>156</v>
      </c>
      <c r="J1850" s="14">
        <v>0.4</v>
      </c>
      <c r="K1850" s="17"/>
      <c r="L1850" s="14"/>
      <c r="M1850" s="14" t="s">
        <v>69</v>
      </c>
      <c r="N1850" s="17" t="s">
        <v>1070</v>
      </c>
      <c r="O1850" s="17" t="s">
        <v>70</v>
      </c>
      <c r="P1850" s="14"/>
      <c r="Q1850" s="14"/>
      <c r="R1850" s="14"/>
      <c r="S1850" s="14">
        <v>12.89855</v>
      </c>
      <c r="T1850" s="14">
        <v>13.188409999999999</v>
      </c>
      <c r="U1850" s="19">
        <f t="shared" si="125"/>
        <v>1.0224722933973198</v>
      </c>
      <c r="V1850" s="41">
        <f t="shared" si="123"/>
        <v>2.247229339731982</v>
      </c>
      <c r="W1850" s="14"/>
      <c r="X1850" s="14" t="s">
        <v>56</v>
      </c>
      <c r="Y1850" s="17"/>
      <c r="Z1850" s="14" t="s">
        <v>56</v>
      </c>
      <c r="AA1850" s="14"/>
      <c r="AB1850" s="14" t="s">
        <v>57</v>
      </c>
      <c r="AC1850" s="14">
        <v>2014</v>
      </c>
      <c r="AD1850" s="14">
        <v>0</v>
      </c>
      <c r="AE1850" s="14"/>
      <c r="AF1850" s="14"/>
      <c r="AG1850" s="14">
        <v>2005</v>
      </c>
      <c r="AH1850" s="14">
        <f t="shared" si="121"/>
        <v>9</v>
      </c>
      <c r="AI1850" s="17">
        <f t="shared" si="122"/>
        <v>9</v>
      </c>
      <c r="AJ1850" s="14"/>
      <c r="AK1850" s="14" t="s">
        <v>56</v>
      </c>
      <c r="AL1850" s="12" t="s">
        <v>720</v>
      </c>
      <c r="AM1850" s="14">
        <v>2017</v>
      </c>
      <c r="AN1850" s="12" t="s">
        <v>150</v>
      </c>
      <c r="AO1850" s="12" t="s">
        <v>56</v>
      </c>
      <c r="AP1850" s="12"/>
      <c r="AQ1850" s="12" t="s">
        <v>56</v>
      </c>
      <c r="AR1850" s="12" t="s">
        <v>58</v>
      </c>
      <c r="AS1850" s="12" t="s">
        <v>62</v>
      </c>
      <c r="AT1850" s="12"/>
      <c r="AU1850" s="45" t="s">
        <v>721</v>
      </c>
      <c r="AV1850" s="15"/>
      <c r="AW1850" s="12" t="str">
        <f>B1850&amp;C1850&amp;L1850&amp;M1850&amp;O1850&amp;U1850&amp;AL1850&amp;AM1850</f>
        <v>Palaulleyakl Beluu MPAfishbiomassden1.02247229339732Friedlander2017</v>
      </c>
    </row>
    <row r="1851" spans="1:49" ht="14.5" x14ac:dyDescent="0.35">
      <c r="A1851" s="12">
        <v>1850</v>
      </c>
      <c r="B1851" s="12" t="s">
        <v>586</v>
      </c>
      <c r="C1851" s="12" t="s">
        <v>1482</v>
      </c>
      <c r="D1851" s="44" t="s">
        <v>718</v>
      </c>
      <c r="E1851" s="12" t="s">
        <v>768</v>
      </c>
      <c r="F1851" s="13" t="s">
        <v>480</v>
      </c>
      <c r="G1851" s="13" t="s">
        <v>51</v>
      </c>
      <c r="H1851" s="13" t="s">
        <v>78</v>
      </c>
      <c r="I1851" s="13" t="s">
        <v>156</v>
      </c>
      <c r="J1851" s="14">
        <v>3.5</v>
      </c>
      <c r="K1851" s="14"/>
      <c r="L1851" s="14"/>
      <c r="M1851" s="14" t="s">
        <v>69</v>
      </c>
      <c r="N1851" s="17" t="s">
        <v>1070</v>
      </c>
      <c r="O1851" s="17" t="s">
        <v>70</v>
      </c>
      <c r="P1851" s="14"/>
      <c r="Q1851" s="14"/>
      <c r="R1851" s="14"/>
      <c r="S1851" s="14">
        <v>11.159420000000001</v>
      </c>
      <c r="T1851" s="14">
        <v>30</v>
      </c>
      <c r="U1851" s="19">
        <f t="shared" si="125"/>
        <v>2.6883117581379676</v>
      </c>
      <c r="V1851" s="41">
        <f t="shared" si="123"/>
        <v>168.83117581379676</v>
      </c>
      <c r="W1851" s="14"/>
      <c r="X1851" s="17" t="s">
        <v>56</v>
      </c>
      <c r="Y1851" s="15"/>
      <c r="Z1851" s="14" t="s">
        <v>56</v>
      </c>
      <c r="AA1851" s="14"/>
      <c r="AB1851" s="14" t="s">
        <v>57</v>
      </c>
      <c r="AC1851" s="14">
        <v>2014</v>
      </c>
      <c r="AD1851" s="14">
        <v>0</v>
      </c>
      <c r="AE1851" s="14"/>
      <c r="AF1851" s="14"/>
      <c r="AG1851" s="14">
        <v>1976</v>
      </c>
      <c r="AH1851" s="14">
        <f t="shared" si="121"/>
        <v>38</v>
      </c>
      <c r="AI1851" s="17">
        <f t="shared" si="122"/>
        <v>38</v>
      </c>
      <c r="AJ1851" s="14"/>
      <c r="AK1851" s="14" t="s">
        <v>56</v>
      </c>
      <c r="AL1851" s="12" t="s">
        <v>720</v>
      </c>
      <c r="AM1851" s="14">
        <v>2017</v>
      </c>
      <c r="AN1851" s="12" t="s">
        <v>150</v>
      </c>
      <c r="AO1851" s="12" t="s">
        <v>56</v>
      </c>
      <c r="AP1851" s="12"/>
      <c r="AQ1851" s="12" t="s">
        <v>56</v>
      </c>
      <c r="AR1851" s="12" t="s">
        <v>58</v>
      </c>
      <c r="AS1851" s="12" t="s">
        <v>62</v>
      </c>
      <c r="AT1851" s="12"/>
      <c r="AU1851" s="45" t="s">
        <v>721</v>
      </c>
      <c r="AV1851" s="15"/>
      <c r="AW1851" s="12" t="str">
        <f>B1851&amp;C1851&amp;L1851&amp;M1851&amp;O1851&amp;U1851&amp;AL1851&amp;AM1851</f>
        <v>PalauNgerumekaol MPAfishbiomassden2.68831175813797Friedlander2017</v>
      </c>
    </row>
    <row r="1852" spans="1:49" ht="14.5" x14ac:dyDescent="0.35">
      <c r="A1852" s="12">
        <v>1851</v>
      </c>
      <c r="B1852" s="12" t="s">
        <v>586</v>
      </c>
      <c r="C1852" s="12" t="s">
        <v>717</v>
      </c>
      <c r="D1852" s="44" t="s">
        <v>718</v>
      </c>
      <c r="E1852" s="12" t="s">
        <v>719</v>
      </c>
      <c r="F1852" s="13" t="s">
        <v>480</v>
      </c>
      <c r="G1852" s="13" t="s">
        <v>51</v>
      </c>
      <c r="H1852" s="13" t="s">
        <v>78</v>
      </c>
      <c r="I1852" s="13" t="s">
        <v>156</v>
      </c>
      <c r="J1852" s="14">
        <v>37.9</v>
      </c>
      <c r="K1852" s="14"/>
      <c r="L1852" s="14"/>
      <c r="M1852" s="14" t="s">
        <v>69</v>
      </c>
      <c r="N1852" s="17" t="s">
        <v>1070</v>
      </c>
      <c r="O1852" s="17" t="s">
        <v>70</v>
      </c>
      <c r="P1852" s="14"/>
      <c r="Q1852" s="14"/>
      <c r="R1852" s="14"/>
      <c r="S1852" s="14">
        <v>16.521740000000001</v>
      </c>
      <c r="T1852" s="14">
        <v>35.507249999999999</v>
      </c>
      <c r="U1852" s="19">
        <f t="shared" si="125"/>
        <v>2.149122913204057</v>
      </c>
      <c r="V1852" s="41">
        <f t="shared" si="123"/>
        <v>114.9122913204057</v>
      </c>
      <c r="W1852" s="14"/>
      <c r="X1852" s="17" t="s">
        <v>56</v>
      </c>
      <c r="Y1852" s="17"/>
      <c r="Z1852" s="14" t="s">
        <v>56</v>
      </c>
      <c r="AA1852" s="14"/>
      <c r="AB1852" s="14" t="s">
        <v>57</v>
      </c>
      <c r="AC1852" s="14">
        <v>2014</v>
      </c>
      <c r="AD1852" s="14">
        <v>0</v>
      </c>
      <c r="AE1852" s="14"/>
      <c r="AF1852" s="14"/>
      <c r="AG1852" s="14">
        <v>1999</v>
      </c>
      <c r="AH1852" s="14">
        <f t="shared" si="121"/>
        <v>15</v>
      </c>
      <c r="AI1852" s="17">
        <f t="shared" si="122"/>
        <v>15</v>
      </c>
      <c r="AJ1852" s="14"/>
      <c r="AK1852" s="14" t="s">
        <v>56</v>
      </c>
      <c r="AL1852" s="12" t="s">
        <v>720</v>
      </c>
      <c r="AM1852" s="14">
        <v>2017</v>
      </c>
      <c r="AN1852" s="12" t="s">
        <v>150</v>
      </c>
      <c r="AO1852" s="12" t="s">
        <v>56</v>
      </c>
      <c r="AP1852" s="12"/>
      <c r="AQ1852" s="12" t="s">
        <v>56</v>
      </c>
      <c r="AR1852" s="12" t="s">
        <v>58</v>
      </c>
      <c r="AS1852" s="12" t="s">
        <v>62</v>
      </c>
      <c r="AT1852" s="12"/>
      <c r="AU1852" s="45" t="s">
        <v>721</v>
      </c>
      <c r="AV1852" s="15"/>
      <c r="AW1852" s="12" t="str">
        <f>B1852&amp;C1852&amp;L1852&amp;M1852&amp;O1852&amp;U1852&amp;AL1852&amp;AM1852</f>
        <v>PalauEbill MPAfishbiomassden2.14912291320406Friedlander2017</v>
      </c>
    </row>
    <row r="1853" spans="1:49" ht="14.5" x14ac:dyDescent="0.35">
      <c r="A1853" s="12">
        <v>1852</v>
      </c>
      <c r="B1853" s="12" t="s">
        <v>586</v>
      </c>
      <c r="C1853" s="44" t="s">
        <v>718</v>
      </c>
      <c r="D1853" s="44" t="s">
        <v>718</v>
      </c>
      <c r="E1853" s="12" t="s">
        <v>722</v>
      </c>
      <c r="F1853" s="13" t="s">
        <v>480</v>
      </c>
      <c r="G1853" s="13" t="s">
        <v>51</v>
      </c>
      <c r="H1853" s="13" t="s">
        <v>78</v>
      </c>
      <c r="I1853" s="13" t="s">
        <v>156</v>
      </c>
      <c r="J1853" s="14">
        <v>49.25</v>
      </c>
      <c r="K1853" s="17"/>
      <c r="L1853" s="14"/>
      <c r="M1853" s="14" t="s">
        <v>723</v>
      </c>
      <c r="N1853" s="14" t="s">
        <v>407</v>
      </c>
      <c r="O1853" s="17" t="s">
        <v>70</v>
      </c>
      <c r="P1853" s="14"/>
      <c r="Q1853" s="14"/>
      <c r="R1853" s="14"/>
      <c r="S1853" s="14">
        <v>9.1578900000000001</v>
      </c>
      <c r="T1853" s="14">
        <v>10.84211</v>
      </c>
      <c r="U1853" s="19">
        <f t="shared" si="125"/>
        <v>1.1839091755852058</v>
      </c>
      <c r="V1853" s="41">
        <f t="shared" si="123"/>
        <v>18.390917558520581</v>
      </c>
      <c r="W1853" s="14"/>
      <c r="X1853" s="17" t="s">
        <v>58</v>
      </c>
      <c r="Y1853" s="17"/>
      <c r="Z1853" s="14" t="s">
        <v>56</v>
      </c>
      <c r="AA1853" s="14"/>
      <c r="AB1853" s="14" t="s">
        <v>57</v>
      </c>
      <c r="AC1853" s="14">
        <v>2014</v>
      </c>
      <c r="AD1853" s="14">
        <v>0</v>
      </c>
      <c r="AE1853" s="14"/>
      <c r="AF1853" s="14"/>
      <c r="AG1853" s="14">
        <v>2005</v>
      </c>
      <c r="AH1853" s="14">
        <f t="shared" si="121"/>
        <v>9</v>
      </c>
      <c r="AI1853" s="17">
        <f t="shared" si="122"/>
        <v>9</v>
      </c>
      <c r="AJ1853" s="14"/>
      <c r="AK1853" s="14" t="s">
        <v>56</v>
      </c>
      <c r="AL1853" s="12" t="s">
        <v>720</v>
      </c>
      <c r="AM1853" s="14">
        <v>2017</v>
      </c>
      <c r="AN1853" s="12" t="s">
        <v>150</v>
      </c>
      <c r="AO1853" s="12" t="s">
        <v>56</v>
      </c>
      <c r="AP1853" s="12"/>
      <c r="AQ1853" s="12" t="s">
        <v>56</v>
      </c>
      <c r="AR1853" s="12" t="s">
        <v>58</v>
      </c>
      <c r="AS1853" s="12" t="s">
        <v>62</v>
      </c>
      <c r="AT1853" s="12"/>
      <c r="AU1853" s="45" t="s">
        <v>724</v>
      </c>
      <c r="AV1853" s="15"/>
      <c r="AW1853" s="12" t="str">
        <f>B1853&amp;C1853&amp;L1853&amp;M1853&amp;O1853&amp;U1853&amp;AL1853&amp;AM1853</f>
        <v>PalauPalau Protected Areas Networksecondary consumerbiomassden1.18390917558521Friedlander2017</v>
      </c>
    </row>
    <row r="1854" spans="1:49" ht="14.5" x14ac:dyDescent="0.35">
      <c r="A1854" s="12">
        <v>1853</v>
      </c>
      <c r="B1854" s="15" t="s">
        <v>586</v>
      </c>
      <c r="C1854" s="43" t="s">
        <v>718</v>
      </c>
      <c r="D1854" s="43" t="s">
        <v>718</v>
      </c>
      <c r="E1854" s="15" t="s">
        <v>722</v>
      </c>
      <c r="F1854" s="16" t="s">
        <v>480</v>
      </c>
      <c r="G1854" s="16" t="s">
        <v>51</v>
      </c>
      <c r="H1854" s="16" t="s">
        <v>78</v>
      </c>
      <c r="I1854" s="16" t="s">
        <v>156</v>
      </c>
      <c r="J1854" s="14">
        <v>49.25</v>
      </c>
      <c r="K1854" s="17"/>
      <c r="L1854" s="17"/>
      <c r="M1854" s="17" t="s">
        <v>725</v>
      </c>
      <c r="N1854" s="14" t="s">
        <v>407</v>
      </c>
      <c r="O1854" s="17" t="s">
        <v>70</v>
      </c>
      <c r="P1854" s="17"/>
      <c r="Q1854" s="17"/>
      <c r="R1854" s="17"/>
      <c r="S1854" s="17">
        <v>1.94737</v>
      </c>
      <c r="T1854" s="17">
        <v>9.9473699999999994</v>
      </c>
      <c r="U1854" s="20">
        <f t="shared" si="125"/>
        <v>5.1081047772123425</v>
      </c>
      <c r="V1854" s="41">
        <f t="shared" si="123"/>
        <v>410.81047772123424</v>
      </c>
      <c r="W1854" s="17"/>
      <c r="X1854" s="17" t="s">
        <v>58</v>
      </c>
      <c r="Y1854" s="17"/>
      <c r="Z1854" s="17" t="s">
        <v>56</v>
      </c>
      <c r="AA1854" s="14"/>
      <c r="AB1854" s="17" t="s">
        <v>57</v>
      </c>
      <c r="AC1854" s="17">
        <v>2014</v>
      </c>
      <c r="AD1854" s="17">
        <v>0</v>
      </c>
      <c r="AE1854" s="17"/>
      <c r="AF1854" s="17"/>
      <c r="AG1854" s="14">
        <v>2005</v>
      </c>
      <c r="AH1854" s="14">
        <f t="shared" si="121"/>
        <v>9</v>
      </c>
      <c r="AI1854" s="17">
        <f t="shared" si="122"/>
        <v>9</v>
      </c>
      <c r="AJ1854" s="17"/>
      <c r="AK1854" s="17" t="s">
        <v>56</v>
      </c>
      <c r="AL1854" s="15" t="s">
        <v>720</v>
      </c>
      <c r="AM1854" s="17">
        <v>2017</v>
      </c>
      <c r="AN1854" s="15" t="s">
        <v>150</v>
      </c>
      <c r="AO1854" s="15" t="s">
        <v>56</v>
      </c>
      <c r="AP1854" s="15"/>
      <c r="AQ1854" s="15" t="s">
        <v>56</v>
      </c>
      <c r="AR1854" s="15" t="s">
        <v>58</v>
      </c>
      <c r="AS1854" s="15" t="s">
        <v>62</v>
      </c>
      <c r="AT1854" s="15"/>
      <c r="AU1854" s="45" t="s">
        <v>724</v>
      </c>
      <c r="AV1854" s="15"/>
      <c r="AW1854" s="12" t="str">
        <f>B1854&amp;C1854&amp;L1854&amp;M1854&amp;O1854&amp;U1854&amp;AL1854&amp;AM1854</f>
        <v>PalauPalau Protected Areas Networkpiscivorous fishbiomassden5.10810477721234Friedlander2017</v>
      </c>
    </row>
    <row r="1855" spans="1:49" ht="14.5" x14ac:dyDescent="0.35">
      <c r="A1855" s="12">
        <v>1854</v>
      </c>
      <c r="B1855" s="15" t="s">
        <v>586</v>
      </c>
      <c r="C1855" s="43" t="s">
        <v>718</v>
      </c>
      <c r="D1855" s="43" t="s">
        <v>718</v>
      </c>
      <c r="E1855" s="15" t="s">
        <v>722</v>
      </c>
      <c r="F1855" s="13" t="s">
        <v>480</v>
      </c>
      <c r="G1855" s="13" t="s">
        <v>51</v>
      </c>
      <c r="H1855" s="16" t="s">
        <v>78</v>
      </c>
      <c r="I1855" s="16" t="s">
        <v>156</v>
      </c>
      <c r="J1855" s="14">
        <v>49.25</v>
      </c>
      <c r="K1855" s="17"/>
      <c r="L1855" s="17"/>
      <c r="M1855" s="17" t="s">
        <v>726</v>
      </c>
      <c r="N1855" s="14" t="s">
        <v>407</v>
      </c>
      <c r="O1855" s="17" t="s">
        <v>70</v>
      </c>
      <c r="P1855" s="17"/>
      <c r="Q1855" s="17"/>
      <c r="R1855" s="17"/>
      <c r="S1855" s="17">
        <v>4.5263200000000001</v>
      </c>
      <c r="T1855" s="17">
        <v>5.7894699999999997</v>
      </c>
      <c r="U1855" s="20">
        <f t="shared" si="125"/>
        <v>1.2790677636578942</v>
      </c>
      <c r="V1855" s="41">
        <f t="shared" si="123"/>
        <v>27.906776365789419</v>
      </c>
      <c r="W1855" s="17"/>
      <c r="X1855" s="17" t="s">
        <v>58</v>
      </c>
      <c r="Y1855" s="17"/>
      <c r="Z1855" s="17" t="s">
        <v>56</v>
      </c>
      <c r="AA1855" s="14"/>
      <c r="AB1855" s="17" t="s">
        <v>57</v>
      </c>
      <c r="AC1855" s="17">
        <v>2014</v>
      </c>
      <c r="AD1855" s="17">
        <v>0</v>
      </c>
      <c r="AE1855" s="17"/>
      <c r="AF1855" s="17"/>
      <c r="AG1855" s="14">
        <v>2005</v>
      </c>
      <c r="AH1855" s="14">
        <f t="shared" si="121"/>
        <v>9</v>
      </c>
      <c r="AI1855" s="17">
        <f t="shared" si="122"/>
        <v>9</v>
      </c>
      <c r="AJ1855" s="17"/>
      <c r="AK1855" s="17" t="s">
        <v>56</v>
      </c>
      <c r="AL1855" s="15" t="s">
        <v>720</v>
      </c>
      <c r="AM1855" s="17">
        <v>2017</v>
      </c>
      <c r="AN1855" s="12" t="s">
        <v>150</v>
      </c>
      <c r="AO1855" s="15" t="s">
        <v>56</v>
      </c>
      <c r="AP1855" s="15"/>
      <c r="AQ1855" s="15" t="s">
        <v>56</v>
      </c>
      <c r="AR1855" s="15" t="s">
        <v>58</v>
      </c>
      <c r="AS1855" s="15" t="s">
        <v>62</v>
      </c>
      <c r="AT1855" s="15"/>
      <c r="AU1855" s="45" t="s">
        <v>724</v>
      </c>
      <c r="AV1855" s="15"/>
      <c r="AW1855" s="12" t="str">
        <f>B1855&amp;C1855&amp;L1855&amp;M1855&amp;O1855&amp;U1855&amp;AL1855&amp;AM1855</f>
        <v>PalauPalau Protected Areas Networkherbivorous fishbiomassden1.27906776365789Friedlander2017</v>
      </c>
    </row>
    <row r="1856" spans="1:49" ht="14.5" x14ac:dyDescent="0.35">
      <c r="A1856" s="12">
        <v>1855</v>
      </c>
      <c r="B1856" s="15" t="s">
        <v>586</v>
      </c>
      <c r="C1856" s="43" t="s">
        <v>718</v>
      </c>
      <c r="D1856" s="43" t="s">
        <v>718</v>
      </c>
      <c r="E1856" s="12" t="s">
        <v>722</v>
      </c>
      <c r="F1856" s="13" t="s">
        <v>480</v>
      </c>
      <c r="G1856" s="13" t="s">
        <v>51</v>
      </c>
      <c r="H1856" s="16" t="s">
        <v>78</v>
      </c>
      <c r="I1856" s="16" t="s">
        <v>156</v>
      </c>
      <c r="J1856" s="14">
        <v>49.25</v>
      </c>
      <c r="K1856" s="17"/>
      <c r="L1856" s="17"/>
      <c r="M1856" s="17" t="s">
        <v>727</v>
      </c>
      <c r="N1856" s="14" t="s">
        <v>407</v>
      </c>
      <c r="O1856" s="17" t="s">
        <v>70</v>
      </c>
      <c r="P1856" s="17"/>
      <c r="Q1856" s="17"/>
      <c r="R1856" s="17"/>
      <c r="S1856" s="17">
        <v>3.8947400000000001</v>
      </c>
      <c r="T1856" s="17">
        <v>4.1052600000000004</v>
      </c>
      <c r="U1856" s="19">
        <f t="shared" si="125"/>
        <v>1.0540523886061715</v>
      </c>
      <c r="V1856" s="41">
        <f t="shared" si="123"/>
        <v>5.4052388606171453</v>
      </c>
      <c r="W1856" s="14"/>
      <c r="X1856" s="17" t="s">
        <v>58</v>
      </c>
      <c r="Y1856" s="17"/>
      <c r="Z1856" s="17" t="s">
        <v>56</v>
      </c>
      <c r="AA1856" s="14"/>
      <c r="AB1856" s="17" t="s">
        <v>57</v>
      </c>
      <c r="AC1856" s="17">
        <v>2014</v>
      </c>
      <c r="AD1856" s="17">
        <v>0</v>
      </c>
      <c r="AE1856" s="17"/>
      <c r="AF1856" s="17"/>
      <c r="AG1856" s="14">
        <v>2005</v>
      </c>
      <c r="AH1856" s="14">
        <f t="shared" ref="AH1856:AH1919" si="126">IF(OR(AG1856="NA",AC1856="NA"),"NA",IF(OR(AC1856="",AG1856=""), "", AC1856-AG1856))</f>
        <v>9</v>
      </c>
      <c r="AI1856" s="17">
        <f t="shared" ref="AI1856:AI1919" si="127">IF(AH1856="NA", "NA",IF(OR(AH1856="",AND(AD1856="",AE1856="")), "",AH1856+AD1856+AE1856/12))</f>
        <v>9</v>
      </c>
      <c r="AJ1856" s="17"/>
      <c r="AK1856" s="17" t="s">
        <v>56</v>
      </c>
      <c r="AL1856" s="15" t="s">
        <v>720</v>
      </c>
      <c r="AM1856" s="17">
        <v>2017</v>
      </c>
      <c r="AN1856" s="12" t="s">
        <v>150</v>
      </c>
      <c r="AO1856" s="15" t="s">
        <v>56</v>
      </c>
      <c r="AP1856" s="15"/>
      <c r="AQ1856" s="15" t="s">
        <v>56</v>
      </c>
      <c r="AR1856" s="15" t="s">
        <v>58</v>
      </c>
      <c r="AS1856" s="15" t="s">
        <v>62</v>
      </c>
      <c r="AT1856" s="12"/>
      <c r="AU1856" s="45" t="s">
        <v>724</v>
      </c>
      <c r="AV1856" s="15"/>
      <c r="AW1856" s="12" t="str">
        <f>B1856&amp;C1856&amp;L1856&amp;M1856&amp;O1856&amp;U1856&amp;AL1856&amp;AM1856</f>
        <v>PalauPalau Protected Areas Networkplanktivorous fishbiomassden1.05405238860617Friedlander2017</v>
      </c>
    </row>
    <row r="1857" spans="1:49" ht="14.5" x14ac:dyDescent="0.35">
      <c r="A1857" s="12">
        <v>1856</v>
      </c>
      <c r="B1857" s="15" t="s">
        <v>153</v>
      </c>
      <c r="C1857" s="15" t="s">
        <v>1223</v>
      </c>
      <c r="D1857" s="15" t="s">
        <v>1223</v>
      </c>
      <c r="E1857" s="12" t="s">
        <v>68</v>
      </c>
      <c r="F1857" s="13" t="s">
        <v>50</v>
      </c>
      <c r="G1857" s="13" t="s">
        <v>51</v>
      </c>
      <c r="H1857" s="16" t="s">
        <v>78</v>
      </c>
      <c r="I1857" s="16" t="s">
        <v>156</v>
      </c>
      <c r="J1857" s="14">
        <v>0.02</v>
      </c>
      <c r="K1857" s="17"/>
      <c r="L1857" s="17"/>
      <c r="M1857" s="17" t="s">
        <v>2799</v>
      </c>
      <c r="N1857" s="17" t="s">
        <v>1070</v>
      </c>
      <c r="O1857" s="17" t="s">
        <v>86</v>
      </c>
      <c r="P1857" s="17"/>
      <c r="Q1857" s="17"/>
      <c r="R1857" s="17">
        <v>173.6842</v>
      </c>
      <c r="S1857" s="17"/>
      <c r="T1857" s="17">
        <v>694.73680000000002</v>
      </c>
      <c r="U1857" s="19">
        <f t="shared" si="125"/>
        <v>4</v>
      </c>
      <c r="V1857" s="41">
        <f t="shared" si="123"/>
        <v>300</v>
      </c>
      <c r="W1857" s="14"/>
      <c r="X1857" s="17" t="s">
        <v>56</v>
      </c>
      <c r="Y1857" s="17"/>
      <c r="Z1857" s="17" t="s">
        <v>56</v>
      </c>
      <c r="AA1857" s="14"/>
      <c r="AB1857" s="17" t="s">
        <v>192</v>
      </c>
      <c r="AC1857" s="17">
        <v>2007</v>
      </c>
      <c r="AD1857" s="17">
        <v>6</v>
      </c>
      <c r="AE1857" s="17"/>
      <c r="AF1857" s="17"/>
      <c r="AG1857" s="14">
        <v>2009</v>
      </c>
      <c r="AH1857" s="14">
        <f t="shared" si="126"/>
        <v>-2</v>
      </c>
      <c r="AI1857" s="17">
        <f t="shared" si="127"/>
        <v>4</v>
      </c>
      <c r="AJ1857" s="17"/>
      <c r="AK1857" s="17" t="s">
        <v>58</v>
      </c>
      <c r="AL1857" s="15" t="s">
        <v>581</v>
      </c>
      <c r="AM1857" s="17">
        <v>2017</v>
      </c>
      <c r="AN1857" s="15" t="s">
        <v>343</v>
      </c>
      <c r="AO1857" s="15" t="s">
        <v>56</v>
      </c>
      <c r="AP1857" s="15"/>
      <c r="AQ1857" s="15" t="s">
        <v>56</v>
      </c>
      <c r="AR1857" s="15" t="s">
        <v>58</v>
      </c>
      <c r="AS1857" s="15" t="s">
        <v>62</v>
      </c>
      <c r="AT1857" s="12"/>
      <c r="AU1857" s="45" t="s">
        <v>1224</v>
      </c>
      <c r="AV1857" s="15"/>
      <c r="AW1857" s="12" t="str">
        <f>B1857&amp;C1857&amp;L1857&amp;M1857&amp;O1857&amp;U1857&amp;AL1857&amp;AM1857</f>
        <v>PhilippinesLawigan-Igcadlum Marine SanctuaryMacroepifaunadensity4Espectato2017</v>
      </c>
    </row>
    <row r="1858" spans="1:49" ht="14.5" x14ac:dyDescent="0.35">
      <c r="A1858" s="12">
        <v>1857</v>
      </c>
      <c r="B1858" s="15" t="s">
        <v>153</v>
      </c>
      <c r="C1858" s="15" t="s">
        <v>580</v>
      </c>
      <c r="D1858" s="15" t="s">
        <v>580</v>
      </c>
      <c r="E1858" s="12" t="s">
        <v>68</v>
      </c>
      <c r="F1858" s="13" t="s">
        <v>50</v>
      </c>
      <c r="G1858" s="13" t="s">
        <v>51</v>
      </c>
      <c r="H1858" s="16" t="s">
        <v>78</v>
      </c>
      <c r="I1858" s="16" t="s">
        <v>156</v>
      </c>
      <c r="J1858" s="14">
        <v>0.02</v>
      </c>
      <c r="K1858" s="17"/>
      <c r="L1858" s="17"/>
      <c r="M1858" s="17" t="s">
        <v>2799</v>
      </c>
      <c r="N1858" s="17" t="s">
        <v>1070</v>
      </c>
      <c r="O1858" s="17" t="s">
        <v>86</v>
      </c>
      <c r="P1858" s="17"/>
      <c r="Q1858" s="17"/>
      <c r="R1858" s="17">
        <v>0</v>
      </c>
      <c r="S1858" s="17"/>
      <c r="T1858" s="17">
        <v>268.42110000000002</v>
      </c>
      <c r="U1858" s="19" t="str">
        <f t="shared" si="125"/>
        <v>N/A</v>
      </c>
      <c r="V1858" s="41" t="str">
        <f t="shared" ref="V1858:V1921" si="128">IFERROR(IF(U1858 = "", "",(U1858-1)*100),"N/A")</f>
        <v>N/A</v>
      </c>
      <c r="W1858" s="14"/>
      <c r="X1858" s="17" t="s">
        <v>56</v>
      </c>
      <c r="Y1858" s="17"/>
      <c r="Z1858" s="17" t="s">
        <v>56</v>
      </c>
      <c r="AA1858" s="14"/>
      <c r="AB1858" s="17" t="s">
        <v>192</v>
      </c>
      <c r="AC1858" s="17">
        <v>2007</v>
      </c>
      <c r="AD1858" s="17">
        <v>6</v>
      </c>
      <c r="AE1858" s="17"/>
      <c r="AF1858" s="17"/>
      <c r="AG1858" s="17">
        <v>2009</v>
      </c>
      <c r="AH1858" s="14">
        <f t="shared" si="126"/>
        <v>-2</v>
      </c>
      <c r="AI1858" s="17">
        <f t="shared" si="127"/>
        <v>4</v>
      </c>
      <c r="AJ1858" s="17"/>
      <c r="AK1858" s="17" t="s">
        <v>58</v>
      </c>
      <c r="AL1858" s="15" t="s">
        <v>581</v>
      </c>
      <c r="AM1858" s="17">
        <v>2017</v>
      </c>
      <c r="AN1858" s="15" t="s">
        <v>343</v>
      </c>
      <c r="AO1858" s="15" t="s">
        <v>56</v>
      </c>
      <c r="AP1858" s="15"/>
      <c r="AQ1858" s="15" t="s">
        <v>56</v>
      </c>
      <c r="AR1858" s="15" t="s">
        <v>58</v>
      </c>
      <c r="AS1858" s="15" t="s">
        <v>62</v>
      </c>
      <c r="AT1858" s="12"/>
      <c r="AU1858" s="45"/>
      <c r="AV1858" s="15"/>
      <c r="AW1858" s="12" t="str">
        <f>B1858&amp;C1858&amp;L1858&amp;M1858&amp;O1858&amp;U1858&amp;AL1858&amp;AM1858</f>
        <v>PhilippinesCata-an Marine SanctuaryMacroepifaunadensityN/AEspectato2017</v>
      </c>
    </row>
    <row r="1859" spans="1:49" ht="14.5" x14ac:dyDescent="0.35">
      <c r="A1859" s="12">
        <v>1858</v>
      </c>
      <c r="B1859" s="15" t="s">
        <v>153</v>
      </c>
      <c r="C1859" s="15" t="s">
        <v>1996</v>
      </c>
      <c r="D1859" s="15" t="s">
        <v>1996</v>
      </c>
      <c r="E1859" s="15" t="s">
        <v>68</v>
      </c>
      <c r="F1859" s="16" t="s">
        <v>50</v>
      </c>
      <c r="G1859" s="16" t="s">
        <v>51</v>
      </c>
      <c r="H1859" s="16" t="s">
        <v>78</v>
      </c>
      <c r="I1859" s="16" t="s">
        <v>156</v>
      </c>
      <c r="J1859" s="17">
        <v>0.02</v>
      </c>
      <c r="K1859" s="17"/>
      <c r="L1859" s="17"/>
      <c r="M1859" s="17" t="s">
        <v>2799</v>
      </c>
      <c r="N1859" s="17" t="s">
        <v>1070</v>
      </c>
      <c r="O1859" s="17" t="s">
        <v>86</v>
      </c>
      <c r="P1859" s="17"/>
      <c r="Q1859" s="17"/>
      <c r="R1859" s="17">
        <v>142.1053</v>
      </c>
      <c r="S1859" s="17"/>
      <c r="T1859" s="17">
        <v>268.42110000000002</v>
      </c>
      <c r="U1859" s="20">
        <f t="shared" si="125"/>
        <v>1.8888887325103287</v>
      </c>
      <c r="V1859" s="41">
        <f t="shared" si="128"/>
        <v>88.888873251032877</v>
      </c>
      <c r="W1859" s="17"/>
      <c r="X1859" s="17" t="s">
        <v>56</v>
      </c>
      <c r="Y1859" s="17"/>
      <c r="Z1859" s="17" t="s">
        <v>56</v>
      </c>
      <c r="AA1859" s="14"/>
      <c r="AB1859" s="17" t="s">
        <v>192</v>
      </c>
      <c r="AC1859" s="17">
        <v>2007</v>
      </c>
      <c r="AD1859" s="17">
        <v>6</v>
      </c>
      <c r="AE1859" s="17"/>
      <c r="AF1859" s="17"/>
      <c r="AG1859" s="17">
        <v>2009</v>
      </c>
      <c r="AH1859" s="14">
        <f t="shared" si="126"/>
        <v>-2</v>
      </c>
      <c r="AI1859" s="17">
        <f t="shared" si="127"/>
        <v>4</v>
      </c>
      <c r="AJ1859" s="17"/>
      <c r="AK1859" s="17" t="s">
        <v>58</v>
      </c>
      <c r="AL1859" s="15" t="s">
        <v>581</v>
      </c>
      <c r="AM1859" s="17">
        <v>2017</v>
      </c>
      <c r="AN1859" s="15" t="s">
        <v>343</v>
      </c>
      <c r="AO1859" s="15" t="s">
        <v>56</v>
      </c>
      <c r="AP1859" s="15"/>
      <c r="AQ1859" s="15" t="s">
        <v>56</v>
      </c>
      <c r="AR1859" s="15" t="s">
        <v>58</v>
      </c>
      <c r="AS1859" s="15" t="s">
        <v>62</v>
      </c>
      <c r="AT1859" s="15"/>
      <c r="AU1859" s="45"/>
      <c r="AV1859" s="15"/>
      <c r="AW1859" s="12" t="str">
        <f>B1859&amp;C1859&amp;L1859&amp;M1859&amp;O1859&amp;U1859&amp;AL1859&amp;AM1859</f>
        <v>PhilippinesTiolas Marine SanctuaryMacroepifaunadensity1.88888873251033Espectato2017</v>
      </c>
    </row>
    <row r="1860" spans="1:49" ht="14.5" x14ac:dyDescent="0.35">
      <c r="A1860" s="12">
        <v>1859</v>
      </c>
      <c r="B1860" s="15" t="s">
        <v>153</v>
      </c>
      <c r="C1860" s="15" t="s">
        <v>1223</v>
      </c>
      <c r="D1860" s="15" t="s">
        <v>1223</v>
      </c>
      <c r="E1860" s="12" t="s">
        <v>68</v>
      </c>
      <c r="F1860" s="16" t="s">
        <v>50</v>
      </c>
      <c r="G1860" s="16" t="s">
        <v>51</v>
      </c>
      <c r="H1860" s="16" t="s">
        <v>78</v>
      </c>
      <c r="I1860" s="16" t="s">
        <v>156</v>
      </c>
      <c r="J1860" s="17">
        <v>0.02</v>
      </c>
      <c r="K1860" s="17"/>
      <c r="L1860" s="17"/>
      <c r="M1860" s="17" t="s">
        <v>582</v>
      </c>
      <c r="N1860" s="53" t="s">
        <v>98</v>
      </c>
      <c r="O1860" s="17" t="s">
        <v>101</v>
      </c>
      <c r="P1860" s="17"/>
      <c r="Q1860" s="17"/>
      <c r="R1860" s="17">
        <v>71.875</v>
      </c>
      <c r="S1860" s="17"/>
      <c r="T1860" s="17">
        <v>40</v>
      </c>
      <c r="U1860" s="19">
        <f t="shared" si="125"/>
        <v>0.55652173913043479</v>
      </c>
      <c r="V1860" s="41">
        <f t="shared" si="128"/>
        <v>-44.347826086956523</v>
      </c>
      <c r="W1860" s="14"/>
      <c r="X1860" s="17" t="s">
        <v>56</v>
      </c>
      <c r="Y1860" s="17"/>
      <c r="Z1860" s="17" t="s">
        <v>56</v>
      </c>
      <c r="AA1860" s="14"/>
      <c r="AB1860" s="17" t="s">
        <v>192</v>
      </c>
      <c r="AC1860" s="17">
        <v>2007</v>
      </c>
      <c r="AD1860" s="17">
        <v>6</v>
      </c>
      <c r="AE1860" s="17"/>
      <c r="AF1860" s="17"/>
      <c r="AG1860" s="17">
        <v>2009</v>
      </c>
      <c r="AH1860" s="14">
        <f t="shared" si="126"/>
        <v>-2</v>
      </c>
      <c r="AI1860" s="17">
        <f t="shared" si="127"/>
        <v>4</v>
      </c>
      <c r="AJ1860" s="17"/>
      <c r="AK1860" s="17" t="s">
        <v>58</v>
      </c>
      <c r="AL1860" s="15" t="s">
        <v>581</v>
      </c>
      <c r="AM1860" s="17">
        <v>2017</v>
      </c>
      <c r="AN1860" s="15" t="s">
        <v>343</v>
      </c>
      <c r="AO1860" s="15" t="s">
        <v>56</v>
      </c>
      <c r="AP1860" s="15"/>
      <c r="AQ1860" s="15" t="s">
        <v>56</v>
      </c>
      <c r="AR1860" s="15" t="s">
        <v>58</v>
      </c>
      <c r="AS1860" s="15" t="s">
        <v>62</v>
      </c>
      <c r="AT1860" s="12"/>
      <c r="AU1860" s="45" t="s">
        <v>1224</v>
      </c>
      <c r="AV1860" s="15"/>
      <c r="AW1860" s="12" t="str">
        <f>B1860&amp;C1860&amp;L1860&amp;M1860&amp;O1860&amp;U1860&amp;AL1860&amp;AM1860</f>
        <v>PhilippinesLawigan-Igcadlum Marine SanctuaryLive hard coralcover0.556521739130435Espectato2017</v>
      </c>
    </row>
    <row r="1861" spans="1:49" ht="14.5" x14ac:dyDescent="0.35">
      <c r="A1861" s="12">
        <v>1860</v>
      </c>
      <c r="B1861" s="15" t="s">
        <v>153</v>
      </c>
      <c r="C1861" s="15" t="s">
        <v>580</v>
      </c>
      <c r="D1861" s="15" t="s">
        <v>580</v>
      </c>
      <c r="E1861" s="15" t="s">
        <v>68</v>
      </c>
      <c r="F1861" s="13" t="s">
        <v>50</v>
      </c>
      <c r="G1861" s="13" t="s">
        <v>51</v>
      </c>
      <c r="H1861" s="16" t="s">
        <v>78</v>
      </c>
      <c r="I1861" s="16" t="s">
        <v>156</v>
      </c>
      <c r="J1861" s="17">
        <v>0.02</v>
      </c>
      <c r="K1861" s="17"/>
      <c r="L1861" s="17"/>
      <c r="M1861" s="17" t="s">
        <v>582</v>
      </c>
      <c r="N1861" s="53" t="s">
        <v>98</v>
      </c>
      <c r="O1861" s="17" t="s">
        <v>101</v>
      </c>
      <c r="P1861" s="17"/>
      <c r="Q1861" s="17"/>
      <c r="R1861" s="17">
        <v>50</v>
      </c>
      <c r="S1861" s="17"/>
      <c r="T1861" s="17">
        <v>35.625</v>
      </c>
      <c r="U1861" s="20">
        <f t="shared" si="125"/>
        <v>0.71250000000000002</v>
      </c>
      <c r="V1861" s="41">
        <f t="shared" si="128"/>
        <v>-28.749999999999996</v>
      </c>
      <c r="W1861" s="17"/>
      <c r="X1861" s="17" t="s">
        <v>56</v>
      </c>
      <c r="Y1861" s="17"/>
      <c r="Z1861" s="17" t="s">
        <v>56</v>
      </c>
      <c r="AA1861" s="14"/>
      <c r="AB1861" s="17" t="s">
        <v>192</v>
      </c>
      <c r="AC1861" s="17">
        <v>2007</v>
      </c>
      <c r="AD1861" s="17">
        <v>6</v>
      </c>
      <c r="AE1861" s="17"/>
      <c r="AF1861" s="17"/>
      <c r="AG1861" s="17">
        <v>2009</v>
      </c>
      <c r="AH1861" s="14">
        <f t="shared" si="126"/>
        <v>-2</v>
      </c>
      <c r="AI1861" s="17">
        <f t="shared" si="127"/>
        <v>4</v>
      </c>
      <c r="AJ1861" s="17"/>
      <c r="AK1861" s="17" t="s">
        <v>58</v>
      </c>
      <c r="AL1861" s="15" t="s">
        <v>581</v>
      </c>
      <c r="AM1861" s="17">
        <v>2017</v>
      </c>
      <c r="AN1861" s="15" t="s">
        <v>343</v>
      </c>
      <c r="AO1861" s="15" t="s">
        <v>56</v>
      </c>
      <c r="AP1861" s="15"/>
      <c r="AQ1861" s="15" t="s">
        <v>56</v>
      </c>
      <c r="AR1861" s="15" t="s">
        <v>58</v>
      </c>
      <c r="AS1861" s="15" t="s">
        <v>62</v>
      </c>
      <c r="AT1861" s="15"/>
      <c r="AU1861" s="45"/>
      <c r="AV1861" s="15"/>
      <c r="AW1861" s="12" t="str">
        <f>B1861&amp;C1861&amp;L1861&amp;M1861&amp;O1861&amp;U1861&amp;AL1861&amp;AM1861</f>
        <v>PhilippinesCata-an Marine SanctuaryLive hard coralcover0.7125Espectato2017</v>
      </c>
    </row>
    <row r="1862" spans="1:49" ht="14.5" x14ac:dyDescent="0.35">
      <c r="A1862" s="12">
        <v>1861</v>
      </c>
      <c r="B1862" s="15" t="s">
        <v>153</v>
      </c>
      <c r="C1862" s="15" t="s">
        <v>1996</v>
      </c>
      <c r="D1862" s="12" t="s">
        <v>1996</v>
      </c>
      <c r="E1862" s="12" t="s">
        <v>68</v>
      </c>
      <c r="F1862" s="16" t="s">
        <v>50</v>
      </c>
      <c r="G1862" s="16" t="s">
        <v>51</v>
      </c>
      <c r="H1862" s="16" t="s">
        <v>78</v>
      </c>
      <c r="I1862" s="16" t="s">
        <v>156</v>
      </c>
      <c r="J1862" s="17">
        <v>0.02</v>
      </c>
      <c r="K1862" s="17"/>
      <c r="L1862" s="17"/>
      <c r="M1862" s="17" t="s">
        <v>582</v>
      </c>
      <c r="N1862" s="53" t="s">
        <v>98</v>
      </c>
      <c r="O1862" s="17" t="s">
        <v>101</v>
      </c>
      <c r="P1862" s="17"/>
      <c r="Q1862" s="17"/>
      <c r="R1862" s="17">
        <v>76.25</v>
      </c>
      <c r="S1862" s="17"/>
      <c r="T1862" s="17">
        <v>30</v>
      </c>
      <c r="U1862" s="19">
        <f t="shared" si="125"/>
        <v>0.39344262295081966</v>
      </c>
      <c r="V1862" s="41">
        <f t="shared" si="128"/>
        <v>-60.655737704918032</v>
      </c>
      <c r="W1862" s="14"/>
      <c r="X1862" s="17" t="s">
        <v>56</v>
      </c>
      <c r="Z1862" s="17" t="s">
        <v>56</v>
      </c>
      <c r="AA1862" s="14"/>
      <c r="AB1862" s="17" t="s">
        <v>192</v>
      </c>
      <c r="AC1862" s="17">
        <v>2007</v>
      </c>
      <c r="AD1862" s="17">
        <v>6</v>
      </c>
      <c r="AE1862" s="17"/>
      <c r="AF1862" s="17"/>
      <c r="AG1862" s="17">
        <v>2009</v>
      </c>
      <c r="AH1862" s="14">
        <f t="shared" si="126"/>
        <v>-2</v>
      </c>
      <c r="AI1862" s="17">
        <f t="shared" si="127"/>
        <v>4</v>
      </c>
      <c r="AJ1862" s="17"/>
      <c r="AK1862" s="17" t="s">
        <v>58</v>
      </c>
      <c r="AL1862" s="15" t="s">
        <v>581</v>
      </c>
      <c r="AM1862" s="17">
        <v>2017</v>
      </c>
      <c r="AN1862" s="15" t="s">
        <v>343</v>
      </c>
      <c r="AO1862" s="15" t="s">
        <v>56</v>
      </c>
      <c r="AP1862" s="15"/>
      <c r="AQ1862" s="15" t="s">
        <v>56</v>
      </c>
      <c r="AR1862" s="15" t="s">
        <v>58</v>
      </c>
      <c r="AS1862" s="15" t="s">
        <v>62</v>
      </c>
      <c r="AT1862" s="12"/>
      <c r="AU1862" s="45"/>
      <c r="AV1862" s="15"/>
      <c r="AW1862" s="12" t="str">
        <f>B1862&amp;C1862&amp;L1862&amp;M1862&amp;O1862&amp;U1862&amp;AL1862&amp;AM1862</f>
        <v>PhilippinesTiolas Marine SanctuaryLive hard coralcover0.39344262295082Espectato2017</v>
      </c>
    </row>
    <row r="1863" spans="1:49" ht="14.5" x14ac:dyDescent="0.35">
      <c r="A1863" s="12">
        <v>1862</v>
      </c>
      <c r="B1863" s="12" t="s">
        <v>153</v>
      </c>
      <c r="C1863" s="12" t="s">
        <v>1223</v>
      </c>
      <c r="D1863" s="15" t="s">
        <v>1223</v>
      </c>
      <c r="E1863" s="12" t="s">
        <v>68</v>
      </c>
      <c r="F1863" s="16" t="s">
        <v>50</v>
      </c>
      <c r="G1863" s="16" t="s">
        <v>51</v>
      </c>
      <c r="H1863" s="13" t="s">
        <v>78</v>
      </c>
      <c r="I1863" s="13" t="s">
        <v>156</v>
      </c>
      <c r="J1863" s="14">
        <v>0.02</v>
      </c>
      <c r="K1863" s="17"/>
      <c r="L1863" s="14"/>
      <c r="M1863" s="14" t="s">
        <v>69</v>
      </c>
      <c r="N1863" s="17" t="s">
        <v>1070</v>
      </c>
      <c r="O1863" s="17" t="s">
        <v>70</v>
      </c>
      <c r="P1863" s="14"/>
      <c r="Q1863" s="14"/>
      <c r="R1863" s="14">
        <v>10</v>
      </c>
      <c r="S1863" s="14"/>
      <c r="T1863" s="14">
        <v>55</v>
      </c>
      <c r="U1863" s="19">
        <f t="shared" si="125"/>
        <v>5.5</v>
      </c>
      <c r="V1863" s="41">
        <f t="shared" si="128"/>
        <v>450</v>
      </c>
      <c r="W1863" s="14"/>
      <c r="X1863" s="14" t="s">
        <v>56</v>
      </c>
      <c r="Z1863" s="14" t="s">
        <v>56</v>
      </c>
      <c r="AA1863" s="14"/>
      <c r="AB1863" s="14" t="s">
        <v>192</v>
      </c>
      <c r="AC1863" s="14">
        <v>2007</v>
      </c>
      <c r="AD1863" s="14">
        <v>6</v>
      </c>
      <c r="AE1863" s="14"/>
      <c r="AF1863" s="14"/>
      <c r="AG1863" s="14">
        <v>2009</v>
      </c>
      <c r="AH1863" s="14">
        <f t="shared" si="126"/>
        <v>-2</v>
      </c>
      <c r="AI1863" s="17">
        <f t="shared" si="127"/>
        <v>4</v>
      </c>
      <c r="AJ1863" s="14"/>
      <c r="AK1863" s="14" t="s">
        <v>58</v>
      </c>
      <c r="AL1863" s="12" t="s">
        <v>581</v>
      </c>
      <c r="AM1863" s="14">
        <v>2017</v>
      </c>
      <c r="AN1863" s="12" t="s">
        <v>343</v>
      </c>
      <c r="AO1863" s="12" t="s">
        <v>56</v>
      </c>
      <c r="AP1863" s="12"/>
      <c r="AQ1863" s="12" t="s">
        <v>56</v>
      </c>
      <c r="AR1863" s="12" t="s">
        <v>58</v>
      </c>
      <c r="AS1863" s="12" t="s">
        <v>62</v>
      </c>
      <c r="AT1863" s="12"/>
      <c r="AU1863" s="45" t="s">
        <v>1224</v>
      </c>
      <c r="AV1863" s="15"/>
      <c r="AW1863" s="12" t="str">
        <f>B1863&amp;C1863&amp;L1863&amp;M1863&amp;O1863&amp;U1863&amp;AL1863&amp;AM1863</f>
        <v>PhilippinesLawigan-Igcadlum Marine Sanctuaryfishbiomassden5.5Espectato2017</v>
      </c>
    </row>
    <row r="1864" spans="1:49" ht="14.5" x14ac:dyDescent="0.35">
      <c r="A1864" s="12">
        <v>1863</v>
      </c>
      <c r="B1864" s="15" t="s">
        <v>153</v>
      </c>
      <c r="C1864" s="15" t="s">
        <v>580</v>
      </c>
      <c r="D1864" s="15" t="s">
        <v>580</v>
      </c>
      <c r="E1864" s="15" t="s">
        <v>68</v>
      </c>
      <c r="F1864" s="13" t="s">
        <v>50</v>
      </c>
      <c r="G1864" s="13" t="s">
        <v>51</v>
      </c>
      <c r="H1864" s="16" t="s">
        <v>78</v>
      </c>
      <c r="I1864" s="16" t="s">
        <v>156</v>
      </c>
      <c r="J1864" s="17">
        <v>0.02</v>
      </c>
      <c r="K1864" s="17"/>
      <c r="L1864" s="17"/>
      <c r="M1864" s="17" t="s">
        <v>69</v>
      </c>
      <c r="N1864" s="17" t="s">
        <v>1070</v>
      </c>
      <c r="O1864" s="17" t="s">
        <v>70</v>
      </c>
      <c r="P1864" s="17"/>
      <c r="Q1864" s="17"/>
      <c r="R1864" s="17">
        <v>17.272729999999999</v>
      </c>
      <c r="S1864" s="17"/>
      <c r="T1864" s="17">
        <v>27.727270000000001</v>
      </c>
      <c r="U1864" s="20">
        <f t="shared" si="125"/>
        <v>1.6052627465374611</v>
      </c>
      <c r="V1864" s="41">
        <f t="shared" si="128"/>
        <v>60.526274653746114</v>
      </c>
      <c r="W1864" s="17"/>
      <c r="X1864" s="17" t="s">
        <v>56</v>
      </c>
      <c r="Z1864" s="17" t="s">
        <v>56</v>
      </c>
      <c r="AA1864" s="14"/>
      <c r="AB1864" s="17" t="s">
        <v>192</v>
      </c>
      <c r="AC1864" s="17">
        <v>2007</v>
      </c>
      <c r="AD1864" s="17">
        <v>6</v>
      </c>
      <c r="AE1864" s="17"/>
      <c r="AF1864" s="17"/>
      <c r="AG1864" s="17">
        <v>2009</v>
      </c>
      <c r="AH1864" s="14">
        <f t="shared" si="126"/>
        <v>-2</v>
      </c>
      <c r="AI1864" s="17">
        <f t="shared" si="127"/>
        <v>4</v>
      </c>
      <c r="AJ1864" s="17"/>
      <c r="AK1864" s="17" t="s">
        <v>58</v>
      </c>
      <c r="AL1864" s="15" t="s">
        <v>581</v>
      </c>
      <c r="AM1864" s="17">
        <v>2017</v>
      </c>
      <c r="AN1864" s="15" t="s">
        <v>343</v>
      </c>
      <c r="AO1864" s="15" t="s">
        <v>56</v>
      </c>
      <c r="AP1864" s="15"/>
      <c r="AQ1864" s="15" t="s">
        <v>56</v>
      </c>
      <c r="AR1864" s="15" t="s">
        <v>58</v>
      </c>
      <c r="AS1864" s="15" t="s">
        <v>62</v>
      </c>
      <c r="AT1864" s="15"/>
      <c r="AU1864" s="45"/>
      <c r="AV1864" s="15"/>
      <c r="AW1864" s="12" t="str">
        <f>B1864&amp;C1864&amp;L1864&amp;M1864&amp;O1864&amp;U1864&amp;AL1864&amp;AM1864</f>
        <v>PhilippinesCata-an Marine Sanctuaryfishbiomassden1.60526274653746Espectato2017</v>
      </c>
    </row>
    <row r="1865" spans="1:49" ht="14.5" x14ac:dyDescent="0.35">
      <c r="A1865" s="12">
        <v>1864</v>
      </c>
      <c r="B1865" s="15" t="s">
        <v>153</v>
      </c>
      <c r="C1865" s="15" t="s">
        <v>1996</v>
      </c>
      <c r="D1865" s="15" t="s">
        <v>1996</v>
      </c>
      <c r="E1865" s="15" t="s">
        <v>68</v>
      </c>
      <c r="F1865" s="13" t="s">
        <v>50</v>
      </c>
      <c r="G1865" s="13" t="s">
        <v>51</v>
      </c>
      <c r="H1865" s="16" t="s">
        <v>78</v>
      </c>
      <c r="I1865" s="16" t="s">
        <v>156</v>
      </c>
      <c r="J1865" s="17">
        <v>0.02</v>
      </c>
      <c r="K1865" s="17"/>
      <c r="L1865" s="14"/>
      <c r="M1865" s="17" t="s">
        <v>69</v>
      </c>
      <c r="N1865" s="17" t="s">
        <v>1070</v>
      </c>
      <c r="O1865" s="17" t="s">
        <v>70</v>
      </c>
      <c r="P1865" s="17"/>
      <c r="Q1865" s="17"/>
      <c r="R1865" s="17">
        <v>13.18182</v>
      </c>
      <c r="S1865" s="17"/>
      <c r="T1865" s="17">
        <v>48.636360000000003</v>
      </c>
      <c r="U1865" s="20">
        <f t="shared" ref="U1865:U1896" si="129">IFERROR(IF(AND(Q1865="",R1865="",S1865="",T1865=""),"",IF(AND(Q1865&lt;&gt;"",R1865&lt;&gt;"",S1865&lt;&gt;"",T1865&lt;&gt;""),(T1865/R1865)/(S1865/Q1865),IF(AND(Q1865&lt;&gt;"",R1865&lt;&gt;""),R1865/Q1865,IF(AND(S1865&lt;&gt;"",T1865&lt;&gt;""),T1865/S1865,IF(AND(Q1865&lt;&gt;"",S1865&lt;&gt;""),Q1865/S1865,IF(AND(R1865&lt;&gt;"",T1865&lt;&gt;""),T1865/R1865)))))), "N/A")</f>
        <v>3.6896543876338779</v>
      </c>
      <c r="V1865" s="41">
        <f t="shared" si="128"/>
        <v>268.96543876338779</v>
      </c>
      <c r="W1865" s="17"/>
      <c r="X1865" s="17" t="s">
        <v>56</v>
      </c>
      <c r="Z1865" s="17" t="s">
        <v>56</v>
      </c>
      <c r="AA1865" s="14"/>
      <c r="AB1865" s="17" t="s">
        <v>192</v>
      </c>
      <c r="AC1865" s="17">
        <v>2007</v>
      </c>
      <c r="AD1865" s="17">
        <v>6</v>
      </c>
      <c r="AE1865" s="17"/>
      <c r="AF1865" s="17"/>
      <c r="AG1865" s="17">
        <v>2009</v>
      </c>
      <c r="AH1865" s="14">
        <f t="shared" si="126"/>
        <v>-2</v>
      </c>
      <c r="AI1865" s="17">
        <f t="shared" si="127"/>
        <v>4</v>
      </c>
      <c r="AJ1865" s="17"/>
      <c r="AK1865" s="17" t="s">
        <v>58</v>
      </c>
      <c r="AL1865" s="15" t="s">
        <v>581</v>
      </c>
      <c r="AM1865" s="17">
        <v>2017</v>
      </c>
      <c r="AN1865" s="15" t="s">
        <v>343</v>
      </c>
      <c r="AO1865" s="15" t="s">
        <v>56</v>
      </c>
      <c r="AP1865" s="15"/>
      <c r="AQ1865" s="15" t="s">
        <v>56</v>
      </c>
      <c r="AR1865" s="15" t="s">
        <v>58</v>
      </c>
      <c r="AS1865" s="15" t="s">
        <v>62</v>
      </c>
      <c r="AT1865" s="15"/>
      <c r="AU1865" s="45"/>
      <c r="AV1865" s="15"/>
      <c r="AW1865" s="12" t="str">
        <f>B1865&amp;C1865&amp;L1865&amp;M1865&amp;O1865&amp;U1865&amp;AL1865&amp;AM1865</f>
        <v>PhilippinesTiolas Marine Sanctuaryfishbiomassden3.68965438763388Espectato2017</v>
      </c>
    </row>
    <row r="1866" spans="1:49" ht="14.5" x14ac:dyDescent="0.35">
      <c r="A1866" s="12">
        <v>1865</v>
      </c>
      <c r="B1866" s="12" t="s">
        <v>153</v>
      </c>
      <c r="C1866" s="12" t="s">
        <v>1223</v>
      </c>
      <c r="D1866" s="15" t="s">
        <v>1223</v>
      </c>
      <c r="E1866" s="12" t="s">
        <v>68</v>
      </c>
      <c r="F1866" s="13" t="s">
        <v>50</v>
      </c>
      <c r="G1866" s="13" t="s">
        <v>51</v>
      </c>
      <c r="H1866" s="13" t="s">
        <v>78</v>
      </c>
      <c r="I1866" s="13" t="s">
        <v>156</v>
      </c>
      <c r="J1866" s="14">
        <v>0.02</v>
      </c>
      <c r="K1866" s="17"/>
      <c r="L1866" s="14"/>
      <c r="M1866" s="14" t="s">
        <v>69</v>
      </c>
      <c r="N1866" s="17" t="s">
        <v>1070</v>
      </c>
      <c r="O1866" s="17" t="s">
        <v>86</v>
      </c>
      <c r="P1866" s="14"/>
      <c r="Q1866" s="14"/>
      <c r="R1866" s="14">
        <v>967.3913</v>
      </c>
      <c r="S1866" s="14"/>
      <c r="T1866" s="14">
        <v>1597.826</v>
      </c>
      <c r="U1866" s="19">
        <f t="shared" si="129"/>
        <v>1.6516853107940912</v>
      </c>
      <c r="V1866" s="41">
        <f t="shared" si="128"/>
        <v>65.168531079409121</v>
      </c>
      <c r="W1866" s="14"/>
      <c r="X1866" s="14" t="s">
        <v>56</v>
      </c>
      <c r="Z1866" s="14" t="s">
        <v>56</v>
      </c>
      <c r="AA1866" s="14"/>
      <c r="AB1866" s="14" t="s">
        <v>192</v>
      </c>
      <c r="AC1866" s="14">
        <v>2007</v>
      </c>
      <c r="AD1866" s="14">
        <v>6</v>
      </c>
      <c r="AE1866" s="14"/>
      <c r="AF1866" s="14"/>
      <c r="AG1866" s="14">
        <v>2009</v>
      </c>
      <c r="AH1866" s="14">
        <f t="shared" si="126"/>
        <v>-2</v>
      </c>
      <c r="AI1866" s="17">
        <f t="shared" si="127"/>
        <v>4</v>
      </c>
      <c r="AJ1866" s="14"/>
      <c r="AK1866" s="14" t="s">
        <v>58</v>
      </c>
      <c r="AL1866" s="12" t="s">
        <v>581</v>
      </c>
      <c r="AM1866" s="14">
        <v>2017</v>
      </c>
      <c r="AN1866" s="12" t="s">
        <v>343</v>
      </c>
      <c r="AO1866" s="12" t="s">
        <v>56</v>
      </c>
      <c r="AP1866" s="12"/>
      <c r="AQ1866" s="12" t="s">
        <v>56</v>
      </c>
      <c r="AR1866" s="12" t="s">
        <v>58</v>
      </c>
      <c r="AS1866" s="12" t="s">
        <v>62</v>
      </c>
      <c r="AT1866" s="12"/>
      <c r="AU1866" s="45"/>
      <c r="AV1866" s="15"/>
      <c r="AW1866" s="12" t="str">
        <f>B1866&amp;C1866&amp;L1866&amp;M1866&amp;O1866&amp;U1866&amp;AL1866&amp;AM1866</f>
        <v>PhilippinesLawigan-Igcadlum Marine Sanctuaryfishdensity1.65168531079409Espectato2017</v>
      </c>
    </row>
    <row r="1867" spans="1:49" ht="14.5" x14ac:dyDescent="0.35">
      <c r="A1867" s="12">
        <v>1866</v>
      </c>
      <c r="B1867" s="15" t="s">
        <v>153</v>
      </c>
      <c r="C1867" s="15" t="s">
        <v>580</v>
      </c>
      <c r="D1867" s="15" t="s">
        <v>580</v>
      </c>
      <c r="E1867" s="15" t="s">
        <v>68</v>
      </c>
      <c r="F1867" s="13" t="s">
        <v>50</v>
      </c>
      <c r="G1867" s="13" t="s">
        <v>51</v>
      </c>
      <c r="H1867" s="16" t="s">
        <v>78</v>
      </c>
      <c r="I1867" s="16" t="s">
        <v>156</v>
      </c>
      <c r="J1867" s="17">
        <v>0.02</v>
      </c>
      <c r="K1867" s="17"/>
      <c r="L1867" s="17"/>
      <c r="M1867" s="17" t="s">
        <v>69</v>
      </c>
      <c r="N1867" s="17" t="s">
        <v>1070</v>
      </c>
      <c r="O1867" s="17" t="s">
        <v>86</v>
      </c>
      <c r="P1867" s="17"/>
      <c r="Q1867" s="17"/>
      <c r="R1867" s="17">
        <v>2934.7829999999999</v>
      </c>
      <c r="S1867" s="17"/>
      <c r="T1867" s="17">
        <v>1804.348</v>
      </c>
      <c r="U1867" s="20">
        <f t="shared" si="129"/>
        <v>0.61481479209876844</v>
      </c>
      <c r="V1867" s="41">
        <f t="shared" si="128"/>
        <v>-38.518520790123155</v>
      </c>
      <c r="W1867" s="17"/>
      <c r="X1867" s="17" t="s">
        <v>56</v>
      </c>
      <c r="Z1867" s="17" t="s">
        <v>56</v>
      </c>
      <c r="AA1867" s="14"/>
      <c r="AB1867" s="17" t="s">
        <v>192</v>
      </c>
      <c r="AC1867" s="17">
        <v>2007</v>
      </c>
      <c r="AD1867" s="17">
        <v>6</v>
      </c>
      <c r="AE1867" s="17"/>
      <c r="AF1867" s="17"/>
      <c r="AG1867" s="17">
        <v>2009</v>
      </c>
      <c r="AH1867" s="14">
        <f t="shared" si="126"/>
        <v>-2</v>
      </c>
      <c r="AI1867" s="17">
        <f t="shared" si="127"/>
        <v>4</v>
      </c>
      <c r="AJ1867" s="17"/>
      <c r="AK1867" s="17" t="s">
        <v>58</v>
      </c>
      <c r="AL1867" s="15" t="s">
        <v>581</v>
      </c>
      <c r="AM1867" s="17">
        <v>2017</v>
      </c>
      <c r="AN1867" s="15" t="s">
        <v>343</v>
      </c>
      <c r="AO1867" s="15" t="s">
        <v>56</v>
      </c>
      <c r="AP1867" s="15"/>
      <c r="AQ1867" s="15" t="s">
        <v>56</v>
      </c>
      <c r="AR1867" s="15" t="s">
        <v>58</v>
      </c>
      <c r="AS1867" s="15" t="s">
        <v>62</v>
      </c>
      <c r="AT1867" s="15"/>
      <c r="AU1867" s="45"/>
      <c r="AV1867" s="15"/>
      <c r="AW1867" s="12" t="str">
        <f>B1867&amp;C1867&amp;L1867&amp;M1867&amp;O1867&amp;U1867&amp;AL1867&amp;AM1867</f>
        <v>PhilippinesCata-an Marine Sanctuaryfishdensity0.614814792098768Espectato2017</v>
      </c>
    </row>
    <row r="1868" spans="1:49" ht="14.5" x14ac:dyDescent="0.35">
      <c r="A1868" s="12">
        <v>1867</v>
      </c>
      <c r="B1868" s="15" t="s">
        <v>153</v>
      </c>
      <c r="C1868" s="15" t="s">
        <v>1996</v>
      </c>
      <c r="D1868" s="15" t="s">
        <v>1996</v>
      </c>
      <c r="E1868" s="15" t="s">
        <v>68</v>
      </c>
      <c r="F1868" s="13" t="s">
        <v>50</v>
      </c>
      <c r="G1868" s="13" t="s">
        <v>51</v>
      </c>
      <c r="H1868" s="16" t="s">
        <v>78</v>
      </c>
      <c r="I1868" s="16" t="s">
        <v>156</v>
      </c>
      <c r="J1868" s="17">
        <v>0.02</v>
      </c>
      <c r="K1868" s="17"/>
      <c r="L1868" s="17"/>
      <c r="M1868" s="17" t="s">
        <v>69</v>
      </c>
      <c r="N1868" s="17" t="s">
        <v>1070</v>
      </c>
      <c r="O1868" s="17" t="s">
        <v>86</v>
      </c>
      <c r="P1868" s="17"/>
      <c r="Q1868" s="17"/>
      <c r="R1868" s="17">
        <v>1010.87</v>
      </c>
      <c r="S1868" s="17"/>
      <c r="T1868" s="17">
        <v>1608.6959999999999</v>
      </c>
      <c r="U1868" s="20">
        <f t="shared" si="129"/>
        <v>1.5913975090763401</v>
      </c>
      <c r="V1868" s="41">
        <f t="shared" si="128"/>
        <v>59.139750907634017</v>
      </c>
      <c r="W1868" s="17"/>
      <c r="X1868" s="17" t="s">
        <v>56</v>
      </c>
      <c r="Z1868" s="17" t="s">
        <v>56</v>
      </c>
      <c r="AA1868" s="14"/>
      <c r="AB1868" s="17" t="s">
        <v>192</v>
      </c>
      <c r="AC1868" s="17">
        <v>2007</v>
      </c>
      <c r="AD1868" s="17">
        <v>6</v>
      </c>
      <c r="AE1868" s="17"/>
      <c r="AF1868" s="17"/>
      <c r="AG1868" s="17">
        <v>2009</v>
      </c>
      <c r="AH1868" s="14">
        <f t="shared" si="126"/>
        <v>-2</v>
      </c>
      <c r="AI1868" s="17">
        <f t="shared" si="127"/>
        <v>4</v>
      </c>
      <c r="AJ1868" s="17"/>
      <c r="AK1868" s="17" t="s">
        <v>58</v>
      </c>
      <c r="AL1868" s="15" t="s">
        <v>581</v>
      </c>
      <c r="AM1868" s="17">
        <v>2017</v>
      </c>
      <c r="AN1868" s="15" t="s">
        <v>343</v>
      </c>
      <c r="AO1868" s="15" t="s">
        <v>56</v>
      </c>
      <c r="AP1868" s="15"/>
      <c r="AQ1868" s="15" t="s">
        <v>56</v>
      </c>
      <c r="AR1868" s="15" t="s">
        <v>58</v>
      </c>
      <c r="AS1868" s="15" t="s">
        <v>62</v>
      </c>
      <c r="AT1868" s="15"/>
      <c r="AU1868" s="45"/>
      <c r="AV1868" s="15"/>
      <c r="AW1868" s="12" t="str">
        <f>B1868&amp;C1868&amp;L1868&amp;M1868&amp;O1868&amp;U1868&amp;AL1868&amp;AM1868</f>
        <v>PhilippinesTiolas Marine Sanctuaryfishdensity1.59139750907634Espectato2017</v>
      </c>
    </row>
    <row r="1869" spans="1:49" ht="14.5" x14ac:dyDescent="0.35">
      <c r="A1869" s="12">
        <v>1868</v>
      </c>
      <c r="B1869" s="12" t="s">
        <v>254</v>
      </c>
      <c r="C1869" s="12" t="s">
        <v>1498</v>
      </c>
      <c r="D1869" s="15" t="s">
        <v>2688</v>
      </c>
      <c r="E1869" s="12" t="s">
        <v>68</v>
      </c>
      <c r="F1869" s="13" t="s">
        <v>50</v>
      </c>
      <c r="G1869" s="13" t="s">
        <v>51</v>
      </c>
      <c r="H1869" s="13" t="s">
        <v>108</v>
      </c>
      <c r="I1869" s="13" t="s">
        <v>156</v>
      </c>
      <c r="J1869" s="14">
        <v>323</v>
      </c>
      <c r="K1869" s="17"/>
      <c r="L1869" s="14"/>
      <c r="M1869" s="14" t="s">
        <v>69</v>
      </c>
      <c r="N1869" s="17" t="s">
        <v>1070</v>
      </c>
      <c r="O1869" s="17" t="s">
        <v>70</v>
      </c>
      <c r="P1869" s="14"/>
      <c r="Q1869" s="14"/>
      <c r="R1869" s="14"/>
      <c r="S1869" s="14">
        <v>58</v>
      </c>
      <c r="T1869" s="14">
        <v>139</v>
      </c>
      <c r="U1869" s="19">
        <f t="shared" si="129"/>
        <v>2.396551724137931</v>
      </c>
      <c r="V1869" s="41">
        <f t="shared" si="128"/>
        <v>139.65517241379311</v>
      </c>
      <c r="W1869" s="14"/>
      <c r="X1869" s="14" t="s">
        <v>58</v>
      </c>
      <c r="Z1869" s="14" t="s">
        <v>56</v>
      </c>
      <c r="AA1869" s="14"/>
      <c r="AB1869" s="14" t="s">
        <v>57</v>
      </c>
      <c r="AC1869" s="14">
        <v>2016</v>
      </c>
      <c r="AD1869" s="14">
        <v>0</v>
      </c>
      <c r="AE1869" s="14"/>
      <c r="AF1869" s="14"/>
      <c r="AG1869" s="14">
        <v>2012</v>
      </c>
      <c r="AH1869" s="14">
        <f t="shared" si="126"/>
        <v>4</v>
      </c>
      <c r="AI1869" s="17">
        <f t="shared" si="127"/>
        <v>4</v>
      </c>
      <c r="AJ1869" s="14"/>
      <c r="AK1869" s="14" t="s">
        <v>56</v>
      </c>
      <c r="AL1869" s="12" t="s">
        <v>1499</v>
      </c>
      <c r="AM1869" s="14">
        <v>2020</v>
      </c>
      <c r="AN1869" s="12" t="s">
        <v>309</v>
      </c>
      <c r="AO1869" s="12" t="s">
        <v>56</v>
      </c>
      <c r="AP1869" s="12"/>
      <c r="AQ1869" s="12" t="s">
        <v>56</v>
      </c>
      <c r="AR1869" s="12" t="s">
        <v>58</v>
      </c>
      <c r="AS1869" s="12" t="s">
        <v>62</v>
      </c>
      <c r="AT1869" s="12"/>
      <c r="AU1869" s="45" t="s">
        <v>2689</v>
      </c>
      <c r="AV1869" s="15"/>
      <c r="AW1869" s="12" t="str">
        <f>B1869&amp;C1869&amp;L1869&amp;M1869&amp;O1869&amp;U1869&amp;AL1869&amp;AM1869</f>
        <v>MexicoNorth Cozumel, South Cozumel, Cancun, Puerto Morelos, Sian Ka'an, Arrecifes de Sian Ka'an, Xcalak, Banco Chincherro Marine Protected areas no-take zonesfishbiomassden2.39655172413793Espinosa-Andrade2020</v>
      </c>
    </row>
    <row r="1870" spans="1:49" ht="14.5" x14ac:dyDescent="0.35">
      <c r="A1870" s="12">
        <v>1869</v>
      </c>
      <c r="B1870" s="12" t="s">
        <v>254</v>
      </c>
      <c r="C1870" s="12" t="s">
        <v>1498</v>
      </c>
      <c r="D1870" s="15" t="s">
        <v>2688</v>
      </c>
      <c r="E1870" s="12" t="s">
        <v>68</v>
      </c>
      <c r="F1870" s="13" t="s">
        <v>50</v>
      </c>
      <c r="G1870" s="13" t="s">
        <v>51</v>
      </c>
      <c r="H1870" s="13" t="s">
        <v>108</v>
      </c>
      <c r="I1870" s="13" t="s">
        <v>156</v>
      </c>
      <c r="J1870" s="14">
        <v>323</v>
      </c>
      <c r="K1870" s="17"/>
      <c r="L1870" s="14"/>
      <c r="M1870" s="14" t="s">
        <v>1500</v>
      </c>
      <c r="N1870" s="53" t="s">
        <v>98</v>
      </c>
      <c r="O1870" s="17" t="s">
        <v>70</v>
      </c>
      <c r="P1870" s="14"/>
      <c r="Q1870" s="14"/>
      <c r="R1870" s="14"/>
      <c r="S1870" s="14">
        <v>11</v>
      </c>
      <c r="T1870" s="14">
        <v>39</v>
      </c>
      <c r="U1870" s="19">
        <f t="shared" si="129"/>
        <v>3.5454545454545454</v>
      </c>
      <c r="V1870" s="41">
        <f t="shared" si="128"/>
        <v>254.54545454545453</v>
      </c>
      <c r="W1870" s="14"/>
      <c r="X1870" s="14" t="s">
        <v>58</v>
      </c>
      <c r="Z1870" s="14" t="s">
        <v>56</v>
      </c>
      <c r="AA1870" s="14"/>
      <c r="AB1870" s="14" t="s">
        <v>57</v>
      </c>
      <c r="AC1870" s="14">
        <v>2016</v>
      </c>
      <c r="AD1870" s="14">
        <v>0</v>
      </c>
      <c r="AE1870" s="14"/>
      <c r="AF1870" s="14"/>
      <c r="AG1870" s="14">
        <v>2012</v>
      </c>
      <c r="AH1870" s="14">
        <f t="shared" si="126"/>
        <v>4</v>
      </c>
      <c r="AI1870" s="17">
        <f t="shared" si="127"/>
        <v>4</v>
      </c>
      <c r="AJ1870" s="14"/>
      <c r="AK1870" s="14" t="s">
        <v>56</v>
      </c>
      <c r="AL1870" s="12" t="s">
        <v>1499</v>
      </c>
      <c r="AM1870" s="14">
        <v>2020</v>
      </c>
      <c r="AN1870" s="12" t="s">
        <v>309</v>
      </c>
      <c r="AO1870" s="12" t="s">
        <v>56</v>
      </c>
      <c r="AP1870" s="12"/>
      <c r="AQ1870" s="12" t="s">
        <v>56</v>
      </c>
      <c r="AR1870" s="12" t="s">
        <v>58</v>
      </c>
      <c r="AS1870" s="12" t="s">
        <v>62</v>
      </c>
      <c r="AT1870" s="12"/>
      <c r="AU1870" s="45" t="s">
        <v>2689</v>
      </c>
      <c r="AV1870" s="15"/>
      <c r="AW1870" s="12" t="str">
        <f>B1870&amp;C1870&amp;L1870&amp;M1870&amp;O1870&amp;U1870&amp;AL1870&amp;AM1870</f>
        <v>MexicoNorth Cozumel, South Cozumel, Cancun, Puerto Morelos, Sian Ka'an, Arrecifes de Sian Ka'an, Xcalak, Banco Chincherro Marine Protected areas no-take zonescommercial fishbiomassden3.54545454545455Espinosa-Andrade2020</v>
      </c>
    </row>
    <row r="1871" spans="1:49" ht="14.5" x14ac:dyDescent="0.35">
      <c r="A1871" s="12">
        <v>1870</v>
      </c>
      <c r="B1871" s="12" t="s">
        <v>254</v>
      </c>
      <c r="C1871" s="12" t="s">
        <v>1498</v>
      </c>
      <c r="D1871" s="15" t="s">
        <v>2688</v>
      </c>
      <c r="E1871" s="12" t="s">
        <v>68</v>
      </c>
      <c r="F1871" s="13" t="s">
        <v>50</v>
      </c>
      <c r="G1871" s="13" t="s">
        <v>51</v>
      </c>
      <c r="H1871" s="13" t="s">
        <v>108</v>
      </c>
      <c r="I1871" s="13" t="s">
        <v>156</v>
      </c>
      <c r="J1871" s="14">
        <v>323</v>
      </c>
      <c r="K1871" s="17"/>
      <c r="L1871" s="14"/>
      <c r="M1871" s="14" t="s">
        <v>1500</v>
      </c>
      <c r="N1871" s="53" t="s">
        <v>98</v>
      </c>
      <c r="O1871" s="17" t="s">
        <v>104</v>
      </c>
      <c r="P1871" s="14" t="s">
        <v>457</v>
      </c>
      <c r="Q1871" s="14"/>
      <c r="R1871" s="14"/>
      <c r="S1871" s="14">
        <v>23</v>
      </c>
      <c r="T1871" s="14">
        <v>26</v>
      </c>
      <c r="U1871" s="19">
        <f t="shared" si="129"/>
        <v>1.1304347826086956</v>
      </c>
      <c r="V1871" s="41">
        <f t="shared" si="128"/>
        <v>13.043478260869556</v>
      </c>
      <c r="W1871" s="14"/>
      <c r="X1871" s="14" t="s">
        <v>58</v>
      </c>
      <c r="Z1871" s="14" t="s">
        <v>56</v>
      </c>
      <c r="AA1871" s="14"/>
      <c r="AB1871" s="14" t="s">
        <v>57</v>
      </c>
      <c r="AC1871" s="14">
        <v>2016</v>
      </c>
      <c r="AD1871" s="14">
        <v>0</v>
      </c>
      <c r="AE1871" s="14"/>
      <c r="AF1871" s="14"/>
      <c r="AG1871" s="14">
        <v>2012</v>
      </c>
      <c r="AH1871" s="14">
        <f t="shared" si="126"/>
        <v>4</v>
      </c>
      <c r="AI1871" s="17">
        <f t="shared" si="127"/>
        <v>4</v>
      </c>
      <c r="AJ1871" s="14"/>
      <c r="AK1871" s="14" t="s">
        <v>56</v>
      </c>
      <c r="AL1871" s="12" t="s">
        <v>1499</v>
      </c>
      <c r="AM1871" s="14">
        <v>2020</v>
      </c>
      <c r="AN1871" s="12" t="s">
        <v>309</v>
      </c>
      <c r="AO1871" s="12" t="s">
        <v>56</v>
      </c>
      <c r="AP1871" s="12"/>
      <c r="AQ1871" s="12" t="s">
        <v>56</v>
      </c>
      <c r="AR1871" s="12" t="s">
        <v>58</v>
      </c>
      <c r="AS1871" s="12" t="s">
        <v>62</v>
      </c>
      <c r="AT1871" s="12"/>
      <c r="AU1871" s="45" t="s">
        <v>2689</v>
      </c>
      <c r="AV1871" s="15"/>
      <c r="AW1871" s="12" t="str">
        <f>B1871&amp;C1871&amp;L1871&amp;M1871&amp;O1871&amp;U1871&amp;AL1871&amp;AM1871</f>
        <v>MexicoNorth Cozumel, South Cozumel, Cancun, Puerto Morelos, Sian Ka'an, Arrecifes de Sian Ka'an, Xcalak, Banco Chincherro Marine Protected areas no-take zonescommercial fishsize1.1304347826087Espinosa-Andrade2020</v>
      </c>
    </row>
    <row r="1872" spans="1:49" ht="14.5" x14ac:dyDescent="0.35">
      <c r="A1872" s="12">
        <v>1871</v>
      </c>
      <c r="B1872" s="15" t="s">
        <v>66</v>
      </c>
      <c r="C1872" s="15" t="s">
        <v>660</v>
      </c>
      <c r="D1872" s="15" t="s">
        <v>660</v>
      </c>
      <c r="E1872" s="15" t="s">
        <v>68</v>
      </c>
      <c r="F1872" s="13" t="s">
        <v>50</v>
      </c>
      <c r="G1872" s="13" t="s">
        <v>51</v>
      </c>
      <c r="H1872" s="16" t="s">
        <v>52</v>
      </c>
      <c r="I1872" s="16" t="s">
        <v>53</v>
      </c>
      <c r="J1872" s="17">
        <v>42.2</v>
      </c>
      <c r="K1872" s="17"/>
      <c r="L1872" s="17" t="s">
        <v>1011</v>
      </c>
      <c r="M1872" s="17"/>
      <c r="N1872" s="14" t="s">
        <v>85</v>
      </c>
      <c r="O1872" s="17" t="s">
        <v>86</v>
      </c>
      <c r="P1872" s="17"/>
      <c r="Q1872" s="17"/>
      <c r="R1872" s="17"/>
      <c r="S1872" s="17">
        <v>18.84</v>
      </c>
      <c r="T1872" s="17">
        <v>35.159999999999997</v>
      </c>
      <c r="U1872" s="20">
        <f t="shared" si="129"/>
        <v>1.8662420382165603</v>
      </c>
      <c r="V1872" s="41">
        <f t="shared" si="128"/>
        <v>86.624203821656039</v>
      </c>
      <c r="W1872" s="17"/>
      <c r="X1872" s="14" t="s">
        <v>58</v>
      </c>
      <c r="Y1872" s="14">
        <v>18</v>
      </c>
      <c r="Z1872" s="17" t="s">
        <v>58</v>
      </c>
      <c r="AA1872" s="17"/>
      <c r="AB1872" s="17" t="s">
        <v>57</v>
      </c>
      <c r="AC1872" s="17">
        <v>2011</v>
      </c>
      <c r="AD1872" s="17">
        <v>0</v>
      </c>
      <c r="AE1872" s="17"/>
      <c r="AF1872" s="17"/>
      <c r="AG1872" s="17">
        <v>2002</v>
      </c>
      <c r="AH1872" s="14">
        <f t="shared" si="126"/>
        <v>9</v>
      </c>
      <c r="AI1872" s="17">
        <f t="shared" si="127"/>
        <v>9</v>
      </c>
      <c r="AJ1872" s="17"/>
      <c r="AK1872" s="17" t="s">
        <v>56</v>
      </c>
      <c r="AL1872" s="15" t="s">
        <v>1012</v>
      </c>
      <c r="AM1872" s="17">
        <v>2016</v>
      </c>
      <c r="AN1872" s="15" t="s">
        <v>860</v>
      </c>
      <c r="AO1872" s="15" t="s">
        <v>56</v>
      </c>
      <c r="AP1872" s="15"/>
      <c r="AQ1872" s="15" t="s">
        <v>56</v>
      </c>
      <c r="AR1872" s="15" t="s">
        <v>58</v>
      </c>
      <c r="AS1872" s="15" t="s">
        <v>62</v>
      </c>
      <c r="AT1872" s="15"/>
      <c r="AU1872" s="45"/>
      <c r="AV1872" s="15"/>
      <c r="AW1872" s="12" t="str">
        <f>B1872&amp;C1872&amp;L1872&amp;M1872&amp;O1872&amp;U1872&amp;AL1872&amp;AM1872</f>
        <v>AustraliaJervis Bay Marine ParkGirella tricuspidatadensity1.86624203821656Ferguson2016</v>
      </c>
    </row>
    <row r="1873" spans="1:49" ht="14.5" x14ac:dyDescent="0.35">
      <c r="A1873" s="12">
        <v>1872</v>
      </c>
      <c r="B1873" s="15" t="s">
        <v>66</v>
      </c>
      <c r="C1873" s="15" t="s">
        <v>660</v>
      </c>
      <c r="D1873" s="15" t="s">
        <v>660</v>
      </c>
      <c r="E1873" s="15" t="s">
        <v>68</v>
      </c>
      <c r="F1873" s="16" t="s">
        <v>50</v>
      </c>
      <c r="G1873" s="16" t="s">
        <v>51</v>
      </c>
      <c r="H1873" s="16" t="s">
        <v>52</v>
      </c>
      <c r="I1873" s="16" t="s">
        <v>53</v>
      </c>
      <c r="J1873" s="17">
        <v>42.2</v>
      </c>
      <c r="K1873" s="17"/>
      <c r="L1873" s="17" t="s">
        <v>1013</v>
      </c>
      <c r="M1873" s="17"/>
      <c r="N1873" s="14" t="s">
        <v>85</v>
      </c>
      <c r="O1873" s="17" t="s">
        <v>86</v>
      </c>
      <c r="P1873" s="17"/>
      <c r="Q1873" s="17"/>
      <c r="R1873" s="17"/>
      <c r="S1873" s="17">
        <v>4.5599999999999996</v>
      </c>
      <c r="T1873" s="17">
        <v>14.16</v>
      </c>
      <c r="U1873" s="20">
        <f t="shared" si="129"/>
        <v>3.1052631578947372</v>
      </c>
      <c r="V1873" s="41">
        <f t="shared" si="128"/>
        <v>210.52631578947373</v>
      </c>
      <c r="W1873" s="17"/>
      <c r="X1873" s="17" t="s">
        <v>58</v>
      </c>
      <c r="Y1873" s="14">
        <v>18</v>
      </c>
      <c r="Z1873" s="17" t="s">
        <v>58</v>
      </c>
      <c r="AA1873" s="17"/>
      <c r="AB1873" s="17" t="s">
        <v>57</v>
      </c>
      <c r="AC1873" s="17">
        <v>2011</v>
      </c>
      <c r="AD1873" s="17">
        <v>0</v>
      </c>
      <c r="AE1873" s="17"/>
      <c r="AF1873" s="17"/>
      <c r="AG1873" s="17">
        <v>2002</v>
      </c>
      <c r="AH1873" s="14">
        <f t="shared" si="126"/>
        <v>9</v>
      </c>
      <c r="AI1873" s="17">
        <f t="shared" si="127"/>
        <v>9</v>
      </c>
      <c r="AJ1873" s="17"/>
      <c r="AK1873" s="17" t="s">
        <v>56</v>
      </c>
      <c r="AL1873" s="15" t="s">
        <v>1012</v>
      </c>
      <c r="AM1873" s="17">
        <v>2016</v>
      </c>
      <c r="AN1873" s="15" t="s">
        <v>860</v>
      </c>
      <c r="AO1873" s="15" t="s">
        <v>56</v>
      </c>
      <c r="AP1873" s="15"/>
      <c r="AQ1873" s="15" t="s">
        <v>56</v>
      </c>
      <c r="AR1873" s="15" t="s">
        <v>58</v>
      </c>
      <c r="AS1873" s="15" t="s">
        <v>62</v>
      </c>
      <c r="AT1873" s="15"/>
      <c r="AU1873" s="45"/>
      <c r="AV1873" s="15"/>
      <c r="AW1873" s="12" t="str">
        <f>B1873&amp;C1873&amp;L1873&amp;M1873&amp;O1873&amp;U1873&amp;AL1873&amp;AM1873</f>
        <v>AustraliaJervis Bay Marine ParkGirella elevatadensity3.10526315789474Ferguson2016</v>
      </c>
    </row>
    <row r="1874" spans="1:49" ht="14.5" x14ac:dyDescent="0.35">
      <c r="A1874" s="12">
        <v>1873</v>
      </c>
      <c r="B1874" s="15" t="s">
        <v>66</v>
      </c>
      <c r="C1874" s="15" t="s">
        <v>660</v>
      </c>
      <c r="D1874" s="15" t="s">
        <v>660</v>
      </c>
      <c r="E1874" s="12" t="s">
        <v>68</v>
      </c>
      <c r="F1874" s="13" t="s">
        <v>50</v>
      </c>
      <c r="G1874" s="13" t="s">
        <v>51</v>
      </c>
      <c r="H1874" s="16" t="s">
        <v>52</v>
      </c>
      <c r="I1874" s="16" t="s">
        <v>53</v>
      </c>
      <c r="J1874" s="17">
        <v>42.2</v>
      </c>
      <c r="K1874" s="17"/>
      <c r="L1874" s="17" t="s">
        <v>1014</v>
      </c>
      <c r="M1874" s="17"/>
      <c r="N1874" s="14" t="s">
        <v>85</v>
      </c>
      <c r="O1874" s="17" t="s">
        <v>86</v>
      </c>
      <c r="P1874" s="17"/>
      <c r="Q1874" s="17"/>
      <c r="R1874" s="17"/>
      <c r="S1874" s="17">
        <v>2.48</v>
      </c>
      <c r="T1874" s="17">
        <v>9</v>
      </c>
      <c r="U1874" s="19">
        <f t="shared" si="129"/>
        <v>3.629032258064516</v>
      </c>
      <c r="V1874" s="41">
        <f t="shared" si="128"/>
        <v>262.90322580645159</v>
      </c>
      <c r="W1874" s="14"/>
      <c r="X1874" s="17" t="s">
        <v>58</v>
      </c>
      <c r="Y1874" s="14">
        <v>18</v>
      </c>
      <c r="Z1874" s="17" t="s">
        <v>58</v>
      </c>
      <c r="AA1874" s="17"/>
      <c r="AB1874" s="17" t="s">
        <v>57</v>
      </c>
      <c r="AC1874" s="17">
        <v>2011</v>
      </c>
      <c r="AD1874" s="17">
        <v>0</v>
      </c>
      <c r="AE1874" s="17"/>
      <c r="AF1874" s="17"/>
      <c r="AG1874" s="17">
        <v>2002</v>
      </c>
      <c r="AH1874" s="14">
        <f t="shared" si="126"/>
        <v>9</v>
      </c>
      <c r="AI1874" s="17">
        <f t="shared" si="127"/>
        <v>9</v>
      </c>
      <c r="AJ1874" s="17"/>
      <c r="AK1874" s="17" t="s">
        <v>56</v>
      </c>
      <c r="AL1874" s="15" t="s">
        <v>1012</v>
      </c>
      <c r="AM1874" s="17">
        <v>2016</v>
      </c>
      <c r="AN1874" s="15" t="s">
        <v>860</v>
      </c>
      <c r="AO1874" s="15" t="s">
        <v>56</v>
      </c>
      <c r="AP1874" s="15"/>
      <c r="AQ1874" s="15" t="s">
        <v>56</v>
      </c>
      <c r="AR1874" s="15" t="s">
        <v>58</v>
      </c>
      <c r="AS1874" s="15" t="s">
        <v>62</v>
      </c>
      <c r="AT1874" s="12"/>
      <c r="AU1874" s="45"/>
      <c r="AV1874" s="15"/>
      <c r="AW1874" s="12" t="str">
        <f>B1874&amp;C1874&amp;L1874&amp;M1874&amp;O1874&amp;U1874&amp;AL1874&amp;AM1874</f>
        <v>AustraliaJervis Bay Marine ParkKyphosus sydneyanusdensity3.62903225806452Ferguson2016</v>
      </c>
    </row>
    <row r="1875" spans="1:49" ht="14.5" x14ac:dyDescent="0.35">
      <c r="A1875" s="12">
        <v>1874</v>
      </c>
      <c r="B1875" s="15" t="s">
        <v>66</v>
      </c>
      <c r="C1875" s="15" t="s">
        <v>660</v>
      </c>
      <c r="D1875" s="15" t="s">
        <v>660</v>
      </c>
      <c r="E1875" s="12" t="s">
        <v>68</v>
      </c>
      <c r="F1875" s="13" t="s">
        <v>50</v>
      </c>
      <c r="G1875" s="13" t="s">
        <v>51</v>
      </c>
      <c r="H1875" s="16" t="s">
        <v>52</v>
      </c>
      <c r="I1875" s="16" t="s">
        <v>53</v>
      </c>
      <c r="J1875" s="17">
        <v>42.2</v>
      </c>
      <c r="K1875" s="17"/>
      <c r="L1875" s="17" t="s">
        <v>1011</v>
      </c>
      <c r="M1875" s="17"/>
      <c r="N1875" s="14" t="s">
        <v>85</v>
      </c>
      <c r="O1875" s="17" t="s">
        <v>104</v>
      </c>
      <c r="P1875" s="17" t="s">
        <v>568</v>
      </c>
      <c r="Q1875" s="17"/>
      <c r="R1875" s="17"/>
      <c r="S1875" s="17">
        <v>28.5</v>
      </c>
      <c r="T1875" s="17">
        <v>29.6</v>
      </c>
      <c r="U1875" s="19">
        <f t="shared" si="129"/>
        <v>1.0385964912280703</v>
      </c>
      <c r="V1875" s="41">
        <f t="shared" si="128"/>
        <v>3.8596491228070295</v>
      </c>
      <c r="W1875" s="14"/>
      <c r="X1875" s="17" t="s">
        <v>58</v>
      </c>
      <c r="Y1875" s="14">
        <v>18</v>
      </c>
      <c r="Z1875" s="17" t="s">
        <v>58</v>
      </c>
      <c r="AA1875" s="17"/>
      <c r="AB1875" s="17" t="s">
        <v>57</v>
      </c>
      <c r="AC1875" s="17">
        <v>2011</v>
      </c>
      <c r="AD1875" s="17">
        <v>0</v>
      </c>
      <c r="AE1875" s="17"/>
      <c r="AF1875" s="17"/>
      <c r="AG1875" s="17">
        <v>2002</v>
      </c>
      <c r="AH1875" s="14">
        <f t="shared" si="126"/>
        <v>9</v>
      </c>
      <c r="AI1875" s="17">
        <f t="shared" si="127"/>
        <v>9</v>
      </c>
      <c r="AJ1875" s="17"/>
      <c r="AK1875" s="17" t="s">
        <v>56</v>
      </c>
      <c r="AL1875" s="15" t="s">
        <v>1012</v>
      </c>
      <c r="AM1875" s="17">
        <v>2016</v>
      </c>
      <c r="AN1875" s="15" t="s">
        <v>860</v>
      </c>
      <c r="AO1875" s="15" t="s">
        <v>56</v>
      </c>
      <c r="AP1875" s="15"/>
      <c r="AQ1875" s="15" t="s">
        <v>56</v>
      </c>
      <c r="AR1875" s="15" t="s">
        <v>58</v>
      </c>
      <c r="AS1875" s="15" t="s">
        <v>62</v>
      </c>
      <c r="AT1875" s="12"/>
      <c r="AU1875" s="45"/>
      <c r="AV1875" s="15"/>
      <c r="AW1875" s="12" t="str">
        <f>B1875&amp;C1875&amp;L1875&amp;M1875&amp;O1875&amp;U1875&amp;AL1875&amp;AM1875</f>
        <v>AustraliaJervis Bay Marine ParkGirella tricuspidatasize1.03859649122807Ferguson2016</v>
      </c>
    </row>
    <row r="1876" spans="1:49" ht="14.5" x14ac:dyDescent="0.35">
      <c r="A1876" s="12">
        <v>1875</v>
      </c>
      <c r="B1876" s="15" t="s">
        <v>66</v>
      </c>
      <c r="C1876" s="15" t="s">
        <v>660</v>
      </c>
      <c r="D1876" s="15" t="s">
        <v>660</v>
      </c>
      <c r="E1876" s="12" t="s">
        <v>68</v>
      </c>
      <c r="F1876" s="13" t="s">
        <v>50</v>
      </c>
      <c r="G1876" s="13" t="s">
        <v>51</v>
      </c>
      <c r="H1876" s="16" t="s">
        <v>52</v>
      </c>
      <c r="I1876" s="16" t="s">
        <v>53</v>
      </c>
      <c r="J1876" s="17">
        <v>42.2</v>
      </c>
      <c r="K1876" s="17"/>
      <c r="L1876" s="17" t="s">
        <v>1013</v>
      </c>
      <c r="M1876" s="17"/>
      <c r="N1876" s="14" t="s">
        <v>85</v>
      </c>
      <c r="O1876" s="17" t="s">
        <v>104</v>
      </c>
      <c r="P1876" s="17" t="s">
        <v>568</v>
      </c>
      <c r="Q1876" s="17"/>
      <c r="R1876" s="17"/>
      <c r="S1876" s="17">
        <v>25.8</v>
      </c>
      <c r="T1876" s="17">
        <v>26</v>
      </c>
      <c r="U1876" s="19">
        <f t="shared" si="129"/>
        <v>1.0077519379844961</v>
      </c>
      <c r="V1876" s="41">
        <f t="shared" si="128"/>
        <v>0.77519379844961378</v>
      </c>
      <c r="W1876" s="14"/>
      <c r="X1876" s="17" t="s">
        <v>58</v>
      </c>
      <c r="Y1876" s="14">
        <v>18</v>
      </c>
      <c r="Z1876" s="17" t="s">
        <v>58</v>
      </c>
      <c r="AA1876" s="17"/>
      <c r="AB1876" s="17" t="s">
        <v>57</v>
      </c>
      <c r="AC1876" s="17">
        <v>2011</v>
      </c>
      <c r="AD1876" s="17">
        <v>0</v>
      </c>
      <c r="AE1876" s="17"/>
      <c r="AF1876" s="17"/>
      <c r="AG1876" s="17">
        <v>2002</v>
      </c>
      <c r="AH1876" s="14">
        <f t="shared" si="126"/>
        <v>9</v>
      </c>
      <c r="AI1876" s="17">
        <f t="shared" si="127"/>
        <v>9</v>
      </c>
      <c r="AJ1876" s="17"/>
      <c r="AK1876" s="17" t="s">
        <v>56</v>
      </c>
      <c r="AL1876" s="15" t="s">
        <v>1012</v>
      </c>
      <c r="AM1876" s="17">
        <v>2016</v>
      </c>
      <c r="AN1876" s="15" t="s">
        <v>860</v>
      </c>
      <c r="AO1876" s="15" t="s">
        <v>56</v>
      </c>
      <c r="AP1876" s="15"/>
      <c r="AQ1876" s="15" t="s">
        <v>56</v>
      </c>
      <c r="AR1876" s="15" t="s">
        <v>58</v>
      </c>
      <c r="AS1876" s="15" t="s">
        <v>62</v>
      </c>
      <c r="AT1876" s="12"/>
      <c r="AU1876" s="45"/>
      <c r="AV1876" s="15"/>
      <c r="AW1876" s="12" t="str">
        <f>B1876&amp;C1876&amp;L1876&amp;M1876&amp;O1876&amp;U1876&amp;AL1876&amp;AM1876</f>
        <v>AustraliaJervis Bay Marine ParkGirella elevatasize1.0077519379845Ferguson2016</v>
      </c>
    </row>
    <row r="1877" spans="1:49" ht="14.5" x14ac:dyDescent="0.35">
      <c r="A1877" s="12">
        <v>1876</v>
      </c>
      <c r="B1877" s="15" t="s">
        <v>66</v>
      </c>
      <c r="C1877" s="15" t="s">
        <v>660</v>
      </c>
      <c r="D1877" s="15" t="s">
        <v>660</v>
      </c>
      <c r="E1877" s="12" t="s">
        <v>68</v>
      </c>
      <c r="F1877" s="13" t="s">
        <v>50</v>
      </c>
      <c r="G1877" s="13" t="s">
        <v>51</v>
      </c>
      <c r="H1877" s="16" t="s">
        <v>52</v>
      </c>
      <c r="I1877" s="16" t="s">
        <v>53</v>
      </c>
      <c r="J1877" s="17">
        <v>42.2</v>
      </c>
      <c r="K1877" s="17"/>
      <c r="L1877" s="17" t="s">
        <v>1014</v>
      </c>
      <c r="M1877" s="17"/>
      <c r="N1877" s="14" t="s">
        <v>85</v>
      </c>
      <c r="O1877" s="17" t="s">
        <v>104</v>
      </c>
      <c r="P1877" s="17" t="s">
        <v>568</v>
      </c>
      <c r="Q1877" s="17"/>
      <c r="R1877" s="17"/>
      <c r="S1877" s="17">
        <v>22</v>
      </c>
      <c r="T1877" s="17">
        <v>31.2</v>
      </c>
      <c r="U1877" s="19">
        <f t="shared" si="129"/>
        <v>1.4181818181818182</v>
      </c>
      <c r="V1877" s="41">
        <f t="shared" si="128"/>
        <v>41.81818181818182</v>
      </c>
      <c r="W1877" s="14"/>
      <c r="X1877" s="17" t="s">
        <v>58</v>
      </c>
      <c r="Y1877" s="14">
        <v>18</v>
      </c>
      <c r="Z1877" s="17" t="s">
        <v>58</v>
      </c>
      <c r="AA1877" s="17"/>
      <c r="AB1877" s="17" t="s">
        <v>57</v>
      </c>
      <c r="AC1877" s="17">
        <v>2011</v>
      </c>
      <c r="AD1877" s="17">
        <v>0</v>
      </c>
      <c r="AE1877" s="17"/>
      <c r="AF1877" s="17"/>
      <c r="AG1877" s="17">
        <v>2002</v>
      </c>
      <c r="AH1877" s="14">
        <f t="shared" si="126"/>
        <v>9</v>
      </c>
      <c r="AI1877" s="17">
        <f t="shared" si="127"/>
        <v>9</v>
      </c>
      <c r="AJ1877" s="17"/>
      <c r="AK1877" s="17" t="s">
        <v>56</v>
      </c>
      <c r="AL1877" s="15" t="s">
        <v>1012</v>
      </c>
      <c r="AM1877" s="17">
        <v>2016</v>
      </c>
      <c r="AN1877" s="15" t="s">
        <v>860</v>
      </c>
      <c r="AO1877" s="15" t="s">
        <v>56</v>
      </c>
      <c r="AP1877" s="15"/>
      <c r="AQ1877" s="15" t="s">
        <v>56</v>
      </c>
      <c r="AR1877" s="15" t="s">
        <v>58</v>
      </c>
      <c r="AS1877" s="15" t="s">
        <v>62</v>
      </c>
      <c r="AT1877" s="12"/>
      <c r="AU1877" s="45"/>
      <c r="AV1877" s="15"/>
      <c r="AW1877" s="12" t="str">
        <f>B1877&amp;C1877&amp;L1877&amp;M1877&amp;O1877&amp;U1877&amp;AL1877&amp;AM1877</f>
        <v>AustraliaJervis Bay Marine ParkKyphosus sydneyanussize1.41818181818182Ferguson2016</v>
      </c>
    </row>
    <row r="1878" spans="1:49" ht="14.5" x14ac:dyDescent="0.35">
      <c r="A1878" s="12">
        <v>1877</v>
      </c>
      <c r="B1878" s="15" t="s">
        <v>66</v>
      </c>
      <c r="C1878" s="15" t="s">
        <v>424</v>
      </c>
      <c r="D1878" s="15" t="s">
        <v>425</v>
      </c>
      <c r="E1878" s="12" t="s">
        <v>68</v>
      </c>
      <c r="F1878" s="13" t="s">
        <v>50</v>
      </c>
      <c r="G1878" s="13" t="s">
        <v>428</v>
      </c>
      <c r="H1878" s="16" t="s">
        <v>52</v>
      </c>
      <c r="I1878" s="16" t="s">
        <v>53</v>
      </c>
      <c r="J1878" s="17">
        <v>161.5</v>
      </c>
      <c r="K1878" s="17"/>
      <c r="L1878" s="17"/>
      <c r="M1878" s="17" t="s">
        <v>429</v>
      </c>
      <c r="N1878" s="17" t="s">
        <v>98</v>
      </c>
      <c r="O1878" s="17" t="s">
        <v>101</v>
      </c>
      <c r="P1878" s="17"/>
      <c r="Q1878" s="17"/>
      <c r="R1878" s="17"/>
      <c r="S1878" s="17">
        <v>31.103899999999999</v>
      </c>
      <c r="T1878" s="17">
        <v>34.090910000000001</v>
      </c>
      <c r="U1878" s="19">
        <f t="shared" si="129"/>
        <v>1.0960332948601301</v>
      </c>
      <c r="V1878" s="41">
        <f t="shared" si="128"/>
        <v>9.6033294860130134</v>
      </c>
      <c r="W1878" s="14"/>
      <c r="X1878" s="17" t="s">
        <v>58</v>
      </c>
      <c r="Y1878" s="14">
        <v>88</v>
      </c>
      <c r="Z1878" s="17" t="s">
        <v>56</v>
      </c>
      <c r="AA1878" s="17"/>
      <c r="AB1878" s="17" t="s">
        <v>57</v>
      </c>
      <c r="AC1878" s="17">
        <v>2012</v>
      </c>
      <c r="AD1878" s="17">
        <v>0</v>
      </c>
      <c r="AE1878" s="17"/>
      <c r="AF1878" s="17"/>
      <c r="AG1878" s="17">
        <v>2006</v>
      </c>
      <c r="AH1878" s="14">
        <f t="shared" si="126"/>
        <v>6</v>
      </c>
      <c r="AI1878" s="17">
        <f t="shared" si="127"/>
        <v>6</v>
      </c>
      <c r="AJ1878" s="17"/>
      <c r="AK1878" s="17" t="s">
        <v>56</v>
      </c>
      <c r="AL1878" s="15" t="s">
        <v>430</v>
      </c>
      <c r="AM1878" s="17">
        <v>2018</v>
      </c>
      <c r="AN1878" s="15" t="s">
        <v>150</v>
      </c>
      <c r="AO1878" s="15" t="s">
        <v>56</v>
      </c>
      <c r="AP1878" s="15"/>
      <c r="AQ1878" s="15" t="s">
        <v>56</v>
      </c>
      <c r="AR1878" s="15" t="s">
        <v>58</v>
      </c>
      <c r="AS1878" s="15" t="s">
        <v>62</v>
      </c>
      <c r="AT1878" s="12"/>
      <c r="AU1878" s="45"/>
      <c r="AV1878" s="15"/>
      <c r="AW1878" s="12" t="str">
        <f>B1878&amp;C1878&amp;L1878&amp;M1878&amp;O1878&amp;U1878&amp;AL1878&amp;AM1878</f>
        <v>AustraliaBatemans Marine Park Networkencrusting calcareous algaecover1.09603329486013Ferrari2018</v>
      </c>
    </row>
    <row r="1879" spans="1:49" ht="14.5" x14ac:dyDescent="0.35">
      <c r="A1879" s="12">
        <v>1878</v>
      </c>
      <c r="B1879" s="12" t="s">
        <v>66</v>
      </c>
      <c r="C1879" s="12" t="s">
        <v>424</v>
      </c>
      <c r="D1879" s="15" t="s">
        <v>425</v>
      </c>
      <c r="E1879" s="12" t="s">
        <v>68</v>
      </c>
      <c r="F1879" s="13" t="s">
        <v>50</v>
      </c>
      <c r="G1879" s="13" t="s">
        <v>428</v>
      </c>
      <c r="H1879" s="13" t="s">
        <v>52</v>
      </c>
      <c r="I1879" s="13" t="s">
        <v>53</v>
      </c>
      <c r="J1879" s="14">
        <v>161.5</v>
      </c>
      <c r="K1879" s="17"/>
      <c r="L1879" s="14"/>
      <c r="M1879" s="14" t="s">
        <v>431</v>
      </c>
      <c r="N1879" s="17" t="s">
        <v>98</v>
      </c>
      <c r="O1879" s="14" t="s">
        <v>101</v>
      </c>
      <c r="P1879" s="14"/>
      <c r="Q1879" s="14"/>
      <c r="R1879" s="14"/>
      <c r="S1879" s="14">
        <v>6.9333330000000002</v>
      </c>
      <c r="T1879" s="14">
        <v>1.3777779999999999</v>
      </c>
      <c r="U1879" s="19">
        <f t="shared" si="129"/>
        <v>0.19871799032298029</v>
      </c>
      <c r="V1879" s="41">
        <f t="shared" si="128"/>
        <v>-80.128200967701972</v>
      </c>
      <c r="W1879" s="14"/>
      <c r="X1879" s="14" t="s">
        <v>58</v>
      </c>
      <c r="Y1879" s="14">
        <v>88</v>
      </c>
      <c r="Z1879" s="14" t="s">
        <v>56</v>
      </c>
      <c r="AA1879" s="14"/>
      <c r="AB1879" s="14" t="s">
        <v>57</v>
      </c>
      <c r="AC1879" s="14">
        <v>2012</v>
      </c>
      <c r="AD1879" s="14">
        <v>0</v>
      </c>
      <c r="AE1879" s="14"/>
      <c r="AF1879" s="14"/>
      <c r="AG1879" s="14">
        <v>2006</v>
      </c>
      <c r="AH1879" s="14">
        <f t="shared" si="126"/>
        <v>6</v>
      </c>
      <c r="AI1879" s="17">
        <f t="shared" si="127"/>
        <v>6</v>
      </c>
      <c r="AJ1879" s="14"/>
      <c r="AK1879" s="14" t="s">
        <v>56</v>
      </c>
      <c r="AL1879" s="12" t="s">
        <v>430</v>
      </c>
      <c r="AM1879" s="14">
        <v>2018</v>
      </c>
      <c r="AN1879" s="12" t="s">
        <v>150</v>
      </c>
      <c r="AO1879" s="12" t="s">
        <v>56</v>
      </c>
      <c r="AP1879" s="12"/>
      <c r="AQ1879" s="12" t="s">
        <v>56</v>
      </c>
      <c r="AR1879" s="12" t="s">
        <v>58</v>
      </c>
      <c r="AS1879" s="12" t="s">
        <v>62</v>
      </c>
      <c r="AT1879" s="12"/>
      <c r="AU1879" s="45"/>
      <c r="AV1879" s="15"/>
      <c r="AW1879" s="12" t="str">
        <f>B1879&amp;C1879&amp;L1879&amp;M1879&amp;O1879&amp;U1879&amp;AL1879&amp;AM1879</f>
        <v>AustraliaBatemans Marine Park Networkerect fine branching algaecover0.19871799032298Ferrari2018</v>
      </c>
    </row>
    <row r="1880" spans="1:49" ht="14.5" x14ac:dyDescent="0.35">
      <c r="A1880" s="12">
        <v>1879</v>
      </c>
      <c r="B1880" s="15" t="s">
        <v>66</v>
      </c>
      <c r="C1880" s="15" t="s">
        <v>424</v>
      </c>
      <c r="D1880" s="15" t="s">
        <v>425</v>
      </c>
      <c r="E1880" s="15" t="s">
        <v>68</v>
      </c>
      <c r="F1880" s="16" t="s">
        <v>50</v>
      </c>
      <c r="G1880" s="16" t="s">
        <v>428</v>
      </c>
      <c r="H1880" s="16" t="s">
        <v>52</v>
      </c>
      <c r="I1880" s="16" t="s">
        <v>53</v>
      </c>
      <c r="J1880" s="17">
        <v>161.5</v>
      </c>
      <c r="K1880" s="17"/>
      <c r="L1880" s="17"/>
      <c r="M1880" s="17" t="s">
        <v>432</v>
      </c>
      <c r="N1880" s="17" t="s">
        <v>98</v>
      </c>
      <c r="O1880" s="17" t="s">
        <v>101</v>
      </c>
      <c r="P1880" s="17"/>
      <c r="Q1880" s="17"/>
      <c r="R1880" s="17"/>
      <c r="S1880" s="17">
        <v>5.3985510000000003</v>
      </c>
      <c r="T1880" s="17">
        <v>3.731884</v>
      </c>
      <c r="U1880" s="20">
        <f t="shared" si="129"/>
        <v>0.69127512178730921</v>
      </c>
      <c r="V1880" s="41">
        <f t="shared" si="128"/>
        <v>-30.872487821269079</v>
      </c>
      <c r="W1880" s="17"/>
      <c r="X1880" s="17" t="s">
        <v>58</v>
      </c>
      <c r="Y1880" s="14">
        <v>88</v>
      </c>
      <c r="Z1880" s="17" t="s">
        <v>56</v>
      </c>
      <c r="AA1880" s="17"/>
      <c r="AB1880" s="17" t="s">
        <v>57</v>
      </c>
      <c r="AC1880" s="17">
        <v>2012</v>
      </c>
      <c r="AD1880" s="17">
        <v>0</v>
      </c>
      <c r="AE1880" s="17"/>
      <c r="AF1880" s="17"/>
      <c r="AG1880" s="17">
        <v>2006</v>
      </c>
      <c r="AH1880" s="14">
        <f t="shared" si="126"/>
        <v>6</v>
      </c>
      <c r="AI1880" s="17">
        <f t="shared" si="127"/>
        <v>6</v>
      </c>
      <c r="AJ1880" s="17"/>
      <c r="AK1880" s="17" t="s">
        <v>56</v>
      </c>
      <c r="AL1880" s="15" t="s">
        <v>430</v>
      </c>
      <c r="AM1880" s="17">
        <v>2018</v>
      </c>
      <c r="AN1880" s="12" t="s">
        <v>150</v>
      </c>
      <c r="AO1880" s="15" t="s">
        <v>56</v>
      </c>
      <c r="AP1880" s="15"/>
      <c r="AQ1880" s="15" t="s">
        <v>56</v>
      </c>
      <c r="AR1880" s="15" t="s">
        <v>58</v>
      </c>
      <c r="AS1880" s="15" t="s">
        <v>62</v>
      </c>
      <c r="AT1880" s="15"/>
      <c r="AU1880" s="45"/>
      <c r="AV1880" s="15"/>
      <c r="AW1880" s="12" t="str">
        <f>B1880&amp;C1880&amp;L1880&amp;M1880&amp;O1880&amp;U1880&amp;AL1880&amp;AM1880</f>
        <v>AustraliaBatemans Marine Park Networkfilamentous macroalgaecover0.691275121787309Ferrari2018</v>
      </c>
    </row>
    <row r="1881" spans="1:49" ht="14.5" x14ac:dyDescent="0.35">
      <c r="A1881" s="12">
        <v>1880</v>
      </c>
      <c r="B1881" s="15" t="s">
        <v>66</v>
      </c>
      <c r="C1881" s="15" t="s">
        <v>424</v>
      </c>
      <c r="D1881" s="15" t="s">
        <v>425</v>
      </c>
      <c r="E1881" s="12" t="s">
        <v>68</v>
      </c>
      <c r="F1881" s="13" t="s">
        <v>50</v>
      </c>
      <c r="G1881" s="13" t="s">
        <v>428</v>
      </c>
      <c r="H1881" s="16" t="s">
        <v>52</v>
      </c>
      <c r="I1881" s="16" t="s">
        <v>53</v>
      </c>
      <c r="J1881" s="17">
        <v>161.5</v>
      </c>
      <c r="K1881" s="17"/>
      <c r="L1881" s="17" t="s">
        <v>433</v>
      </c>
      <c r="M1881" s="17"/>
      <c r="N1881" s="14" t="s">
        <v>85</v>
      </c>
      <c r="O1881" s="17" t="s">
        <v>101</v>
      </c>
      <c r="P1881" s="17"/>
      <c r="Q1881" s="17"/>
      <c r="R1881" s="17"/>
      <c r="S1881" s="17">
        <v>11.787330000000001</v>
      </c>
      <c r="T1881" s="17">
        <v>6.6742080000000001</v>
      </c>
      <c r="U1881" s="19">
        <f t="shared" si="129"/>
        <v>0.56621881291182985</v>
      </c>
      <c r="V1881" s="41">
        <f t="shared" si="128"/>
        <v>-43.378118708817013</v>
      </c>
      <c r="W1881" s="14"/>
      <c r="X1881" s="17" t="s">
        <v>58</v>
      </c>
      <c r="Y1881" s="14">
        <v>88</v>
      </c>
      <c r="Z1881" s="17" t="s">
        <v>56</v>
      </c>
      <c r="AA1881" s="17"/>
      <c r="AB1881" s="17" t="s">
        <v>57</v>
      </c>
      <c r="AC1881" s="17">
        <v>2012</v>
      </c>
      <c r="AD1881" s="17">
        <v>0</v>
      </c>
      <c r="AE1881" s="17"/>
      <c r="AF1881" s="17"/>
      <c r="AG1881" s="17">
        <v>2006</v>
      </c>
      <c r="AH1881" s="14">
        <f t="shared" si="126"/>
        <v>6</v>
      </c>
      <c r="AI1881" s="17">
        <f t="shared" si="127"/>
        <v>6</v>
      </c>
      <c r="AJ1881" s="17"/>
      <c r="AK1881" s="17" t="s">
        <v>56</v>
      </c>
      <c r="AL1881" s="15" t="s">
        <v>430</v>
      </c>
      <c r="AM1881" s="17">
        <v>2018</v>
      </c>
      <c r="AN1881" s="15" t="s">
        <v>150</v>
      </c>
      <c r="AO1881" s="15" t="s">
        <v>56</v>
      </c>
      <c r="AP1881" s="15"/>
      <c r="AQ1881" s="15" t="s">
        <v>56</v>
      </c>
      <c r="AR1881" s="15" t="s">
        <v>58</v>
      </c>
      <c r="AS1881" s="15" t="s">
        <v>62</v>
      </c>
      <c r="AT1881" s="12"/>
      <c r="AU1881" s="45"/>
      <c r="AV1881" s="15"/>
      <c r="AW1881" s="12" t="str">
        <f>B1881&amp;C1881&amp;L1881&amp;M1881&amp;O1881&amp;U1881&amp;AL1881&amp;AM1881</f>
        <v>AustraliaBatemans Marine Park NetworkEcklonia radiatacover0.56621881291183Ferrari2018</v>
      </c>
    </row>
    <row r="1882" spans="1:49" ht="14.5" x14ac:dyDescent="0.35">
      <c r="A1882" s="12">
        <v>1881</v>
      </c>
      <c r="B1882" s="12" t="s">
        <v>66</v>
      </c>
      <c r="C1882" s="12" t="s">
        <v>424</v>
      </c>
      <c r="D1882" s="12" t="s">
        <v>425</v>
      </c>
      <c r="E1882" s="12" t="s">
        <v>68</v>
      </c>
      <c r="F1882" s="13" t="s">
        <v>50</v>
      </c>
      <c r="G1882" s="13" t="s">
        <v>428</v>
      </c>
      <c r="H1882" s="13" t="s">
        <v>52</v>
      </c>
      <c r="I1882" s="13" t="s">
        <v>53</v>
      </c>
      <c r="J1882" s="14">
        <v>161.5</v>
      </c>
      <c r="K1882" s="14"/>
      <c r="L1882" s="14"/>
      <c r="M1882" s="17" t="s">
        <v>291</v>
      </c>
      <c r="N1882" s="17" t="s">
        <v>98</v>
      </c>
      <c r="O1882" s="17" t="s">
        <v>101</v>
      </c>
      <c r="P1882" s="14"/>
      <c r="Q1882" s="14"/>
      <c r="R1882" s="14"/>
      <c r="S1882" s="14">
        <v>1.2394369999999999</v>
      </c>
      <c r="T1882" s="14">
        <v>3.6056339999999998</v>
      </c>
      <c r="U1882" s="19">
        <f t="shared" si="129"/>
        <v>2.9090901756200598</v>
      </c>
      <c r="V1882" s="41">
        <f t="shared" si="128"/>
        <v>190.90901756200597</v>
      </c>
      <c r="W1882" s="14"/>
      <c r="X1882" s="14" t="s">
        <v>58</v>
      </c>
      <c r="Y1882" s="14">
        <v>88</v>
      </c>
      <c r="Z1882" s="14" t="s">
        <v>56</v>
      </c>
      <c r="AA1882" s="14"/>
      <c r="AB1882" s="14" t="s">
        <v>57</v>
      </c>
      <c r="AC1882" s="14">
        <v>2012</v>
      </c>
      <c r="AD1882" s="14">
        <v>0</v>
      </c>
      <c r="AE1882" s="14"/>
      <c r="AF1882" s="14"/>
      <c r="AG1882" s="14">
        <v>2006</v>
      </c>
      <c r="AH1882" s="14">
        <f t="shared" si="126"/>
        <v>6</v>
      </c>
      <c r="AI1882" s="17">
        <f t="shared" si="127"/>
        <v>6</v>
      </c>
      <c r="AJ1882" s="14"/>
      <c r="AK1882" s="14" t="s">
        <v>56</v>
      </c>
      <c r="AL1882" s="12" t="s">
        <v>430</v>
      </c>
      <c r="AM1882" s="14">
        <v>2018</v>
      </c>
      <c r="AN1882" s="15" t="s">
        <v>150</v>
      </c>
      <c r="AO1882" s="12" t="s">
        <v>56</v>
      </c>
      <c r="AP1882" s="12"/>
      <c r="AQ1882" s="12" t="s">
        <v>56</v>
      </c>
      <c r="AR1882" s="12" t="s">
        <v>58</v>
      </c>
      <c r="AS1882" s="12" t="s">
        <v>62</v>
      </c>
      <c r="AT1882" s="12"/>
      <c r="AU1882" s="45"/>
      <c r="AV1882" s="15"/>
      <c r="AW1882" s="12" t="str">
        <f>B1882&amp;C1882&amp;L1882&amp;M1882&amp;O1882&amp;U1882&amp;AL1882&amp;AM1882</f>
        <v>AustraliaBatemans Marine Park NetworkMacroalgaecover2.90909017562006Ferrari2018</v>
      </c>
    </row>
    <row r="1883" spans="1:49" ht="14.5" x14ac:dyDescent="0.35">
      <c r="A1883" s="12">
        <v>1882</v>
      </c>
      <c r="B1883" s="15" t="s">
        <v>66</v>
      </c>
      <c r="C1883" s="12" t="s">
        <v>424</v>
      </c>
      <c r="D1883" s="12" t="s">
        <v>425</v>
      </c>
      <c r="E1883" s="15" t="s">
        <v>68</v>
      </c>
      <c r="F1883" s="13" t="s">
        <v>50</v>
      </c>
      <c r="G1883" s="13" t="s">
        <v>428</v>
      </c>
      <c r="H1883" s="16" t="s">
        <v>52</v>
      </c>
      <c r="I1883" s="16" t="s">
        <v>53</v>
      </c>
      <c r="J1883" s="14">
        <v>161.5</v>
      </c>
      <c r="K1883" s="17"/>
      <c r="L1883" s="17"/>
      <c r="M1883" s="17" t="s">
        <v>434</v>
      </c>
      <c r="N1883" s="17" t="s">
        <v>98</v>
      </c>
      <c r="O1883" s="17" t="s">
        <v>101</v>
      </c>
      <c r="P1883" s="17"/>
      <c r="Q1883" s="17"/>
      <c r="R1883" s="17"/>
      <c r="S1883" s="17">
        <v>2.6347830000000001</v>
      </c>
      <c r="T1883" s="17">
        <v>1.478261</v>
      </c>
      <c r="U1883" s="20">
        <f t="shared" si="129"/>
        <v>0.56105607179035233</v>
      </c>
      <c r="V1883" s="41">
        <f t="shared" si="128"/>
        <v>-43.894392820964768</v>
      </c>
      <c r="W1883" s="17"/>
      <c r="X1883" s="17" t="s">
        <v>58</v>
      </c>
      <c r="Y1883" s="14">
        <v>88</v>
      </c>
      <c r="Z1883" s="17" t="s">
        <v>56</v>
      </c>
      <c r="AA1883" s="17"/>
      <c r="AB1883" s="17" t="s">
        <v>57</v>
      </c>
      <c r="AC1883" s="17">
        <v>2012</v>
      </c>
      <c r="AD1883" s="17">
        <v>0</v>
      </c>
      <c r="AE1883" s="17"/>
      <c r="AF1883" s="17"/>
      <c r="AG1883" s="17">
        <v>2006</v>
      </c>
      <c r="AH1883" s="14">
        <f t="shared" si="126"/>
        <v>6</v>
      </c>
      <c r="AI1883" s="17">
        <f t="shared" si="127"/>
        <v>6</v>
      </c>
      <c r="AJ1883" s="17"/>
      <c r="AK1883" s="17" t="s">
        <v>56</v>
      </c>
      <c r="AL1883" s="15" t="s">
        <v>430</v>
      </c>
      <c r="AM1883" s="17">
        <v>2018</v>
      </c>
      <c r="AN1883" s="15" t="s">
        <v>150</v>
      </c>
      <c r="AO1883" s="15" t="s">
        <v>56</v>
      </c>
      <c r="AP1883" s="15"/>
      <c r="AQ1883" s="15" t="s">
        <v>56</v>
      </c>
      <c r="AR1883" s="15" t="s">
        <v>58</v>
      </c>
      <c r="AS1883" s="15" t="s">
        <v>62</v>
      </c>
      <c r="AT1883" s="15"/>
      <c r="AU1883" s="45"/>
      <c r="AV1883" s="15"/>
      <c r="AW1883" s="12" t="str">
        <f>B1883&amp;C1883&amp;L1883&amp;M1883&amp;O1883&amp;U1883&amp;AL1883&amp;AM1883</f>
        <v>AustraliaBatemans Marine Park NetworkSimple massive spongescover0.561056071790352Ferrari2018</v>
      </c>
    </row>
    <row r="1884" spans="1:49" ht="14.5" x14ac:dyDescent="0.35">
      <c r="A1884" s="12">
        <v>1883</v>
      </c>
      <c r="B1884" s="15" t="s">
        <v>66</v>
      </c>
      <c r="C1884" s="12" t="s">
        <v>424</v>
      </c>
      <c r="D1884" s="12" t="s">
        <v>425</v>
      </c>
      <c r="E1884" s="15" t="s">
        <v>68</v>
      </c>
      <c r="F1884" s="13" t="s">
        <v>50</v>
      </c>
      <c r="G1884" s="13" t="s">
        <v>428</v>
      </c>
      <c r="H1884" s="16" t="s">
        <v>52</v>
      </c>
      <c r="I1884" s="13" t="s">
        <v>53</v>
      </c>
      <c r="J1884" s="14">
        <v>161.5</v>
      </c>
      <c r="K1884" s="17"/>
      <c r="L1884" s="17"/>
      <c r="M1884" s="17" t="s">
        <v>435</v>
      </c>
      <c r="N1884" s="53" t="s">
        <v>98</v>
      </c>
      <c r="O1884" s="17" t="s">
        <v>101</v>
      </c>
      <c r="P1884" s="17"/>
      <c r="Q1884" s="17"/>
      <c r="R1884" s="17"/>
      <c r="S1884" s="17">
        <v>4.5212770000000004</v>
      </c>
      <c r="T1884" s="17">
        <v>7.0921989999999999</v>
      </c>
      <c r="U1884" s="20">
        <f t="shared" si="129"/>
        <v>1.5686274032756673</v>
      </c>
      <c r="V1884" s="41">
        <f t="shared" si="128"/>
        <v>56.862740327566726</v>
      </c>
      <c r="W1884" s="17"/>
      <c r="X1884" s="17" t="s">
        <v>58</v>
      </c>
      <c r="Y1884" s="14">
        <v>88</v>
      </c>
      <c r="Z1884" s="17" t="s">
        <v>56</v>
      </c>
      <c r="AA1884" s="17"/>
      <c r="AB1884" s="17" t="s">
        <v>57</v>
      </c>
      <c r="AC1884" s="17">
        <v>2012</v>
      </c>
      <c r="AD1884" s="17">
        <v>0</v>
      </c>
      <c r="AE1884" s="17"/>
      <c r="AF1884" s="17"/>
      <c r="AG1884" s="17">
        <v>2006</v>
      </c>
      <c r="AH1884" s="14">
        <f t="shared" si="126"/>
        <v>6</v>
      </c>
      <c r="AI1884" s="17">
        <f t="shared" si="127"/>
        <v>6</v>
      </c>
      <c r="AJ1884" s="17"/>
      <c r="AK1884" s="17" t="s">
        <v>56</v>
      </c>
      <c r="AL1884" s="15" t="s">
        <v>430</v>
      </c>
      <c r="AM1884" s="17">
        <v>2018</v>
      </c>
      <c r="AN1884" s="15" t="s">
        <v>150</v>
      </c>
      <c r="AO1884" s="15" t="s">
        <v>56</v>
      </c>
      <c r="AP1884" s="15"/>
      <c r="AQ1884" s="15" t="s">
        <v>56</v>
      </c>
      <c r="AR1884" s="15" t="s">
        <v>58</v>
      </c>
      <c r="AS1884" s="15" t="s">
        <v>62</v>
      </c>
      <c r="AT1884" s="15"/>
      <c r="AU1884" s="45"/>
      <c r="AV1884" s="15"/>
      <c r="AW1884" s="12" t="str">
        <f>B1884&amp;C1884&amp;L1884&amp;M1884&amp;O1884&amp;U1884&amp;AL1884&amp;AM1884</f>
        <v>AustraliaBatemans Marine Park NetworkSponge crustscover1.56862740327567Ferrari2018</v>
      </c>
    </row>
    <row r="1885" spans="1:49" ht="14.5" x14ac:dyDescent="0.35">
      <c r="A1885" s="12">
        <v>1884</v>
      </c>
      <c r="B1885" s="12" t="s">
        <v>66</v>
      </c>
      <c r="C1885" s="12" t="s">
        <v>424</v>
      </c>
      <c r="D1885" s="12" t="s">
        <v>425</v>
      </c>
      <c r="E1885" s="12" t="s">
        <v>68</v>
      </c>
      <c r="F1885" s="13" t="s">
        <v>50</v>
      </c>
      <c r="G1885" s="13" t="s">
        <v>428</v>
      </c>
      <c r="H1885" s="13" t="s">
        <v>52</v>
      </c>
      <c r="I1885" s="13" t="s">
        <v>53</v>
      </c>
      <c r="J1885" s="14">
        <v>161.5</v>
      </c>
      <c r="K1885" s="17"/>
      <c r="L1885" s="14"/>
      <c r="M1885" s="14" t="s">
        <v>436</v>
      </c>
      <c r="N1885" s="53" t="s">
        <v>98</v>
      </c>
      <c r="O1885" s="17" t="s">
        <v>101</v>
      </c>
      <c r="P1885" s="14"/>
      <c r="Q1885" s="14"/>
      <c r="R1885" s="14"/>
      <c r="S1885" s="14">
        <v>9.4827589999999997</v>
      </c>
      <c r="T1885" s="14">
        <v>9.8275860000000002</v>
      </c>
      <c r="U1885" s="19">
        <f t="shared" si="129"/>
        <v>1.0363635730909118</v>
      </c>
      <c r="V1885" s="41">
        <f t="shared" si="128"/>
        <v>3.636357309091176</v>
      </c>
      <c r="W1885" s="14"/>
      <c r="X1885" s="14" t="s">
        <v>58</v>
      </c>
      <c r="Y1885" s="14">
        <v>88</v>
      </c>
      <c r="Z1885" s="14" t="s">
        <v>56</v>
      </c>
      <c r="AA1885" s="14"/>
      <c r="AB1885" s="14" t="s">
        <v>57</v>
      </c>
      <c r="AC1885" s="14">
        <v>2012</v>
      </c>
      <c r="AD1885" s="14">
        <v>0</v>
      </c>
      <c r="AE1885" s="14"/>
      <c r="AF1885" s="14"/>
      <c r="AG1885" s="14">
        <v>2006</v>
      </c>
      <c r="AH1885" s="14">
        <f t="shared" si="126"/>
        <v>6</v>
      </c>
      <c r="AI1885" s="17">
        <f t="shared" si="127"/>
        <v>6</v>
      </c>
      <c r="AJ1885" s="14"/>
      <c r="AK1885" s="14" t="s">
        <v>56</v>
      </c>
      <c r="AL1885" s="12" t="s">
        <v>430</v>
      </c>
      <c r="AM1885" s="14">
        <v>2018</v>
      </c>
      <c r="AN1885" s="15" t="s">
        <v>150</v>
      </c>
      <c r="AO1885" s="12" t="s">
        <v>56</v>
      </c>
      <c r="AP1885" s="12"/>
      <c r="AQ1885" s="12" t="s">
        <v>56</v>
      </c>
      <c r="AR1885" s="12" t="s">
        <v>58</v>
      </c>
      <c r="AS1885" s="12" t="s">
        <v>62</v>
      </c>
      <c r="AT1885" s="12"/>
      <c r="AU1885" s="45"/>
      <c r="AV1885" s="15"/>
      <c r="AW1885" s="12" t="str">
        <f>B1885&amp;C1885&amp;L1885&amp;M1885&amp;O1885&amp;U1885&amp;AL1885&amp;AM1885</f>
        <v>AustraliaBatemans Marine Park NetworkTurfing algaecover1.03636357309091Ferrari2018</v>
      </c>
    </row>
    <row r="1886" spans="1:49" ht="14.5" x14ac:dyDescent="0.35">
      <c r="A1886" s="12">
        <v>1885</v>
      </c>
      <c r="B1886" s="15" t="s">
        <v>66</v>
      </c>
      <c r="C1886" s="12" t="s">
        <v>453</v>
      </c>
      <c r="D1886" s="12" t="s">
        <v>453</v>
      </c>
      <c r="E1886" s="15" t="s">
        <v>68</v>
      </c>
      <c r="F1886" s="13" t="s">
        <v>50</v>
      </c>
      <c r="G1886" s="13" t="s">
        <v>428</v>
      </c>
      <c r="H1886" s="16" t="s">
        <v>52</v>
      </c>
      <c r="I1886" s="16" t="s">
        <v>53</v>
      </c>
      <c r="J1886" s="14">
        <v>176</v>
      </c>
      <c r="K1886" s="17"/>
      <c r="L1886" s="17"/>
      <c r="M1886" s="17" t="s">
        <v>429</v>
      </c>
      <c r="N1886" s="53" t="s">
        <v>98</v>
      </c>
      <c r="O1886" s="17" t="s">
        <v>101</v>
      </c>
      <c r="P1886" s="17"/>
      <c r="Q1886" s="17"/>
      <c r="R1886" s="17"/>
      <c r="S1886" s="17">
        <v>11.75325</v>
      </c>
      <c r="T1886" s="17">
        <v>9.9350649999999998</v>
      </c>
      <c r="U1886" s="20">
        <f t="shared" si="129"/>
        <v>0.8453036394188842</v>
      </c>
      <c r="V1886" s="41">
        <f t="shared" si="128"/>
        <v>-15.469636058111579</v>
      </c>
      <c r="W1886" s="17"/>
      <c r="X1886" s="17" t="s">
        <v>58</v>
      </c>
      <c r="Y1886" s="14">
        <v>80</v>
      </c>
      <c r="Z1886" s="17" t="s">
        <v>56</v>
      </c>
      <c r="AA1886" s="17"/>
      <c r="AB1886" s="17" t="s">
        <v>57</v>
      </c>
      <c r="AC1886" s="17">
        <v>2012</v>
      </c>
      <c r="AD1886" s="17">
        <v>0</v>
      </c>
      <c r="AE1886" s="17"/>
      <c r="AF1886" s="17"/>
      <c r="AG1886" s="17">
        <v>2007</v>
      </c>
      <c r="AH1886" s="14">
        <f t="shared" si="126"/>
        <v>5</v>
      </c>
      <c r="AI1886" s="17">
        <f t="shared" si="127"/>
        <v>5</v>
      </c>
      <c r="AJ1886" s="17"/>
      <c r="AK1886" s="17" t="s">
        <v>56</v>
      </c>
      <c r="AL1886" s="15" t="s">
        <v>430</v>
      </c>
      <c r="AM1886" s="17">
        <v>2018</v>
      </c>
      <c r="AN1886" s="15" t="s">
        <v>150</v>
      </c>
      <c r="AO1886" s="15" t="s">
        <v>56</v>
      </c>
      <c r="AP1886" s="15"/>
      <c r="AQ1886" s="15" t="s">
        <v>56</v>
      </c>
      <c r="AR1886" s="15" t="s">
        <v>58</v>
      </c>
      <c r="AS1886" s="15" t="s">
        <v>62</v>
      </c>
      <c r="AT1886" s="15"/>
      <c r="AU1886" s="45"/>
      <c r="AV1886" s="15"/>
      <c r="AW1886" s="12" t="str">
        <f>B1886&amp;C1886&amp;L1886&amp;M1886&amp;O1886&amp;U1886&amp;AL1886&amp;AM1886</f>
        <v>AustraliaPort Stephens-Great Lakes Marine Parkencrusting calcareous algaecover0.845303639418884Ferrari2018</v>
      </c>
    </row>
    <row r="1887" spans="1:49" ht="14.5" x14ac:dyDescent="0.35">
      <c r="A1887" s="12">
        <v>1886</v>
      </c>
      <c r="B1887" s="15" t="s">
        <v>66</v>
      </c>
      <c r="C1887" s="12" t="s">
        <v>453</v>
      </c>
      <c r="D1887" s="12" t="s">
        <v>453</v>
      </c>
      <c r="E1887" s="12" t="s">
        <v>68</v>
      </c>
      <c r="F1887" s="13" t="s">
        <v>50</v>
      </c>
      <c r="G1887" s="13" t="s">
        <v>428</v>
      </c>
      <c r="H1887" s="13" t="s">
        <v>52</v>
      </c>
      <c r="I1887" s="13" t="s">
        <v>53</v>
      </c>
      <c r="J1887" s="14">
        <v>176</v>
      </c>
      <c r="K1887" s="17"/>
      <c r="L1887" s="14"/>
      <c r="M1887" s="14" t="s">
        <v>431</v>
      </c>
      <c r="N1887" s="53" t="s">
        <v>98</v>
      </c>
      <c r="O1887" s="17" t="s">
        <v>101</v>
      </c>
      <c r="P1887" s="14"/>
      <c r="Q1887" s="14"/>
      <c r="R1887" s="14"/>
      <c r="S1887" s="14">
        <v>25.644439999999999</v>
      </c>
      <c r="T1887" s="14">
        <v>1.022222</v>
      </c>
      <c r="U1887" s="19">
        <f t="shared" si="129"/>
        <v>3.9861350062625658E-2</v>
      </c>
      <c r="V1887" s="41">
        <f t="shared" si="128"/>
        <v>-96.013864993737428</v>
      </c>
      <c r="W1887" s="14"/>
      <c r="X1887" s="14" t="s">
        <v>58</v>
      </c>
      <c r="Y1887" s="14">
        <v>80</v>
      </c>
      <c r="Z1887" s="14" t="s">
        <v>56</v>
      </c>
      <c r="AA1887" s="14"/>
      <c r="AB1887" s="14" t="s">
        <v>57</v>
      </c>
      <c r="AC1887" s="14">
        <v>2012</v>
      </c>
      <c r="AD1887" s="14">
        <v>0</v>
      </c>
      <c r="AE1887" s="14"/>
      <c r="AF1887" s="14"/>
      <c r="AG1887" s="14">
        <v>2007</v>
      </c>
      <c r="AH1887" s="14">
        <f t="shared" si="126"/>
        <v>5</v>
      </c>
      <c r="AI1887" s="17">
        <f t="shared" si="127"/>
        <v>5</v>
      </c>
      <c r="AJ1887" s="14"/>
      <c r="AK1887" s="14" t="s">
        <v>56</v>
      </c>
      <c r="AL1887" s="12" t="s">
        <v>430</v>
      </c>
      <c r="AM1887" s="14">
        <v>2018</v>
      </c>
      <c r="AN1887" s="15" t="s">
        <v>150</v>
      </c>
      <c r="AO1887" s="12" t="s">
        <v>56</v>
      </c>
      <c r="AP1887" s="12"/>
      <c r="AQ1887" s="12" t="s">
        <v>56</v>
      </c>
      <c r="AR1887" s="12" t="s">
        <v>58</v>
      </c>
      <c r="AS1887" s="12" t="s">
        <v>62</v>
      </c>
      <c r="AT1887" s="12"/>
      <c r="AU1887" s="45"/>
      <c r="AV1887" s="15"/>
      <c r="AW1887" s="12" t="str">
        <f>B1887&amp;C1887&amp;L1887&amp;M1887&amp;O1887&amp;U1887&amp;AL1887&amp;AM1887</f>
        <v>AustraliaPort Stephens-Great Lakes Marine Parkerect fine branching algaecover0.0398613500626257Ferrari2018</v>
      </c>
    </row>
    <row r="1888" spans="1:49" ht="14.5" x14ac:dyDescent="0.35">
      <c r="A1888" s="12">
        <v>1887</v>
      </c>
      <c r="B1888" s="15" t="s">
        <v>66</v>
      </c>
      <c r="C1888" s="12" t="s">
        <v>453</v>
      </c>
      <c r="D1888" s="12" t="s">
        <v>453</v>
      </c>
      <c r="E1888" s="12" t="s">
        <v>68</v>
      </c>
      <c r="F1888" s="13" t="s">
        <v>50</v>
      </c>
      <c r="G1888" s="13" t="s">
        <v>428</v>
      </c>
      <c r="H1888" s="13" t="s">
        <v>52</v>
      </c>
      <c r="I1888" s="13" t="s">
        <v>53</v>
      </c>
      <c r="J1888" s="14">
        <v>176</v>
      </c>
      <c r="K1888" s="17"/>
      <c r="L1888" s="14"/>
      <c r="M1888" s="14" t="s">
        <v>432</v>
      </c>
      <c r="N1888" s="53" t="s">
        <v>98</v>
      </c>
      <c r="O1888" s="17" t="s">
        <v>101</v>
      </c>
      <c r="P1888" s="14"/>
      <c r="Q1888" s="14"/>
      <c r="R1888" s="14"/>
      <c r="S1888" s="14">
        <v>6.1594199999999999</v>
      </c>
      <c r="T1888" s="14">
        <v>18.876809999999999</v>
      </c>
      <c r="U1888" s="19">
        <f t="shared" si="129"/>
        <v>3.0647057677508593</v>
      </c>
      <c r="V1888" s="41">
        <f t="shared" si="128"/>
        <v>206.47057677508593</v>
      </c>
      <c r="W1888" s="14"/>
      <c r="X1888" s="14" t="s">
        <v>58</v>
      </c>
      <c r="Y1888" s="14">
        <v>80</v>
      </c>
      <c r="Z1888" s="14" t="s">
        <v>56</v>
      </c>
      <c r="AA1888" s="14"/>
      <c r="AB1888" s="14" t="s">
        <v>57</v>
      </c>
      <c r="AC1888" s="14">
        <v>2012</v>
      </c>
      <c r="AD1888" s="14">
        <v>0</v>
      </c>
      <c r="AE1888" s="14"/>
      <c r="AF1888" s="14"/>
      <c r="AG1888" s="14">
        <v>2007</v>
      </c>
      <c r="AH1888" s="14">
        <f t="shared" si="126"/>
        <v>5</v>
      </c>
      <c r="AI1888" s="17">
        <f t="shared" si="127"/>
        <v>5</v>
      </c>
      <c r="AJ1888" s="14"/>
      <c r="AK1888" s="14" t="s">
        <v>56</v>
      </c>
      <c r="AL1888" s="12" t="s">
        <v>430</v>
      </c>
      <c r="AM1888" s="14">
        <v>2018</v>
      </c>
      <c r="AN1888" s="15" t="s">
        <v>150</v>
      </c>
      <c r="AO1888" s="12" t="s">
        <v>56</v>
      </c>
      <c r="AP1888" s="12"/>
      <c r="AQ1888" s="12" t="s">
        <v>56</v>
      </c>
      <c r="AR1888" s="12" t="s">
        <v>58</v>
      </c>
      <c r="AS1888" s="12" t="s">
        <v>62</v>
      </c>
      <c r="AT1888" s="12"/>
      <c r="AU1888" s="45"/>
      <c r="AV1888" s="15"/>
      <c r="AW1888" s="12" t="str">
        <f>B1888&amp;C1888&amp;L1888&amp;M1888&amp;O1888&amp;U1888&amp;AL1888&amp;AM1888</f>
        <v>AustraliaPort Stephens-Great Lakes Marine Parkfilamentous macroalgaecover3.06470576775086Ferrari2018</v>
      </c>
    </row>
    <row r="1889" spans="1:49" ht="14.5" x14ac:dyDescent="0.35">
      <c r="A1889" s="12">
        <v>1888</v>
      </c>
      <c r="B1889" s="15" t="s">
        <v>66</v>
      </c>
      <c r="C1889" s="15" t="s">
        <v>453</v>
      </c>
      <c r="D1889" s="15" t="s">
        <v>453</v>
      </c>
      <c r="E1889" s="15" t="s">
        <v>68</v>
      </c>
      <c r="F1889" s="16" t="s">
        <v>50</v>
      </c>
      <c r="G1889" s="16" t="s">
        <v>428</v>
      </c>
      <c r="H1889" s="16" t="s">
        <v>52</v>
      </c>
      <c r="I1889" s="16" t="s">
        <v>53</v>
      </c>
      <c r="J1889" s="17">
        <v>176</v>
      </c>
      <c r="K1889" s="17"/>
      <c r="L1889" s="17"/>
      <c r="M1889" s="17" t="s">
        <v>291</v>
      </c>
      <c r="N1889" s="53" t="s">
        <v>98</v>
      </c>
      <c r="O1889" s="17" t="s">
        <v>101</v>
      </c>
      <c r="P1889" s="17"/>
      <c r="Q1889" s="17"/>
      <c r="R1889" s="17"/>
      <c r="S1889" s="17">
        <v>3.0845069999999999</v>
      </c>
      <c r="T1889" s="17">
        <v>2.387324</v>
      </c>
      <c r="U1889" s="20">
        <f t="shared" si="129"/>
        <v>0.77397263160693108</v>
      </c>
      <c r="V1889" s="41">
        <f t="shared" si="128"/>
        <v>-22.602736839306893</v>
      </c>
      <c r="W1889" s="17"/>
      <c r="X1889" s="17" t="s">
        <v>58</v>
      </c>
      <c r="Y1889" s="17">
        <v>80</v>
      </c>
      <c r="Z1889" s="17" t="s">
        <v>56</v>
      </c>
      <c r="AA1889" s="17"/>
      <c r="AB1889" s="17" t="s">
        <v>57</v>
      </c>
      <c r="AC1889" s="17">
        <v>2012</v>
      </c>
      <c r="AD1889" s="17">
        <v>0</v>
      </c>
      <c r="AE1889" s="17"/>
      <c r="AF1889" s="17"/>
      <c r="AG1889" s="17">
        <v>2007</v>
      </c>
      <c r="AH1889" s="14">
        <f t="shared" si="126"/>
        <v>5</v>
      </c>
      <c r="AI1889" s="17">
        <f t="shared" si="127"/>
        <v>5</v>
      </c>
      <c r="AJ1889" s="17"/>
      <c r="AK1889" s="17" t="s">
        <v>56</v>
      </c>
      <c r="AL1889" s="15" t="s">
        <v>430</v>
      </c>
      <c r="AM1889" s="17">
        <v>2018</v>
      </c>
      <c r="AN1889" s="15" t="s">
        <v>150</v>
      </c>
      <c r="AO1889" s="15" t="s">
        <v>56</v>
      </c>
      <c r="AP1889" s="15"/>
      <c r="AQ1889" s="15" t="s">
        <v>56</v>
      </c>
      <c r="AR1889" s="15" t="s">
        <v>58</v>
      </c>
      <c r="AS1889" s="15" t="s">
        <v>62</v>
      </c>
      <c r="AT1889" s="15"/>
      <c r="AU1889" s="45"/>
      <c r="AV1889" s="15"/>
      <c r="AW1889" s="12" t="str">
        <f>B1889&amp;C1889&amp;L1889&amp;M1889&amp;O1889&amp;U1889&amp;AL1889&amp;AM1889</f>
        <v>AustraliaPort Stephens-Great Lakes Marine ParkMacroalgaecover0.773972631606931Ferrari2018</v>
      </c>
    </row>
    <row r="1890" spans="1:49" ht="15" customHeight="1" x14ac:dyDescent="0.35">
      <c r="A1890" s="12">
        <v>1889</v>
      </c>
      <c r="B1890" s="15" t="s">
        <v>66</v>
      </c>
      <c r="C1890" s="15" t="s">
        <v>453</v>
      </c>
      <c r="D1890" s="15" t="s">
        <v>453</v>
      </c>
      <c r="E1890" s="15" t="s">
        <v>68</v>
      </c>
      <c r="F1890" s="16" t="s">
        <v>50</v>
      </c>
      <c r="G1890" s="16" t="s">
        <v>428</v>
      </c>
      <c r="H1890" s="16" t="s">
        <v>52</v>
      </c>
      <c r="I1890" s="16" t="s">
        <v>53</v>
      </c>
      <c r="J1890" s="17">
        <v>176</v>
      </c>
      <c r="K1890" s="17"/>
      <c r="L1890" s="17"/>
      <c r="M1890" s="17" t="s">
        <v>434</v>
      </c>
      <c r="N1890" s="53" t="s">
        <v>98</v>
      </c>
      <c r="O1890" s="17" t="s">
        <v>101</v>
      </c>
      <c r="P1890" s="17"/>
      <c r="Q1890" s="17"/>
      <c r="R1890" s="17"/>
      <c r="S1890" s="17">
        <v>3.4956520000000002</v>
      </c>
      <c r="T1890" s="17">
        <v>3.678261</v>
      </c>
      <c r="U1890" s="19">
        <f t="shared" si="129"/>
        <v>1.0522388956337758</v>
      </c>
      <c r="V1890" s="41">
        <f t="shared" si="128"/>
        <v>5.2238895633775817</v>
      </c>
      <c r="W1890" s="17"/>
      <c r="X1890" s="17" t="s">
        <v>58</v>
      </c>
      <c r="Y1890" s="17">
        <v>80</v>
      </c>
      <c r="Z1890" s="17" t="s">
        <v>56</v>
      </c>
      <c r="AA1890" s="17"/>
      <c r="AB1890" s="17" t="s">
        <v>57</v>
      </c>
      <c r="AC1890" s="17">
        <v>2012</v>
      </c>
      <c r="AD1890" s="17">
        <v>0</v>
      </c>
      <c r="AE1890" s="17"/>
      <c r="AF1890" s="17"/>
      <c r="AG1890" s="17">
        <v>2007</v>
      </c>
      <c r="AH1890" s="14">
        <f t="shared" si="126"/>
        <v>5</v>
      </c>
      <c r="AI1890" s="17">
        <f t="shared" si="127"/>
        <v>5</v>
      </c>
      <c r="AJ1890" s="17"/>
      <c r="AK1890" s="17" t="s">
        <v>56</v>
      </c>
      <c r="AL1890" s="15" t="s">
        <v>430</v>
      </c>
      <c r="AM1890" s="17">
        <v>2018</v>
      </c>
      <c r="AN1890" s="15" t="s">
        <v>150</v>
      </c>
      <c r="AO1890" s="15" t="s">
        <v>56</v>
      </c>
      <c r="AP1890" s="15"/>
      <c r="AQ1890" s="15" t="s">
        <v>56</v>
      </c>
      <c r="AR1890" s="15" t="s">
        <v>58</v>
      </c>
      <c r="AS1890" s="15" t="s">
        <v>62</v>
      </c>
      <c r="AT1890" s="12"/>
      <c r="AU1890" s="45"/>
      <c r="AV1890" s="15"/>
      <c r="AW1890" s="12" t="str">
        <f>B1890&amp;C1890&amp;L1890&amp;M1890&amp;O1890&amp;U1890&amp;AL1890&amp;AM1890</f>
        <v>AustraliaPort Stephens-Great Lakes Marine ParkSimple massive spongescover1.05223889563378Ferrari2018</v>
      </c>
    </row>
    <row r="1891" spans="1:49" ht="14.5" x14ac:dyDescent="0.35">
      <c r="A1891" s="12">
        <v>1890</v>
      </c>
      <c r="B1891" s="15" t="s">
        <v>66</v>
      </c>
      <c r="C1891" s="15" t="s">
        <v>453</v>
      </c>
      <c r="D1891" s="15" t="s">
        <v>453</v>
      </c>
      <c r="E1891" s="15" t="s">
        <v>68</v>
      </c>
      <c r="F1891" s="13" t="s">
        <v>50</v>
      </c>
      <c r="G1891" s="13" t="s">
        <v>428</v>
      </c>
      <c r="H1891" s="16" t="s">
        <v>52</v>
      </c>
      <c r="I1891" s="16" t="s">
        <v>53</v>
      </c>
      <c r="J1891" s="17">
        <v>176</v>
      </c>
      <c r="K1891" s="17"/>
      <c r="L1891" s="17"/>
      <c r="M1891" s="17" t="s">
        <v>435</v>
      </c>
      <c r="N1891" s="53" t="s">
        <v>98</v>
      </c>
      <c r="O1891" s="17" t="s">
        <v>101</v>
      </c>
      <c r="P1891" s="17"/>
      <c r="Q1891" s="17"/>
      <c r="R1891" s="17"/>
      <c r="S1891" s="17">
        <v>9.3262409999999996</v>
      </c>
      <c r="T1891" s="17">
        <v>5.301418</v>
      </c>
      <c r="U1891" s="20">
        <f t="shared" si="129"/>
        <v>0.56844102570371069</v>
      </c>
      <c r="V1891" s="41">
        <f t="shared" si="128"/>
        <v>-43.155897429628929</v>
      </c>
      <c r="W1891" s="17"/>
      <c r="X1891" s="17" t="s">
        <v>58</v>
      </c>
      <c r="Y1891" s="14">
        <v>80</v>
      </c>
      <c r="Z1891" s="17" t="s">
        <v>56</v>
      </c>
      <c r="AA1891" s="17"/>
      <c r="AB1891" s="17" t="s">
        <v>57</v>
      </c>
      <c r="AC1891" s="17">
        <v>2012</v>
      </c>
      <c r="AD1891" s="17">
        <v>0</v>
      </c>
      <c r="AE1891" s="17"/>
      <c r="AF1891" s="17"/>
      <c r="AG1891" s="17">
        <v>2007</v>
      </c>
      <c r="AH1891" s="14">
        <f t="shared" si="126"/>
        <v>5</v>
      </c>
      <c r="AI1891" s="17">
        <f t="shared" si="127"/>
        <v>5</v>
      </c>
      <c r="AJ1891" s="17"/>
      <c r="AK1891" s="17" t="s">
        <v>56</v>
      </c>
      <c r="AL1891" s="15" t="s">
        <v>430</v>
      </c>
      <c r="AM1891" s="17">
        <v>2018</v>
      </c>
      <c r="AN1891" s="15" t="s">
        <v>150</v>
      </c>
      <c r="AO1891" s="15" t="s">
        <v>56</v>
      </c>
      <c r="AP1891" s="15"/>
      <c r="AQ1891" s="15" t="s">
        <v>56</v>
      </c>
      <c r="AR1891" s="15" t="s">
        <v>58</v>
      </c>
      <c r="AS1891" s="15" t="s">
        <v>62</v>
      </c>
      <c r="AT1891" s="15"/>
      <c r="AU1891" s="45"/>
      <c r="AV1891" s="15"/>
      <c r="AW1891" s="12" t="str">
        <f>B1891&amp;C1891&amp;L1891&amp;M1891&amp;O1891&amp;U1891&amp;AL1891&amp;AM1891</f>
        <v>AustraliaPort Stephens-Great Lakes Marine ParkSponge crustscover0.568441025703711Ferrari2018</v>
      </c>
    </row>
    <row r="1892" spans="1:49" ht="14.5" x14ac:dyDescent="0.35">
      <c r="A1892" s="12">
        <v>1891</v>
      </c>
      <c r="B1892" s="15" t="s">
        <v>66</v>
      </c>
      <c r="C1892" s="15" t="s">
        <v>453</v>
      </c>
      <c r="D1892" s="15" t="s">
        <v>453</v>
      </c>
      <c r="E1892" s="15" t="s">
        <v>68</v>
      </c>
      <c r="F1892" s="13" t="s">
        <v>50</v>
      </c>
      <c r="G1892" s="13" t="s">
        <v>428</v>
      </c>
      <c r="H1892" s="16" t="s">
        <v>52</v>
      </c>
      <c r="I1892" s="16" t="s">
        <v>53</v>
      </c>
      <c r="J1892" s="17">
        <v>176</v>
      </c>
      <c r="K1892" s="17"/>
      <c r="L1892" s="17"/>
      <c r="M1892" s="17" t="s">
        <v>436</v>
      </c>
      <c r="N1892" s="53" t="s">
        <v>98</v>
      </c>
      <c r="O1892" s="17" t="s">
        <v>101</v>
      </c>
      <c r="P1892" s="17"/>
      <c r="Q1892" s="17"/>
      <c r="R1892" s="17"/>
      <c r="S1892" s="17">
        <v>19.913789999999999</v>
      </c>
      <c r="T1892" s="17">
        <v>30.344830000000002</v>
      </c>
      <c r="U1892" s="20">
        <f t="shared" si="129"/>
        <v>1.52380988249851</v>
      </c>
      <c r="V1892" s="41">
        <f t="shared" si="128"/>
        <v>52.380988249851001</v>
      </c>
      <c r="W1892" s="17"/>
      <c r="X1892" s="17" t="s">
        <v>58</v>
      </c>
      <c r="Y1892" s="14">
        <v>80</v>
      </c>
      <c r="Z1892" s="17" t="s">
        <v>56</v>
      </c>
      <c r="AA1892" s="17"/>
      <c r="AB1892" s="17" t="s">
        <v>57</v>
      </c>
      <c r="AC1892" s="17">
        <v>2012</v>
      </c>
      <c r="AD1892" s="17">
        <v>0</v>
      </c>
      <c r="AE1892" s="17"/>
      <c r="AF1892" s="17"/>
      <c r="AG1892" s="17">
        <v>2007</v>
      </c>
      <c r="AH1892" s="14">
        <f t="shared" si="126"/>
        <v>5</v>
      </c>
      <c r="AI1892" s="17">
        <f t="shared" si="127"/>
        <v>5</v>
      </c>
      <c r="AJ1892" s="17"/>
      <c r="AK1892" s="17" t="s">
        <v>56</v>
      </c>
      <c r="AL1892" s="15" t="s">
        <v>430</v>
      </c>
      <c r="AM1892" s="17">
        <v>2018</v>
      </c>
      <c r="AN1892" s="15" t="s">
        <v>150</v>
      </c>
      <c r="AO1892" s="15" t="s">
        <v>56</v>
      </c>
      <c r="AP1892" s="15"/>
      <c r="AQ1892" s="15" t="s">
        <v>56</v>
      </c>
      <c r="AR1892" s="15" t="s">
        <v>58</v>
      </c>
      <c r="AS1892" s="15" t="s">
        <v>62</v>
      </c>
      <c r="AT1892" s="15"/>
      <c r="AU1892" s="45"/>
      <c r="AV1892" s="15"/>
      <c r="AW1892" s="12" t="str">
        <f>B1892&amp;C1892&amp;L1892&amp;M1892&amp;O1892&amp;U1892&amp;AL1892&amp;AM1892</f>
        <v>AustraliaPort Stephens-Great Lakes Marine ParkTurfing algaecover1.52380988249851Ferrari2018</v>
      </c>
    </row>
    <row r="1893" spans="1:49" ht="14.5" x14ac:dyDescent="0.35">
      <c r="A1893" s="12">
        <v>1892</v>
      </c>
      <c r="B1893" s="15" t="s">
        <v>66</v>
      </c>
      <c r="C1893" s="44" t="s">
        <v>1862</v>
      </c>
      <c r="D1893" s="44" t="s">
        <v>1862</v>
      </c>
      <c r="E1893" s="12" t="s">
        <v>68</v>
      </c>
      <c r="F1893" s="13" t="s">
        <v>50</v>
      </c>
      <c r="G1893" s="13" t="s">
        <v>428</v>
      </c>
      <c r="H1893" s="13" t="s">
        <v>52</v>
      </c>
      <c r="I1893" s="13" t="s">
        <v>53</v>
      </c>
      <c r="J1893" s="17">
        <v>86</v>
      </c>
      <c r="K1893" s="17"/>
      <c r="L1893" s="14"/>
      <c r="M1893" s="14" t="s">
        <v>429</v>
      </c>
      <c r="N1893" s="53" t="s">
        <v>98</v>
      </c>
      <c r="O1893" s="17" t="s">
        <v>101</v>
      </c>
      <c r="P1893" s="14"/>
      <c r="Q1893" s="14"/>
      <c r="R1893" s="14"/>
      <c r="S1893" s="14">
        <v>15.58442</v>
      </c>
      <c r="T1893" s="14">
        <v>14.22078</v>
      </c>
      <c r="U1893" s="19">
        <f t="shared" si="129"/>
        <v>0.91249979145839244</v>
      </c>
      <c r="V1893" s="41">
        <f t="shared" si="128"/>
        <v>-8.7500208541607556</v>
      </c>
      <c r="W1893" s="14"/>
      <c r="X1893" s="14" t="s">
        <v>58</v>
      </c>
      <c r="Y1893" s="14">
        <v>80</v>
      </c>
      <c r="Z1893" s="17" t="s">
        <v>56</v>
      </c>
      <c r="AA1893" s="17"/>
      <c r="AB1893" s="14" t="s">
        <v>57</v>
      </c>
      <c r="AC1893" s="17">
        <v>2012</v>
      </c>
      <c r="AD1893" s="17">
        <v>0</v>
      </c>
      <c r="AE1893" s="14"/>
      <c r="AF1893" s="14"/>
      <c r="AG1893" s="14">
        <v>2002</v>
      </c>
      <c r="AH1893" s="14">
        <f t="shared" si="126"/>
        <v>10</v>
      </c>
      <c r="AI1893" s="17">
        <f t="shared" si="127"/>
        <v>10</v>
      </c>
      <c r="AJ1893" s="14"/>
      <c r="AK1893" s="14" t="s">
        <v>56</v>
      </c>
      <c r="AL1893" s="12" t="s">
        <v>430</v>
      </c>
      <c r="AM1893" s="14">
        <v>2018</v>
      </c>
      <c r="AN1893" s="12" t="s">
        <v>150</v>
      </c>
      <c r="AO1893" s="12" t="s">
        <v>56</v>
      </c>
      <c r="AP1893" s="12"/>
      <c r="AQ1893" s="12" t="s">
        <v>56</v>
      </c>
      <c r="AR1893" s="12" t="s">
        <v>58</v>
      </c>
      <c r="AS1893" s="12" t="s">
        <v>62</v>
      </c>
      <c r="AT1893" s="12"/>
      <c r="AU1893" s="45"/>
      <c r="AV1893" s="15"/>
      <c r="AW1893" s="12" t="str">
        <f>B1893&amp;C1893&amp;L1893&amp;M1893&amp;O1893&amp;U1893&amp;AL1893&amp;AM1893</f>
        <v>AustraliaSolitary Islands Marine Parkencrusting calcareous algaecover0.912499791458392Ferrari2018</v>
      </c>
    </row>
    <row r="1894" spans="1:49" ht="14.5" x14ac:dyDescent="0.35">
      <c r="A1894" s="12">
        <v>1893</v>
      </c>
      <c r="B1894" s="15" t="s">
        <v>66</v>
      </c>
      <c r="C1894" s="43" t="s">
        <v>1862</v>
      </c>
      <c r="D1894" s="43" t="s">
        <v>1862</v>
      </c>
      <c r="E1894" s="15" t="s">
        <v>68</v>
      </c>
      <c r="F1894" s="13" t="s">
        <v>50</v>
      </c>
      <c r="G1894" s="13" t="s">
        <v>428</v>
      </c>
      <c r="H1894" s="16" t="s">
        <v>52</v>
      </c>
      <c r="I1894" s="16" t="s">
        <v>53</v>
      </c>
      <c r="J1894" s="17">
        <v>86</v>
      </c>
      <c r="K1894" s="17"/>
      <c r="L1894" s="17"/>
      <c r="M1894" s="17" t="s">
        <v>431</v>
      </c>
      <c r="N1894" s="53" t="s">
        <v>98</v>
      </c>
      <c r="O1894" s="17" t="s">
        <v>101</v>
      </c>
      <c r="P1894" s="17"/>
      <c r="Q1894" s="17"/>
      <c r="R1894" s="17"/>
      <c r="S1894" s="17">
        <v>0.13333300000000001</v>
      </c>
      <c r="T1894" s="17">
        <v>0.13333300000000001</v>
      </c>
      <c r="U1894" s="20">
        <f t="shared" si="129"/>
        <v>1</v>
      </c>
      <c r="V1894" s="41">
        <f t="shared" si="128"/>
        <v>0</v>
      </c>
      <c r="W1894" s="17"/>
      <c r="X1894" s="17" t="s">
        <v>58</v>
      </c>
      <c r="Y1894" s="17">
        <v>80</v>
      </c>
      <c r="Z1894" s="17" t="s">
        <v>56</v>
      </c>
      <c r="AA1894" s="17"/>
      <c r="AB1894" s="17" t="s">
        <v>57</v>
      </c>
      <c r="AC1894" s="17">
        <v>2012</v>
      </c>
      <c r="AD1894" s="17">
        <v>0</v>
      </c>
      <c r="AE1894" s="17"/>
      <c r="AF1894" s="17"/>
      <c r="AG1894" s="17">
        <v>2002</v>
      </c>
      <c r="AH1894" s="14">
        <f t="shared" si="126"/>
        <v>10</v>
      </c>
      <c r="AI1894" s="17">
        <f t="shared" si="127"/>
        <v>10</v>
      </c>
      <c r="AJ1894" s="17"/>
      <c r="AK1894" s="17" t="s">
        <v>56</v>
      </c>
      <c r="AL1894" s="15" t="s">
        <v>430</v>
      </c>
      <c r="AM1894" s="17">
        <v>2018</v>
      </c>
      <c r="AN1894" s="15" t="s">
        <v>150</v>
      </c>
      <c r="AO1894" s="15" t="s">
        <v>56</v>
      </c>
      <c r="AP1894" s="15"/>
      <c r="AQ1894" s="15" t="s">
        <v>56</v>
      </c>
      <c r="AR1894" s="15" t="s">
        <v>58</v>
      </c>
      <c r="AS1894" s="15" t="s">
        <v>62</v>
      </c>
      <c r="AT1894" s="15"/>
      <c r="AU1894" s="45"/>
      <c r="AV1894" s="15"/>
      <c r="AW1894" s="12" t="str">
        <f>B1894&amp;C1894&amp;L1894&amp;M1894&amp;O1894&amp;U1894&amp;AL1894&amp;AM1894</f>
        <v>AustraliaSolitary Islands Marine Parkerect fine branching algaecover1Ferrari2018</v>
      </c>
    </row>
    <row r="1895" spans="1:49" ht="14.5" x14ac:dyDescent="0.35">
      <c r="A1895" s="12">
        <v>1894</v>
      </c>
      <c r="B1895" s="15" t="s">
        <v>66</v>
      </c>
      <c r="C1895" s="44" t="s">
        <v>1862</v>
      </c>
      <c r="D1895" s="44" t="s">
        <v>1862</v>
      </c>
      <c r="E1895" s="15" t="s">
        <v>68</v>
      </c>
      <c r="F1895" s="13" t="s">
        <v>50</v>
      </c>
      <c r="G1895" s="13" t="s">
        <v>428</v>
      </c>
      <c r="H1895" s="16" t="s">
        <v>52</v>
      </c>
      <c r="I1895" s="16" t="s">
        <v>53</v>
      </c>
      <c r="J1895" s="17">
        <v>86</v>
      </c>
      <c r="K1895" s="17"/>
      <c r="L1895" s="17"/>
      <c r="M1895" s="17" t="s">
        <v>432</v>
      </c>
      <c r="N1895" s="53" t="s">
        <v>98</v>
      </c>
      <c r="O1895" s="17" t="s">
        <v>101</v>
      </c>
      <c r="P1895" s="17"/>
      <c r="Q1895" s="17"/>
      <c r="R1895" s="17"/>
      <c r="S1895" s="17">
        <v>1.1231880000000001</v>
      </c>
      <c r="T1895" s="17">
        <v>2.463768</v>
      </c>
      <c r="U1895" s="20">
        <f t="shared" si="129"/>
        <v>2.1935490763790209</v>
      </c>
      <c r="V1895" s="41">
        <f t="shared" si="128"/>
        <v>119.35490763790209</v>
      </c>
      <c r="W1895" s="17"/>
      <c r="X1895" s="17" t="s">
        <v>58</v>
      </c>
      <c r="Y1895" s="17">
        <v>80</v>
      </c>
      <c r="Z1895" s="17" t="s">
        <v>56</v>
      </c>
      <c r="AA1895" s="17"/>
      <c r="AB1895" s="17" t="s">
        <v>57</v>
      </c>
      <c r="AC1895" s="17">
        <v>2012</v>
      </c>
      <c r="AD1895" s="17">
        <v>0</v>
      </c>
      <c r="AE1895" s="17"/>
      <c r="AF1895" s="17"/>
      <c r="AG1895" s="17">
        <v>2002</v>
      </c>
      <c r="AH1895" s="14">
        <f t="shared" si="126"/>
        <v>10</v>
      </c>
      <c r="AI1895" s="17">
        <f t="shared" si="127"/>
        <v>10</v>
      </c>
      <c r="AJ1895" s="17"/>
      <c r="AK1895" s="17" t="s">
        <v>56</v>
      </c>
      <c r="AL1895" s="15" t="s">
        <v>430</v>
      </c>
      <c r="AM1895" s="17">
        <v>2018</v>
      </c>
      <c r="AN1895" s="15" t="s">
        <v>150</v>
      </c>
      <c r="AO1895" s="15" t="s">
        <v>56</v>
      </c>
      <c r="AP1895" s="15"/>
      <c r="AQ1895" s="15" t="s">
        <v>56</v>
      </c>
      <c r="AR1895" s="15" t="s">
        <v>58</v>
      </c>
      <c r="AS1895" s="15" t="s">
        <v>62</v>
      </c>
      <c r="AT1895" s="15"/>
      <c r="AU1895" s="45"/>
      <c r="AV1895" s="15"/>
      <c r="AW1895" s="12" t="str">
        <f>B1895&amp;C1895&amp;L1895&amp;M1895&amp;O1895&amp;U1895&amp;AL1895&amp;AM1895</f>
        <v>AustraliaSolitary Islands Marine Parkfilamentous macroalgaecover2.19354907637902Ferrari2018</v>
      </c>
    </row>
    <row r="1896" spans="1:49" ht="14.5" x14ac:dyDescent="0.35">
      <c r="A1896" s="12">
        <v>1895</v>
      </c>
      <c r="B1896" s="15" t="s">
        <v>66</v>
      </c>
      <c r="C1896" s="44" t="s">
        <v>1862</v>
      </c>
      <c r="D1896" s="44" t="s">
        <v>1862</v>
      </c>
      <c r="E1896" s="15" t="s">
        <v>68</v>
      </c>
      <c r="F1896" s="13" t="s">
        <v>50</v>
      </c>
      <c r="G1896" s="13" t="s">
        <v>428</v>
      </c>
      <c r="H1896" s="16" t="s">
        <v>52</v>
      </c>
      <c r="I1896" s="16" t="s">
        <v>53</v>
      </c>
      <c r="J1896" s="17">
        <v>86</v>
      </c>
      <c r="K1896" s="17"/>
      <c r="L1896" s="17"/>
      <c r="M1896" s="17" t="s">
        <v>291</v>
      </c>
      <c r="N1896" s="53" t="s">
        <v>98</v>
      </c>
      <c r="O1896" s="17" t="s">
        <v>101</v>
      </c>
      <c r="P1896" s="17"/>
      <c r="Q1896" s="17"/>
      <c r="R1896" s="17"/>
      <c r="S1896" s="17">
        <v>2.3591549999999999</v>
      </c>
      <c r="T1896" s="17">
        <v>1.3098590000000001</v>
      </c>
      <c r="U1896" s="20">
        <f t="shared" si="129"/>
        <v>0.55522379835152846</v>
      </c>
      <c r="V1896" s="41">
        <f t="shared" si="128"/>
        <v>-44.477620164847153</v>
      </c>
      <c r="W1896" s="17"/>
      <c r="X1896" s="17" t="s">
        <v>58</v>
      </c>
      <c r="Y1896" s="17">
        <v>80</v>
      </c>
      <c r="Z1896" s="17" t="s">
        <v>56</v>
      </c>
      <c r="AA1896" s="17"/>
      <c r="AB1896" s="17" t="s">
        <v>57</v>
      </c>
      <c r="AC1896" s="17">
        <v>2012</v>
      </c>
      <c r="AD1896" s="17">
        <v>0</v>
      </c>
      <c r="AE1896" s="17"/>
      <c r="AF1896" s="17"/>
      <c r="AG1896" s="17">
        <v>2002</v>
      </c>
      <c r="AH1896" s="14">
        <f t="shared" si="126"/>
        <v>10</v>
      </c>
      <c r="AI1896" s="17">
        <f t="shared" si="127"/>
        <v>10</v>
      </c>
      <c r="AJ1896" s="17"/>
      <c r="AK1896" s="17" t="s">
        <v>56</v>
      </c>
      <c r="AL1896" s="15" t="s">
        <v>430</v>
      </c>
      <c r="AM1896" s="17">
        <v>2018</v>
      </c>
      <c r="AN1896" s="15" t="s">
        <v>150</v>
      </c>
      <c r="AO1896" s="15" t="s">
        <v>56</v>
      </c>
      <c r="AP1896" s="15"/>
      <c r="AQ1896" s="15" t="s">
        <v>56</v>
      </c>
      <c r="AR1896" s="15" t="s">
        <v>58</v>
      </c>
      <c r="AS1896" s="15" t="s">
        <v>62</v>
      </c>
      <c r="AT1896" s="15"/>
      <c r="AU1896" s="45"/>
      <c r="AV1896" s="15"/>
      <c r="AW1896" s="12" t="str">
        <f>B1896&amp;C1896&amp;L1896&amp;M1896&amp;O1896&amp;U1896&amp;AL1896&amp;AM1896</f>
        <v>AustraliaSolitary Islands Marine ParkMacroalgaecover0.555223798351528Ferrari2018</v>
      </c>
    </row>
    <row r="1897" spans="1:49" ht="14.5" x14ac:dyDescent="0.35">
      <c r="A1897" s="12">
        <v>1896</v>
      </c>
      <c r="B1897" s="15" t="s">
        <v>66</v>
      </c>
      <c r="C1897" s="44" t="s">
        <v>1862</v>
      </c>
      <c r="D1897" s="44" t="s">
        <v>1862</v>
      </c>
      <c r="E1897" s="15" t="s">
        <v>68</v>
      </c>
      <c r="F1897" s="13" t="s">
        <v>50</v>
      </c>
      <c r="G1897" s="13" t="s">
        <v>428</v>
      </c>
      <c r="H1897" s="16" t="s">
        <v>52</v>
      </c>
      <c r="I1897" s="16" t="s">
        <v>53</v>
      </c>
      <c r="J1897" s="17">
        <v>86</v>
      </c>
      <c r="K1897" s="17"/>
      <c r="L1897" s="17"/>
      <c r="M1897" s="17" t="s">
        <v>434</v>
      </c>
      <c r="N1897" s="53" t="s">
        <v>98</v>
      </c>
      <c r="O1897" s="17" t="s">
        <v>101</v>
      </c>
      <c r="P1897" s="17"/>
      <c r="Q1897" s="17"/>
      <c r="R1897" s="17"/>
      <c r="S1897" s="17">
        <v>2.7739129999999999</v>
      </c>
      <c r="T1897" s="17">
        <v>5.1130430000000002</v>
      </c>
      <c r="U1897" s="20">
        <f t="shared" ref="U1897:U1902" si="130">IFERROR(IF(AND(Q1897="",R1897="",S1897="",T1897=""),"",IF(AND(Q1897&lt;&gt;"",R1897&lt;&gt;"",S1897&lt;&gt;"",T1897&lt;&gt;""),(T1897/R1897)/(S1897/Q1897),IF(AND(Q1897&lt;&gt;"",R1897&lt;&gt;""),R1897/Q1897,IF(AND(S1897&lt;&gt;"",T1897&lt;&gt;""),T1897/S1897,IF(AND(Q1897&lt;&gt;"",S1897&lt;&gt;""),Q1897/S1897,IF(AND(R1897&lt;&gt;"",T1897&lt;&gt;""),T1897/R1897)))))), "N/A")</f>
        <v>1.8432600445652045</v>
      </c>
      <c r="V1897" s="41">
        <f t="shared" si="128"/>
        <v>84.326004456520451</v>
      </c>
      <c r="W1897" s="17"/>
      <c r="X1897" s="17" t="s">
        <v>58</v>
      </c>
      <c r="Y1897" s="17">
        <v>80</v>
      </c>
      <c r="Z1897" s="17" t="s">
        <v>56</v>
      </c>
      <c r="AA1897" s="17"/>
      <c r="AB1897" s="17" t="s">
        <v>57</v>
      </c>
      <c r="AC1897" s="17">
        <v>2012</v>
      </c>
      <c r="AD1897" s="17">
        <v>0</v>
      </c>
      <c r="AE1897" s="17"/>
      <c r="AF1897" s="17"/>
      <c r="AG1897" s="17">
        <v>2002</v>
      </c>
      <c r="AH1897" s="14">
        <f t="shared" si="126"/>
        <v>10</v>
      </c>
      <c r="AI1897" s="17">
        <f t="shared" si="127"/>
        <v>10</v>
      </c>
      <c r="AJ1897" s="17"/>
      <c r="AK1897" s="17" t="s">
        <v>56</v>
      </c>
      <c r="AL1897" s="15" t="s">
        <v>430</v>
      </c>
      <c r="AM1897" s="17">
        <v>2018</v>
      </c>
      <c r="AN1897" s="15" t="s">
        <v>150</v>
      </c>
      <c r="AO1897" s="15" t="s">
        <v>56</v>
      </c>
      <c r="AP1897" s="15"/>
      <c r="AQ1897" s="15" t="s">
        <v>56</v>
      </c>
      <c r="AR1897" s="15" t="s">
        <v>58</v>
      </c>
      <c r="AS1897" s="15" t="s">
        <v>62</v>
      </c>
      <c r="AT1897" s="15"/>
      <c r="AU1897" s="45"/>
      <c r="AV1897" s="15"/>
      <c r="AW1897" s="12" t="str">
        <f>B1897&amp;C1897&amp;L1897&amp;M1897&amp;O1897&amp;U1897&amp;AL1897&amp;AM1897</f>
        <v>AustraliaSolitary Islands Marine ParkSimple massive spongescover1.8432600445652Ferrari2018</v>
      </c>
    </row>
    <row r="1898" spans="1:49" ht="14.5" x14ac:dyDescent="0.35">
      <c r="A1898" s="12">
        <v>1897</v>
      </c>
      <c r="B1898" s="15" t="s">
        <v>66</v>
      </c>
      <c r="C1898" s="44" t="s">
        <v>1862</v>
      </c>
      <c r="D1898" s="44" t="s">
        <v>1862</v>
      </c>
      <c r="E1898" s="12" t="s">
        <v>68</v>
      </c>
      <c r="F1898" s="16" t="s">
        <v>50</v>
      </c>
      <c r="G1898" s="16" t="s">
        <v>428</v>
      </c>
      <c r="H1898" s="13" t="s">
        <v>52</v>
      </c>
      <c r="I1898" s="13" t="s">
        <v>53</v>
      </c>
      <c r="J1898" s="17">
        <v>86</v>
      </c>
      <c r="K1898" s="17"/>
      <c r="L1898" s="14"/>
      <c r="M1898" s="14" t="s">
        <v>435</v>
      </c>
      <c r="N1898" s="53" t="s">
        <v>98</v>
      </c>
      <c r="O1898" s="17" t="s">
        <v>101</v>
      </c>
      <c r="P1898" s="14"/>
      <c r="Q1898" s="14"/>
      <c r="R1898" s="14"/>
      <c r="S1898" s="14">
        <v>4.7695040000000004</v>
      </c>
      <c r="T1898" s="14">
        <v>6.6666670000000003</v>
      </c>
      <c r="U1898" s="19">
        <f t="shared" si="130"/>
        <v>1.3977694535951746</v>
      </c>
      <c r="V1898" s="41">
        <f t="shared" si="128"/>
        <v>39.776945359517455</v>
      </c>
      <c r="W1898" s="14"/>
      <c r="X1898" s="14" t="s">
        <v>58</v>
      </c>
      <c r="Y1898" s="14">
        <v>80</v>
      </c>
      <c r="Z1898" s="17" t="s">
        <v>56</v>
      </c>
      <c r="AA1898" s="17"/>
      <c r="AB1898" s="14" t="s">
        <v>57</v>
      </c>
      <c r="AC1898" s="17">
        <v>2012</v>
      </c>
      <c r="AD1898" s="17">
        <v>0</v>
      </c>
      <c r="AE1898" s="14"/>
      <c r="AF1898" s="14"/>
      <c r="AG1898" s="14">
        <v>2002</v>
      </c>
      <c r="AH1898" s="14">
        <f t="shared" si="126"/>
        <v>10</v>
      </c>
      <c r="AI1898" s="17">
        <f t="shared" si="127"/>
        <v>10</v>
      </c>
      <c r="AJ1898" s="14"/>
      <c r="AK1898" s="14" t="s">
        <v>56</v>
      </c>
      <c r="AL1898" s="12" t="s">
        <v>430</v>
      </c>
      <c r="AM1898" s="14">
        <v>2018</v>
      </c>
      <c r="AN1898" s="12" t="s">
        <v>150</v>
      </c>
      <c r="AO1898" s="12" t="s">
        <v>56</v>
      </c>
      <c r="AP1898" s="12"/>
      <c r="AQ1898" s="12" t="s">
        <v>56</v>
      </c>
      <c r="AR1898" s="12" t="s">
        <v>58</v>
      </c>
      <c r="AS1898" s="12" t="s">
        <v>62</v>
      </c>
      <c r="AT1898" s="12"/>
      <c r="AU1898" s="45"/>
      <c r="AV1898" s="15"/>
      <c r="AW1898" s="12" t="str">
        <f>B1898&amp;C1898&amp;L1898&amp;M1898&amp;O1898&amp;U1898&amp;AL1898&amp;AM1898</f>
        <v>AustraliaSolitary Islands Marine ParkSponge crustscover1.39776945359517Ferrari2018</v>
      </c>
    </row>
    <row r="1899" spans="1:49" ht="14.5" x14ac:dyDescent="0.35">
      <c r="A1899" s="12">
        <v>1898</v>
      </c>
      <c r="B1899" s="15" t="s">
        <v>66</v>
      </c>
      <c r="C1899" s="44" t="s">
        <v>1862</v>
      </c>
      <c r="D1899" s="44" t="s">
        <v>1862</v>
      </c>
      <c r="E1899" s="12" t="s">
        <v>68</v>
      </c>
      <c r="F1899" s="13" t="s">
        <v>50</v>
      </c>
      <c r="G1899" s="13" t="s">
        <v>428</v>
      </c>
      <c r="H1899" s="13" t="s">
        <v>52</v>
      </c>
      <c r="I1899" s="13" t="s">
        <v>53</v>
      </c>
      <c r="J1899" s="17">
        <v>86</v>
      </c>
      <c r="K1899" s="17"/>
      <c r="L1899" s="14"/>
      <c r="M1899" s="14" t="s">
        <v>436</v>
      </c>
      <c r="N1899" s="53" t="s">
        <v>98</v>
      </c>
      <c r="O1899" s="17" t="s">
        <v>101</v>
      </c>
      <c r="P1899" s="14"/>
      <c r="Q1899" s="14"/>
      <c r="R1899" s="14"/>
      <c r="S1899" s="14">
        <v>42.844830000000002</v>
      </c>
      <c r="T1899" s="14">
        <v>50.086210000000001</v>
      </c>
      <c r="U1899" s="19">
        <f t="shared" si="130"/>
        <v>1.1690140910817011</v>
      </c>
      <c r="V1899" s="41">
        <f t="shared" si="128"/>
        <v>16.901409108170107</v>
      </c>
      <c r="W1899" s="14"/>
      <c r="X1899" s="14" t="s">
        <v>58</v>
      </c>
      <c r="Y1899" s="14">
        <v>80</v>
      </c>
      <c r="Z1899" s="17" t="s">
        <v>56</v>
      </c>
      <c r="AA1899" s="17"/>
      <c r="AB1899" s="14" t="s">
        <v>57</v>
      </c>
      <c r="AC1899" s="17">
        <v>2012</v>
      </c>
      <c r="AD1899" s="17">
        <v>0</v>
      </c>
      <c r="AE1899" s="14"/>
      <c r="AF1899" s="14"/>
      <c r="AG1899" s="14">
        <v>2002</v>
      </c>
      <c r="AH1899" s="14">
        <f t="shared" si="126"/>
        <v>10</v>
      </c>
      <c r="AI1899" s="17">
        <f t="shared" si="127"/>
        <v>10</v>
      </c>
      <c r="AJ1899" s="14"/>
      <c r="AK1899" s="14" t="s">
        <v>56</v>
      </c>
      <c r="AL1899" s="12" t="s">
        <v>430</v>
      </c>
      <c r="AM1899" s="14">
        <v>2018</v>
      </c>
      <c r="AN1899" s="12" t="s">
        <v>150</v>
      </c>
      <c r="AO1899" s="12" t="s">
        <v>56</v>
      </c>
      <c r="AP1899" s="12"/>
      <c r="AQ1899" s="12" t="s">
        <v>56</v>
      </c>
      <c r="AR1899" s="12" t="s">
        <v>58</v>
      </c>
      <c r="AS1899" s="12" t="s">
        <v>62</v>
      </c>
      <c r="AT1899" s="12"/>
      <c r="AU1899" s="45"/>
      <c r="AV1899" s="15"/>
      <c r="AW1899" s="12" t="str">
        <f>B1899&amp;C1899&amp;L1899&amp;M1899&amp;O1899&amp;U1899&amp;AL1899&amp;AM1899</f>
        <v>AustraliaSolitary Islands Marine ParkTurfing algaecover1.1690140910817Ferrari2018</v>
      </c>
    </row>
    <row r="1900" spans="1:49" ht="14.5" x14ac:dyDescent="0.35">
      <c r="A1900" s="12">
        <v>1899</v>
      </c>
      <c r="B1900" s="15" t="s">
        <v>210</v>
      </c>
      <c r="C1900" s="12" t="s">
        <v>294</v>
      </c>
      <c r="D1900" s="12" t="s">
        <v>294</v>
      </c>
      <c r="E1900" s="12" t="s">
        <v>68</v>
      </c>
      <c r="F1900" s="16" t="s">
        <v>274</v>
      </c>
      <c r="G1900" s="16" t="s">
        <v>51</v>
      </c>
      <c r="H1900" s="13" t="s">
        <v>108</v>
      </c>
      <c r="I1900" s="13" t="s">
        <v>53</v>
      </c>
      <c r="J1900" s="17">
        <v>605.00199999999995</v>
      </c>
      <c r="K1900" s="17"/>
      <c r="L1900" s="14"/>
      <c r="M1900" s="14" t="s">
        <v>295</v>
      </c>
      <c r="N1900" s="14" t="s">
        <v>1070</v>
      </c>
      <c r="O1900" s="17" t="s">
        <v>86</v>
      </c>
      <c r="P1900" s="14"/>
      <c r="Q1900" s="14"/>
      <c r="R1900" s="14"/>
      <c r="S1900" s="14">
        <v>516.77629999999999</v>
      </c>
      <c r="T1900" s="14">
        <v>469.90129999999999</v>
      </c>
      <c r="U1900" s="19">
        <f t="shared" si="130"/>
        <v>0.90929344089502562</v>
      </c>
      <c r="V1900" s="41">
        <f t="shared" si="128"/>
        <v>-9.0706559104974378</v>
      </c>
      <c r="W1900" s="14"/>
      <c r="X1900" s="14" t="s">
        <v>56</v>
      </c>
      <c r="Z1900" s="14" t="s">
        <v>56</v>
      </c>
      <c r="AA1900" s="14"/>
      <c r="AB1900" s="14" t="s">
        <v>57</v>
      </c>
      <c r="AC1900" s="14">
        <v>2013</v>
      </c>
      <c r="AD1900" s="14">
        <v>2</v>
      </c>
      <c r="AE1900" s="14"/>
      <c r="AF1900" s="14"/>
      <c r="AG1900" s="14">
        <v>1998</v>
      </c>
      <c r="AH1900" s="14">
        <f t="shared" si="126"/>
        <v>15</v>
      </c>
      <c r="AI1900" s="17">
        <f t="shared" si="127"/>
        <v>17</v>
      </c>
      <c r="AJ1900" s="14"/>
      <c r="AK1900" s="14" t="s">
        <v>56</v>
      </c>
      <c r="AL1900" s="12" t="s">
        <v>296</v>
      </c>
      <c r="AM1900" s="14">
        <v>2017</v>
      </c>
      <c r="AN1900" s="12" t="s">
        <v>88</v>
      </c>
      <c r="AO1900" s="12" t="s">
        <v>56</v>
      </c>
      <c r="AP1900" s="12"/>
      <c r="AQ1900" s="12" t="s">
        <v>56</v>
      </c>
      <c r="AR1900" s="12" t="s">
        <v>58</v>
      </c>
      <c r="AS1900" s="12" t="s">
        <v>62</v>
      </c>
      <c r="AT1900" s="12"/>
      <c r="AU1900" s="45"/>
      <c r="AV1900" s="15"/>
      <c r="AW1900" s="12" t="str">
        <f>B1900&amp;C1900&amp;L1900&amp;M1900&amp;O1900&amp;U1900&amp;AL1900&amp;AM1900</f>
        <v>PortugalAvencas Biophysical Interest Zone of AvencasFloradensity0.909293440895026Ferreira2017</v>
      </c>
    </row>
    <row r="1901" spans="1:49" ht="14.5" x14ac:dyDescent="0.35">
      <c r="A1901" s="12">
        <v>1900</v>
      </c>
      <c r="B1901" s="15" t="s">
        <v>210</v>
      </c>
      <c r="C1901" s="12" t="s">
        <v>294</v>
      </c>
      <c r="D1901" s="12" t="s">
        <v>294</v>
      </c>
      <c r="E1901" s="12" t="s">
        <v>68</v>
      </c>
      <c r="F1901" s="16" t="s">
        <v>274</v>
      </c>
      <c r="G1901" s="16" t="s">
        <v>51</v>
      </c>
      <c r="H1901" s="13" t="s">
        <v>108</v>
      </c>
      <c r="I1901" s="13" t="s">
        <v>53</v>
      </c>
      <c r="J1901" s="17">
        <v>605.00199999999995</v>
      </c>
      <c r="K1901" s="17"/>
      <c r="L1901" s="14"/>
      <c r="M1901" s="14" t="s">
        <v>297</v>
      </c>
      <c r="N1901" s="53" t="s">
        <v>98</v>
      </c>
      <c r="O1901" s="17" t="s">
        <v>86</v>
      </c>
      <c r="P1901" s="14"/>
      <c r="Q1901" s="14"/>
      <c r="R1901" s="14"/>
      <c r="S1901" s="14">
        <v>36.207389999999997</v>
      </c>
      <c r="T1901" s="14">
        <v>30.681819999999998</v>
      </c>
      <c r="U1901" s="19">
        <f t="shared" si="130"/>
        <v>0.8473910988889285</v>
      </c>
      <c r="V1901" s="41">
        <f t="shared" si="128"/>
        <v>-15.26089011110715</v>
      </c>
      <c r="W1901" s="14"/>
      <c r="X1901" s="14" t="s">
        <v>56</v>
      </c>
      <c r="Z1901" s="17" t="s">
        <v>56</v>
      </c>
      <c r="AA1901" s="17"/>
      <c r="AB1901" s="14" t="s">
        <v>57</v>
      </c>
      <c r="AC1901" s="17">
        <v>2013</v>
      </c>
      <c r="AD1901" s="17">
        <v>2</v>
      </c>
      <c r="AE1901" s="14"/>
      <c r="AF1901" s="14"/>
      <c r="AG1901" s="14">
        <v>1998</v>
      </c>
      <c r="AH1901" s="14">
        <f t="shared" si="126"/>
        <v>15</v>
      </c>
      <c r="AI1901" s="17">
        <f t="shared" si="127"/>
        <v>17</v>
      </c>
      <c r="AJ1901" s="14"/>
      <c r="AK1901" s="14" t="s">
        <v>56</v>
      </c>
      <c r="AL1901" s="12" t="s">
        <v>296</v>
      </c>
      <c r="AM1901" s="14">
        <v>2017</v>
      </c>
      <c r="AN1901" s="12" t="s">
        <v>88</v>
      </c>
      <c r="AO1901" s="12" t="s">
        <v>56</v>
      </c>
      <c r="AP1901" s="12"/>
      <c r="AQ1901" s="12" t="s">
        <v>56</v>
      </c>
      <c r="AR1901" s="12" t="s">
        <v>58</v>
      </c>
      <c r="AS1901" s="12" t="s">
        <v>62</v>
      </c>
      <c r="AT1901" s="12"/>
      <c r="AU1901" s="45"/>
      <c r="AV1901" s="15"/>
      <c r="AW1901" s="12" t="str">
        <f>B1901&amp;C1901&amp;L1901&amp;M1901&amp;O1901&amp;U1901&amp;AL1901&amp;AM1901</f>
        <v>PortugalAvencas Biophysical Interest Zone of AvencasSessile faunal speciesdensity0.847391098888928Ferreira2017</v>
      </c>
    </row>
    <row r="1902" spans="1:49" ht="14.5" x14ac:dyDescent="0.35">
      <c r="A1902" s="12">
        <v>1901</v>
      </c>
      <c r="B1902" s="15" t="s">
        <v>210</v>
      </c>
      <c r="C1902" s="15" t="s">
        <v>294</v>
      </c>
      <c r="D1902" s="15" t="s">
        <v>294</v>
      </c>
      <c r="E1902" s="15" t="s">
        <v>68</v>
      </c>
      <c r="F1902" s="16" t="s">
        <v>274</v>
      </c>
      <c r="G1902" s="16" t="s">
        <v>51</v>
      </c>
      <c r="H1902" s="16" t="s">
        <v>108</v>
      </c>
      <c r="I1902" s="16" t="s">
        <v>53</v>
      </c>
      <c r="J1902" s="17">
        <v>605.00199999999995</v>
      </c>
      <c r="K1902" s="17"/>
      <c r="L1902" s="17"/>
      <c r="M1902" s="17" t="s">
        <v>298</v>
      </c>
      <c r="N1902" s="53" t="s">
        <v>98</v>
      </c>
      <c r="O1902" s="17" t="s">
        <v>86</v>
      </c>
      <c r="P1902" s="17"/>
      <c r="Q1902" s="17"/>
      <c r="R1902" s="17"/>
      <c r="S1902" s="17">
        <v>8557.143</v>
      </c>
      <c r="T1902" s="17">
        <v>7269.0479999999998</v>
      </c>
      <c r="U1902" s="20">
        <f t="shared" si="130"/>
        <v>0.84947137146124585</v>
      </c>
      <c r="V1902" s="41">
        <f t="shared" si="128"/>
        <v>-15.052862853875414</v>
      </c>
      <c r="W1902" s="17"/>
      <c r="X1902" s="17" t="s">
        <v>56</v>
      </c>
      <c r="Z1902" s="17" t="s">
        <v>56</v>
      </c>
      <c r="AA1902" s="17"/>
      <c r="AB1902" s="17" t="s">
        <v>57</v>
      </c>
      <c r="AC1902" s="17">
        <v>2013</v>
      </c>
      <c r="AD1902" s="17">
        <v>2</v>
      </c>
      <c r="AE1902" s="17"/>
      <c r="AF1902" s="17"/>
      <c r="AG1902" s="14">
        <v>1998</v>
      </c>
      <c r="AH1902" s="14">
        <f t="shared" si="126"/>
        <v>15</v>
      </c>
      <c r="AI1902" s="17">
        <f t="shared" si="127"/>
        <v>17</v>
      </c>
      <c r="AJ1902" s="17"/>
      <c r="AK1902" s="17" t="s">
        <v>56</v>
      </c>
      <c r="AL1902" s="15" t="s">
        <v>296</v>
      </c>
      <c r="AM1902" s="17">
        <v>2017</v>
      </c>
      <c r="AN1902" s="15" t="s">
        <v>88</v>
      </c>
      <c r="AO1902" s="15" t="s">
        <v>56</v>
      </c>
      <c r="AP1902" s="15"/>
      <c r="AQ1902" s="15" t="s">
        <v>56</v>
      </c>
      <c r="AR1902" s="15" t="s">
        <v>58</v>
      </c>
      <c r="AS1902" s="15" t="s">
        <v>62</v>
      </c>
      <c r="AT1902" s="15"/>
      <c r="AU1902" s="45"/>
      <c r="AV1902" s="15"/>
      <c r="AW1902" s="12" t="str">
        <f>B1902&amp;C1902&amp;L1902&amp;M1902&amp;O1902&amp;U1902&amp;AL1902&amp;AM1902</f>
        <v>PortugalAvencas Biophysical Interest Zone of AvencasMobile faunal speciesdensity0.849471371461246Ferreira2017</v>
      </c>
    </row>
    <row r="1903" spans="1:49" ht="14.5" x14ac:dyDescent="0.35">
      <c r="A1903" s="12">
        <v>1902</v>
      </c>
      <c r="B1903" s="15" t="s">
        <v>153</v>
      </c>
      <c r="C1903" s="15" t="s">
        <v>2768</v>
      </c>
      <c r="D1903" s="15" t="s">
        <v>2768</v>
      </c>
      <c r="E1903" s="15" t="s">
        <v>68</v>
      </c>
      <c r="F1903" s="16" t="s">
        <v>571</v>
      </c>
      <c r="G1903" s="16" t="s">
        <v>51</v>
      </c>
      <c r="H1903" s="16" t="s">
        <v>78</v>
      </c>
      <c r="I1903" s="16" t="s">
        <v>156</v>
      </c>
      <c r="J1903" s="17" t="s">
        <v>509</v>
      </c>
      <c r="K1903" s="17"/>
      <c r="L1903" s="17"/>
      <c r="M1903" s="17" t="s">
        <v>2045</v>
      </c>
      <c r="N1903" s="14" t="s">
        <v>407</v>
      </c>
      <c r="O1903" s="17" t="s">
        <v>86</v>
      </c>
      <c r="P1903" s="17"/>
      <c r="Q1903" s="17"/>
      <c r="R1903" s="17"/>
      <c r="S1903" s="17"/>
      <c r="T1903" s="17"/>
      <c r="U1903" s="17">
        <v>3.44</v>
      </c>
      <c r="V1903" s="41">
        <f t="shared" si="128"/>
        <v>244</v>
      </c>
      <c r="W1903" s="17"/>
      <c r="X1903" s="17" t="s">
        <v>58</v>
      </c>
      <c r="Y1903" s="14">
        <v>200</v>
      </c>
      <c r="Z1903" s="17" t="s">
        <v>58</v>
      </c>
      <c r="AA1903" s="17"/>
      <c r="AB1903" s="17" t="s">
        <v>57</v>
      </c>
      <c r="AC1903" s="17">
        <v>2003</v>
      </c>
      <c r="AD1903" s="17">
        <v>6</v>
      </c>
      <c r="AE1903" s="17"/>
      <c r="AF1903" s="17"/>
      <c r="AG1903" s="14" t="s">
        <v>509</v>
      </c>
      <c r="AH1903" s="14" t="str">
        <f t="shared" si="126"/>
        <v>NA</v>
      </c>
      <c r="AI1903" s="17" t="str">
        <f t="shared" si="127"/>
        <v>NA</v>
      </c>
      <c r="AJ1903" s="17"/>
      <c r="AK1903" s="17" t="s">
        <v>56</v>
      </c>
      <c r="AL1903" s="15" t="s">
        <v>2046</v>
      </c>
      <c r="AM1903" s="17">
        <v>2017</v>
      </c>
      <c r="AN1903" s="15" t="s">
        <v>183</v>
      </c>
      <c r="AO1903" s="15" t="s">
        <v>56</v>
      </c>
      <c r="AP1903" s="15"/>
      <c r="AQ1903" s="15" t="s">
        <v>56</v>
      </c>
      <c r="AR1903" s="15" t="s">
        <v>58</v>
      </c>
      <c r="AS1903" s="15" t="s">
        <v>62</v>
      </c>
      <c r="AT1903" s="15"/>
      <c r="AU1903" s="45"/>
      <c r="AV1903" s="15"/>
      <c r="AW1903" s="12" t="str">
        <f>B1903&amp;C1903&amp;L1903&amp;M1903&amp;O1903&amp;U1903&amp;AL1903&amp;AM1903</f>
        <v>PhilippinesVarious (39) Community managed MPAsZoobenthivorous fishdensity3.44Fidler2017</v>
      </c>
    </row>
    <row r="1904" spans="1:49" ht="14.5" x14ac:dyDescent="0.35">
      <c r="A1904" s="12">
        <v>1903</v>
      </c>
      <c r="B1904" s="15" t="s">
        <v>153</v>
      </c>
      <c r="C1904" s="15" t="s">
        <v>2768</v>
      </c>
      <c r="D1904" s="15" t="s">
        <v>2768</v>
      </c>
      <c r="E1904" s="15" t="s">
        <v>68</v>
      </c>
      <c r="F1904" s="16" t="s">
        <v>571</v>
      </c>
      <c r="G1904" s="16" t="s">
        <v>51</v>
      </c>
      <c r="H1904" s="16" t="s">
        <v>78</v>
      </c>
      <c r="I1904" s="16" t="s">
        <v>156</v>
      </c>
      <c r="J1904" s="17" t="s">
        <v>509</v>
      </c>
      <c r="K1904" s="17"/>
      <c r="L1904" s="17"/>
      <c r="M1904" s="17" t="s">
        <v>2043</v>
      </c>
      <c r="N1904" s="14" t="s">
        <v>407</v>
      </c>
      <c r="O1904" s="17" t="s">
        <v>86</v>
      </c>
      <c r="P1904" s="17"/>
      <c r="Q1904" s="17"/>
      <c r="R1904" s="17"/>
      <c r="S1904" s="17"/>
      <c r="T1904" s="17"/>
      <c r="U1904" s="17">
        <v>4.71</v>
      </c>
      <c r="V1904" s="41">
        <f t="shared" si="128"/>
        <v>371</v>
      </c>
      <c r="W1904" s="17"/>
      <c r="X1904" s="17" t="s">
        <v>58</v>
      </c>
      <c r="Y1904" s="14">
        <v>200</v>
      </c>
      <c r="Z1904" s="17" t="s">
        <v>58</v>
      </c>
      <c r="AA1904" s="17"/>
      <c r="AB1904" s="17" t="s">
        <v>57</v>
      </c>
      <c r="AC1904" s="17">
        <v>2003</v>
      </c>
      <c r="AD1904" s="17">
        <v>6</v>
      </c>
      <c r="AE1904" s="17"/>
      <c r="AF1904" s="17"/>
      <c r="AG1904" s="14" t="s">
        <v>509</v>
      </c>
      <c r="AH1904" s="14" t="str">
        <f t="shared" si="126"/>
        <v>NA</v>
      </c>
      <c r="AI1904" s="17" t="str">
        <f t="shared" si="127"/>
        <v>NA</v>
      </c>
      <c r="AJ1904" s="17"/>
      <c r="AK1904" s="17" t="s">
        <v>56</v>
      </c>
      <c r="AL1904" s="15" t="s">
        <v>2046</v>
      </c>
      <c r="AM1904" s="17">
        <v>2017</v>
      </c>
      <c r="AN1904" s="15" t="s">
        <v>183</v>
      </c>
      <c r="AO1904" s="15" t="s">
        <v>56</v>
      </c>
      <c r="AP1904" s="15"/>
      <c r="AQ1904" s="15" t="s">
        <v>56</v>
      </c>
      <c r="AR1904" s="15" t="s">
        <v>58</v>
      </c>
      <c r="AS1904" s="15" t="s">
        <v>62</v>
      </c>
      <c r="AT1904" s="15"/>
      <c r="AU1904" s="45"/>
      <c r="AV1904" s="15"/>
      <c r="AW1904" s="12" t="str">
        <f>B1904&amp;C1904&amp;L1904&amp;M1904&amp;O1904&amp;U1904&amp;AL1904&amp;AM1904</f>
        <v>PhilippinesVarious (39) Community managed MPAsPlanktivorous fishdensity4.71Fidler2017</v>
      </c>
    </row>
    <row r="1905" spans="1:49" ht="14.5" x14ac:dyDescent="0.35">
      <c r="A1905" s="12">
        <v>1904</v>
      </c>
      <c r="B1905" s="15" t="s">
        <v>153</v>
      </c>
      <c r="C1905" s="15" t="s">
        <v>2768</v>
      </c>
      <c r="D1905" s="15" t="s">
        <v>2768</v>
      </c>
      <c r="E1905" s="15" t="s">
        <v>68</v>
      </c>
      <c r="F1905" s="16" t="s">
        <v>571</v>
      </c>
      <c r="G1905" s="16" t="s">
        <v>51</v>
      </c>
      <c r="H1905" s="16" t="s">
        <v>78</v>
      </c>
      <c r="I1905" s="16" t="s">
        <v>156</v>
      </c>
      <c r="J1905" s="17" t="s">
        <v>509</v>
      </c>
      <c r="K1905" s="17"/>
      <c r="L1905" s="17"/>
      <c r="M1905" s="17" t="s">
        <v>913</v>
      </c>
      <c r="N1905" s="14" t="s">
        <v>407</v>
      </c>
      <c r="O1905" s="17" t="s">
        <v>86</v>
      </c>
      <c r="P1905" s="17"/>
      <c r="Q1905" s="17"/>
      <c r="R1905" s="17"/>
      <c r="S1905" s="17"/>
      <c r="T1905" s="17"/>
      <c r="U1905" s="17">
        <v>11.6</v>
      </c>
      <c r="V1905" s="41">
        <f t="shared" si="128"/>
        <v>1060</v>
      </c>
      <c r="W1905" s="17"/>
      <c r="X1905" s="17" t="s">
        <v>58</v>
      </c>
      <c r="Y1905" s="14">
        <v>200</v>
      </c>
      <c r="Z1905" s="17" t="s">
        <v>58</v>
      </c>
      <c r="AA1905" s="17"/>
      <c r="AB1905" s="17" t="s">
        <v>57</v>
      </c>
      <c r="AC1905" s="17">
        <v>2003</v>
      </c>
      <c r="AD1905" s="17">
        <v>6</v>
      </c>
      <c r="AE1905" s="17"/>
      <c r="AF1905" s="17"/>
      <c r="AG1905" s="14" t="s">
        <v>509</v>
      </c>
      <c r="AH1905" s="14" t="str">
        <f t="shared" si="126"/>
        <v>NA</v>
      </c>
      <c r="AI1905" s="17" t="str">
        <f t="shared" si="127"/>
        <v>NA</v>
      </c>
      <c r="AJ1905" s="17"/>
      <c r="AK1905" s="17" t="s">
        <v>56</v>
      </c>
      <c r="AL1905" s="15" t="s">
        <v>2046</v>
      </c>
      <c r="AM1905" s="17">
        <v>2017</v>
      </c>
      <c r="AN1905" s="15" t="s">
        <v>183</v>
      </c>
      <c r="AO1905" s="15" t="s">
        <v>56</v>
      </c>
      <c r="AP1905" s="15"/>
      <c r="AQ1905" s="15" t="s">
        <v>56</v>
      </c>
      <c r="AR1905" s="15" t="s">
        <v>58</v>
      </c>
      <c r="AS1905" s="15" t="s">
        <v>62</v>
      </c>
      <c r="AT1905" s="15"/>
      <c r="AU1905" s="45"/>
      <c r="AV1905" s="15"/>
      <c r="AW1905" s="12" t="str">
        <f>B1905&amp;C1905&amp;L1905&amp;M1905&amp;O1905&amp;U1905&amp;AL1905&amp;AM1905</f>
        <v>PhilippinesVarious (39) Community managed MPAsPiscivorous fishdensity11.6Fidler2017</v>
      </c>
    </row>
    <row r="1906" spans="1:49" ht="14.5" x14ac:dyDescent="0.35">
      <c r="A1906" s="12">
        <v>1905</v>
      </c>
      <c r="B1906" s="15" t="s">
        <v>153</v>
      </c>
      <c r="C1906" s="15" t="s">
        <v>2768</v>
      </c>
      <c r="D1906" s="15" t="s">
        <v>2768</v>
      </c>
      <c r="E1906" s="15" t="s">
        <v>68</v>
      </c>
      <c r="F1906" s="16" t="s">
        <v>571</v>
      </c>
      <c r="G1906" s="16" t="s">
        <v>51</v>
      </c>
      <c r="H1906" s="16" t="s">
        <v>78</v>
      </c>
      <c r="I1906" s="16" t="s">
        <v>156</v>
      </c>
      <c r="J1906" s="17" t="s">
        <v>509</v>
      </c>
      <c r="K1906" s="17"/>
      <c r="L1906" s="17"/>
      <c r="M1906" s="17" t="s">
        <v>2047</v>
      </c>
      <c r="N1906" s="14" t="s">
        <v>407</v>
      </c>
      <c r="O1906" s="17" t="s">
        <v>86</v>
      </c>
      <c r="P1906" s="17"/>
      <c r="Q1906" s="17"/>
      <c r="R1906" s="17"/>
      <c r="S1906" s="17"/>
      <c r="T1906" s="17"/>
      <c r="U1906" s="17">
        <v>4.2699999999999996</v>
      </c>
      <c r="V1906" s="41">
        <f t="shared" si="128"/>
        <v>326.99999999999994</v>
      </c>
      <c r="W1906" s="17"/>
      <c r="X1906" s="17" t="s">
        <v>58</v>
      </c>
      <c r="Y1906" s="14">
        <v>200</v>
      </c>
      <c r="Z1906" s="17" t="s">
        <v>58</v>
      </c>
      <c r="AA1906" s="17"/>
      <c r="AB1906" s="17" t="s">
        <v>57</v>
      </c>
      <c r="AC1906" s="17">
        <v>2003</v>
      </c>
      <c r="AD1906" s="17">
        <v>6</v>
      </c>
      <c r="AE1906" s="17"/>
      <c r="AF1906" s="17"/>
      <c r="AG1906" s="14" t="s">
        <v>509</v>
      </c>
      <c r="AH1906" s="14" t="str">
        <f t="shared" si="126"/>
        <v>NA</v>
      </c>
      <c r="AI1906" s="17" t="str">
        <f t="shared" si="127"/>
        <v>NA</v>
      </c>
      <c r="AJ1906" s="17"/>
      <c r="AK1906" s="17" t="s">
        <v>56</v>
      </c>
      <c r="AL1906" s="15" t="s">
        <v>2046</v>
      </c>
      <c r="AM1906" s="17">
        <v>2017</v>
      </c>
      <c r="AN1906" s="15" t="s">
        <v>183</v>
      </c>
      <c r="AO1906" s="15" t="s">
        <v>56</v>
      </c>
      <c r="AP1906" s="15"/>
      <c r="AQ1906" s="15" t="s">
        <v>56</v>
      </c>
      <c r="AR1906" s="15" t="s">
        <v>58</v>
      </c>
      <c r="AS1906" s="15" t="s">
        <v>62</v>
      </c>
      <c r="AT1906" s="15"/>
      <c r="AU1906" s="45"/>
      <c r="AV1906" s="15"/>
      <c r="AW1906" s="12" t="str">
        <f>B1906&amp;C1906&amp;L1906&amp;M1906&amp;O1906&amp;U1906&amp;AL1906&amp;AM1906</f>
        <v>PhilippinesVarious (39) Community managed MPAsOmnivorous fishdensity4.27Fidler2017</v>
      </c>
    </row>
    <row r="1907" spans="1:49" ht="14.5" x14ac:dyDescent="0.35">
      <c r="A1907" s="12">
        <v>1906</v>
      </c>
      <c r="B1907" s="15" t="s">
        <v>153</v>
      </c>
      <c r="C1907" s="15" t="s">
        <v>2768</v>
      </c>
      <c r="D1907" s="15" t="s">
        <v>2768</v>
      </c>
      <c r="E1907" s="15" t="s">
        <v>68</v>
      </c>
      <c r="F1907" s="16" t="s">
        <v>571</v>
      </c>
      <c r="G1907" s="16" t="s">
        <v>51</v>
      </c>
      <c r="H1907" s="16" t="s">
        <v>78</v>
      </c>
      <c r="I1907" s="16" t="s">
        <v>156</v>
      </c>
      <c r="J1907" s="17" t="s">
        <v>509</v>
      </c>
      <c r="K1907" s="17"/>
      <c r="L1907" s="17"/>
      <c r="M1907" s="17" t="s">
        <v>292</v>
      </c>
      <c r="N1907" s="14" t="s">
        <v>407</v>
      </c>
      <c r="O1907" s="17" t="s">
        <v>86</v>
      </c>
      <c r="P1907" s="17"/>
      <c r="Q1907" s="17"/>
      <c r="R1907" s="17"/>
      <c r="S1907" s="17"/>
      <c r="T1907" s="17"/>
      <c r="U1907" s="17">
        <v>5.4</v>
      </c>
      <c r="V1907" s="41">
        <f t="shared" si="128"/>
        <v>440.00000000000006</v>
      </c>
      <c r="W1907" s="17"/>
      <c r="X1907" s="17" t="s">
        <v>58</v>
      </c>
      <c r="Y1907" s="14">
        <v>200</v>
      </c>
      <c r="Z1907" s="17" t="s">
        <v>58</v>
      </c>
      <c r="AA1907" s="17"/>
      <c r="AB1907" s="17" t="s">
        <v>57</v>
      </c>
      <c r="AC1907" s="17">
        <v>2003</v>
      </c>
      <c r="AD1907" s="17">
        <v>6</v>
      </c>
      <c r="AE1907" s="17"/>
      <c r="AF1907" s="17"/>
      <c r="AG1907" s="14" t="s">
        <v>509</v>
      </c>
      <c r="AH1907" s="14" t="str">
        <f t="shared" si="126"/>
        <v>NA</v>
      </c>
      <c r="AI1907" s="17" t="str">
        <f t="shared" si="127"/>
        <v>NA</v>
      </c>
      <c r="AJ1907" s="17"/>
      <c r="AK1907" s="17" t="s">
        <v>56</v>
      </c>
      <c r="AL1907" s="15" t="s">
        <v>2046</v>
      </c>
      <c r="AM1907" s="17">
        <v>2017</v>
      </c>
      <c r="AN1907" s="15" t="s">
        <v>183</v>
      </c>
      <c r="AO1907" s="15" t="s">
        <v>56</v>
      </c>
      <c r="AP1907" s="15"/>
      <c r="AQ1907" s="15" t="s">
        <v>56</v>
      </c>
      <c r="AR1907" s="15" t="s">
        <v>58</v>
      </c>
      <c r="AS1907" s="15" t="s">
        <v>62</v>
      </c>
      <c r="AT1907" s="15"/>
      <c r="AU1907" s="45"/>
      <c r="AV1907" s="15"/>
      <c r="AW1907" s="12" t="str">
        <f>B1907&amp;C1907&amp;L1907&amp;M1907&amp;O1907&amp;U1907&amp;AL1907&amp;AM1907</f>
        <v>PhilippinesVarious (39) Community managed MPAsHerbivorous fishdensity5.4Fidler2017</v>
      </c>
    </row>
    <row r="1908" spans="1:49" ht="14.5" x14ac:dyDescent="0.35">
      <c r="A1908" s="12">
        <v>1907</v>
      </c>
      <c r="B1908" s="15" t="s">
        <v>153</v>
      </c>
      <c r="C1908" s="12" t="s">
        <v>2768</v>
      </c>
      <c r="D1908" s="12" t="s">
        <v>2768</v>
      </c>
      <c r="E1908" s="12" t="s">
        <v>68</v>
      </c>
      <c r="F1908" s="13" t="s">
        <v>571</v>
      </c>
      <c r="G1908" s="13" t="s">
        <v>51</v>
      </c>
      <c r="H1908" s="13" t="s">
        <v>78</v>
      </c>
      <c r="I1908" s="13" t="s">
        <v>156</v>
      </c>
      <c r="J1908" s="17" t="s">
        <v>509</v>
      </c>
      <c r="K1908" s="17"/>
      <c r="L1908" s="14"/>
      <c r="M1908" s="14" t="s">
        <v>2048</v>
      </c>
      <c r="N1908" s="53" t="s">
        <v>98</v>
      </c>
      <c r="O1908" s="17" t="s">
        <v>86</v>
      </c>
      <c r="P1908" s="14"/>
      <c r="Q1908" s="14"/>
      <c r="R1908" s="14"/>
      <c r="S1908" s="14"/>
      <c r="T1908" s="14"/>
      <c r="U1908" s="14">
        <v>4.53</v>
      </c>
      <c r="V1908" s="41">
        <f t="shared" si="128"/>
        <v>353</v>
      </c>
      <c r="W1908" s="14"/>
      <c r="X1908" s="14" t="s">
        <v>58</v>
      </c>
      <c r="Y1908" s="14">
        <v>200</v>
      </c>
      <c r="Z1908" s="14" t="s">
        <v>58</v>
      </c>
      <c r="AA1908" s="14"/>
      <c r="AB1908" s="14" t="s">
        <v>57</v>
      </c>
      <c r="AC1908" s="14">
        <v>2003</v>
      </c>
      <c r="AD1908" s="14">
        <v>6</v>
      </c>
      <c r="AE1908" s="14"/>
      <c r="AF1908" s="14"/>
      <c r="AG1908" s="14" t="s">
        <v>509</v>
      </c>
      <c r="AH1908" s="14" t="str">
        <f t="shared" si="126"/>
        <v>NA</v>
      </c>
      <c r="AI1908" s="17" t="str">
        <f t="shared" si="127"/>
        <v>NA</v>
      </c>
      <c r="AJ1908" s="14"/>
      <c r="AK1908" s="14" t="s">
        <v>56</v>
      </c>
      <c r="AL1908" s="12" t="s">
        <v>2046</v>
      </c>
      <c r="AM1908" s="14">
        <v>2017</v>
      </c>
      <c r="AN1908" s="12" t="s">
        <v>183</v>
      </c>
      <c r="AO1908" s="12" t="s">
        <v>56</v>
      </c>
      <c r="AP1908" s="12"/>
      <c r="AQ1908" s="12" t="s">
        <v>56</v>
      </c>
      <c r="AR1908" s="12" t="s">
        <v>58</v>
      </c>
      <c r="AS1908" s="12" t="s">
        <v>62</v>
      </c>
      <c r="AT1908" s="12"/>
      <c r="AU1908" s="45"/>
      <c r="AV1908" s="15"/>
      <c r="AW1908" s="12" t="str">
        <f>B1908&amp;C1908&amp;L1908&amp;M1908&amp;O1908&amp;U1908&amp;AL1908&amp;AM1908</f>
        <v>PhilippinesVarious (39) Community managed MPAsNon-target fishdensity4.53Fidler2017</v>
      </c>
    </row>
    <row r="1909" spans="1:49" ht="14.5" x14ac:dyDescent="0.35">
      <c r="A1909" s="12">
        <v>1908</v>
      </c>
      <c r="B1909" s="15" t="s">
        <v>153</v>
      </c>
      <c r="C1909" s="12" t="s">
        <v>2768</v>
      </c>
      <c r="D1909" s="12" t="s">
        <v>2768</v>
      </c>
      <c r="E1909" s="12" t="s">
        <v>68</v>
      </c>
      <c r="F1909" s="13" t="s">
        <v>571</v>
      </c>
      <c r="G1909" s="13" t="s">
        <v>51</v>
      </c>
      <c r="H1909" s="13" t="s">
        <v>78</v>
      </c>
      <c r="I1909" s="13" t="s">
        <v>156</v>
      </c>
      <c r="J1909" s="17" t="s">
        <v>509</v>
      </c>
      <c r="K1909" s="17"/>
      <c r="L1909" s="14"/>
      <c r="M1909" s="14" t="s">
        <v>2049</v>
      </c>
      <c r="N1909" s="53" t="s">
        <v>98</v>
      </c>
      <c r="O1909" s="17" t="s">
        <v>86</v>
      </c>
      <c r="P1909" s="14"/>
      <c r="Q1909" s="14"/>
      <c r="R1909" s="14"/>
      <c r="S1909" s="14"/>
      <c r="T1909" s="14"/>
      <c r="U1909" s="14">
        <v>4.2300000000000004</v>
      </c>
      <c r="V1909" s="41">
        <f t="shared" si="128"/>
        <v>323.00000000000006</v>
      </c>
      <c r="W1909" s="14"/>
      <c r="X1909" s="14" t="s">
        <v>58</v>
      </c>
      <c r="Y1909" s="14">
        <v>200</v>
      </c>
      <c r="Z1909" s="14" t="s">
        <v>58</v>
      </c>
      <c r="AA1909" s="14"/>
      <c r="AB1909" s="14" t="s">
        <v>57</v>
      </c>
      <c r="AC1909" s="14">
        <v>2003</v>
      </c>
      <c r="AD1909" s="14">
        <v>6</v>
      </c>
      <c r="AE1909" s="14"/>
      <c r="AF1909" s="14"/>
      <c r="AG1909" s="14" t="s">
        <v>509</v>
      </c>
      <c r="AH1909" s="14" t="str">
        <f t="shared" si="126"/>
        <v>NA</v>
      </c>
      <c r="AI1909" s="17" t="str">
        <f t="shared" si="127"/>
        <v>NA</v>
      </c>
      <c r="AJ1909" s="14"/>
      <c r="AK1909" s="14" t="s">
        <v>56</v>
      </c>
      <c r="AL1909" s="12" t="s">
        <v>2046</v>
      </c>
      <c r="AM1909" s="14">
        <v>2017</v>
      </c>
      <c r="AN1909" s="12" t="s">
        <v>183</v>
      </c>
      <c r="AO1909" s="12" t="s">
        <v>56</v>
      </c>
      <c r="AP1909" s="12"/>
      <c r="AQ1909" s="12" t="s">
        <v>56</v>
      </c>
      <c r="AR1909" s="12" t="s">
        <v>58</v>
      </c>
      <c r="AS1909" s="12" t="s">
        <v>62</v>
      </c>
      <c r="AT1909" s="12"/>
      <c r="AU1909" s="45"/>
      <c r="AV1909" s="15"/>
      <c r="AW1909" s="12" t="str">
        <f>B1909&amp;C1909&amp;L1909&amp;M1909&amp;O1909&amp;U1909&amp;AL1909&amp;AM1909</f>
        <v>PhilippinesVarious (39) Community managed MPAsTarget fishdensity4.23Fidler2017</v>
      </c>
    </row>
    <row r="1910" spans="1:49" ht="14.5" x14ac:dyDescent="0.35">
      <c r="A1910" s="12">
        <v>1909</v>
      </c>
      <c r="B1910" s="15" t="s">
        <v>477</v>
      </c>
      <c r="C1910" s="12" t="s">
        <v>478</v>
      </c>
      <c r="D1910" s="12" t="s">
        <v>478</v>
      </c>
      <c r="E1910" s="12" t="s">
        <v>68</v>
      </c>
      <c r="F1910" s="13" t="s">
        <v>50</v>
      </c>
      <c r="G1910" s="13" t="s">
        <v>51</v>
      </c>
      <c r="H1910" s="13" t="s">
        <v>481</v>
      </c>
      <c r="I1910" s="13" t="s">
        <v>53</v>
      </c>
      <c r="J1910" s="17">
        <v>19</v>
      </c>
      <c r="K1910" s="17"/>
      <c r="L1910" s="14" t="s">
        <v>482</v>
      </c>
      <c r="M1910" s="14"/>
      <c r="N1910" s="14" t="s">
        <v>85</v>
      </c>
      <c r="O1910" s="17" t="s">
        <v>86</v>
      </c>
      <c r="P1910" s="14"/>
      <c r="Q1910" s="14"/>
      <c r="R1910" s="14"/>
      <c r="S1910" s="14">
        <v>1.673759</v>
      </c>
      <c r="T1910" s="14">
        <v>32.720570000000002</v>
      </c>
      <c r="U1910" s="19">
        <f t="shared" ref="U1910:U1918" si="131">IFERROR(IF(AND(Q1910="",R1910="",S1910="",T1910=""),"",IF(AND(Q1910&lt;&gt;"",R1910&lt;&gt;"",S1910&lt;&gt;"",T1910&lt;&gt;""),(T1910/R1910)/(S1910/Q1910),IF(AND(Q1910&lt;&gt;"",R1910&lt;&gt;""),R1910/Q1910,IF(AND(S1910&lt;&gt;"",T1910&lt;&gt;""),T1910/S1910,IF(AND(Q1910&lt;&gt;"",S1910&lt;&gt;""),Q1910/S1910,IF(AND(R1910&lt;&gt;"",T1910&lt;&gt;""),T1910/R1910)))))), "N/A")</f>
        <v>19.549152536297044</v>
      </c>
      <c r="V1910" s="41">
        <f t="shared" si="128"/>
        <v>1854.9152536297042</v>
      </c>
      <c r="W1910" s="14"/>
      <c r="X1910" s="14" t="s">
        <v>56</v>
      </c>
      <c r="Z1910" s="14" t="s">
        <v>56</v>
      </c>
      <c r="AA1910" s="14"/>
      <c r="AB1910" s="14" t="s">
        <v>57</v>
      </c>
      <c r="AC1910" s="14">
        <v>1996</v>
      </c>
      <c r="AD1910" s="14">
        <v>10</v>
      </c>
      <c r="AE1910" s="14"/>
      <c r="AF1910" s="14"/>
      <c r="AG1910" s="14">
        <v>1995</v>
      </c>
      <c r="AH1910" s="14">
        <f t="shared" si="126"/>
        <v>1</v>
      </c>
      <c r="AI1910" s="17">
        <f t="shared" si="127"/>
        <v>11</v>
      </c>
      <c r="AJ1910" s="14"/>
      <c r="AK1910" s="14" t="s">
        <v>56</v>
      </c>
      <c r="AL1910" s="12" t="s">
        <v>492</v>
      </c>
      <c r="AM1910" s="14">
        <v>2008</v>
      </c>
      <c r="AN1910" s="12" t="s">
        <v>493</v>
      </c>
      <c r="AO1910" s="12" t="s">
        <v>56</v>
      </c>
      <c r="AP1910" s="12" t="s">
        <v>494</v>
      </c>
      <c r="AQ1910" s="12" t="s">
        <v>56</v>
      </c>
      <c r="AR1910" s="12" t="s">
        <v>58</v>
      </c>
      <c r="AS1910" s="12" t="s">
        <v>62</v>
      </c>
      <c r="AT1910" s="12"/>
      <c r="AU1910" s="45" t="s">
        <v>495</v>
      </c>
      <c r="AV1910" s="15"/>
      <c r="AW1910" s="12" t="str">
        <f>B1910&amp;C1910&amp;L1910&amp;M1910&amp;O1910&amp;U1910&amp;AL1910&amp;AM1910</f>
        <v>SpainCabo de Palos – Islas Hormigas Marine ReserveEpinephelus marginatusdensity19.549152536297Garcia-Charton2008</v>
      </c>
    </row>
    <row r="1911" spans="1:49" ht="14.5" x14ac:dyDescent="0.35">
      <c r="A1911" s="12">
        <v>1910</v>
      </c>
      <c r="B1911" s="15" t="s">
        <v>477</v>
      </c>
      <c r="C1911" s="15" t="s">
        <v>478</v>
      </c>
      <c r="D1911" s="15" t="s">
        <v>478</v>
      </c>
      <c r="E1911" s="15" t="s">
        <v>68</v>
      </c>
      <c r="F1911" s="13" t="s">
        <v>50</v>
      </c>
      <c r="G1911" s="13" t="s">
        <v>51</v>
      </c>
      <c r="H1911" s="16" t="s">
        <v>481</v>
      </c>
      <c r="I1911" s="16" t="s">
        <v>53</v>
      </c>
      <c r="J1911" s="17">
        <v>19</v>
      </c>
      <c r="K1911" s="17"/>
      <c r="L1911" s="17" t="s">
        <v>486</v>
      </c>
      <c r="M1911" s="17"/>
      <c r="N1911" s="14" t="s">
        <v>85</v>
      </c>
      <c r="O1911" s="17" t="s">
        <v>86</v>
      </c>
      <c r="P1911" s="17"/>
      <c r="Q1911" s="17"/>
      <c r="R1911" s="17"/>
      <c r="S1911" s="17">
        <v>0.68686899999999995</v>
      </c>
      <c r="T1911" s="17">
        <v>7.2323230000000001</v>
      </c>
      <c r="U1911" s="20">
        <f t="shared" si="131"/>
        <v>10.529406626299922</v>
      </c>
      <c r="V1911" s="41">
        <f t="shared" si="128"/>
        <v>952.94066262999218</v>
      </c>
      <c r="W1911" s="17"/>
      <c r="X1911" s="17" t="s">
        <v>56</v>
      </c>
      <c r="Z1911" s="17" t="s">
        <v>56</v>
      </c>
      <c r="AA1911" s="17"/>
      <c r="AB1911" s="17" t="s">
        <v>57</v>
      </c>
      <c r="AC1911" s="17">
        <v>1996</v>
      </c>
      <c r="AD1911" s="17">
        <v>10</v>
      </c>
      <c r="AE1911" s="17"/>
      <c r="AF1911" s="17"/>
      <c r="AG1911" s="17">
        <v>1995</v>
      </c>
      <c r="AH1911" s="14">
        <f t="shared" si="126"/>
        <v>1</v>
      </c>
      <c r="AI1911" s="17">
        <f t="shared" si="127"/>
        <v>11</v>
      </c>
      <c r="AJ1911" s="17"/>
      <c r="AK1911" s="17" t="s">
        <v>56</v>
      </c>
      <c r="AL1911" s="15" t="s">
        <v>492</v>
      </c>
      <c r="AM1911" s="17">
        <v>2008</v>
      </c>
      <c r="AN1911" s="15" t="s">
        <v>493</v>
      </c>
      <c r="AO1911" s="15" t="s">
        <v>56</v>
      </c>
      <c r="AP1911" s="15" t="s">
        <v>496</v>
      </c>
      <c r="AQ1911" s="15" t="s">
        <v>56</v>
      </c>
      <c r="AR1911" s="15" t="s">
        <v>58</v>
      </c>
      <c r="AS1911" s="15" t="s">
        <v>62</v>
      </c>
      <c r="AT1911" s="15"/>
      <c r="AU1911" s="45" t="s">
        <v>495</v>
      </c>
      <c r="AV1911" s="15"/>
      <c r="AW1911" s="12" t="str">
        <f>B1911&amp;C1911&amp;L1911&amp;M1911&amp;O1911&amp;U1911&amp;AL1911&amp;AM1911</f>
        <v>SpainCabo de Palos – Islas Hormigas Marine ReserveEpinephelus costaedensity10.5294066262999Garcia-Charton2008</v>
      </c>
    </row>
    <row r="1912" spans="1:49" ht="14.5" x14ac:dyDescent="0.35">
      <c r="A1912" s="12">
        <v>1911</v>
      </c>
      <c r="B1912" s="15" t="s">
        <v>477</v>
      </c>
      <c r="C1912" s="15" t="s">
        <v>478</v>
      </c>
      <c r="D1912" s="15" t="s">
        <v>478</v>
      </c>
      <c r="E1912" s="15" t="s">
        <v>68</v>
      </c>
      <c r="F1912" s="13" t="s">
        <v>50</v>
      </c>
      <c r="G1912" s="13" t="s">
        <v>51</v>
      </c>
      <c r="H1912" s="16" t="s">
        <v>481</v>
      </c>
      <c r="I1912" s="16" t="s">
        <v>53</v>
      </c>
      <c r="J1912" s="17">
        <v>19</v>
      </c>
      <c r="K1912" s="17"/>
      <c r="L1912" s="17" t="s">
        <v>497</v>
      </c>
      <c r="M1912" s="17"/>
      <c r="N1912" s="14" t="s">
        <v>85</v>
      </c>
      <c r="O1912" s="17" t="s">
        <v>86</v>
      </c>
      <c r="P1912" s="17"/>
      <c r="Q1912" s="17"/>
      <c r="R1912" s="17"/>
      <c r="S1912" s="17">
        <v>9.7058820000000008</v>
      </c>
      <c r="T1912" s="17">
        <v>23.235289999999999</v>
      </c>
      <c r="U1912" s="20">
        <f t="shared" si="131"/>
        <v>2.3939390567492986</v>
      </c>
      <c r="V1912" s="41">
        <f t="shared" si="128"/>
        <v>139.39390567492987</v>
      </c>
      <c r="W1912" s="17"/>
      <c r="X1912" s="17" t="s">
        <v>56</v>
      </c>
      <c r="Z1912" s="17" t="s">
        <v>56</v>
      </c>
      <c r="AA1912" s="17"/>
      <c r="AB1912" s="17" t="s">
        <v>57</v>
      </c>
      <c r="AC1912" s="17">
        <v>1996</v>
      </c>
      <c r="AD1912" s="17">
        <v>10</v>
      </c>
      <c r="AE1912" s="17"/>
      <c r="AF1912" s="17"/>
      <c r="AG1912" s="17">
        <v>1995</v>
      </c>
      <c r="AH1912" s="14">
        <f t="shared" si="126"/>
        <v>1</v>
      </c>
      <c r="AI1912" s="17">
        <f t="shared" si="127"/>
        <v>11</v>
      </c>
      <c r="AJ1912" s="17"/>
      <c r="AK1912" s="17" t="s">
        <v>56</v>
      </c>
      <c r="AL1912" s="15" t="s">
        <v>492</v>
      </c>
      <c r="AM1912" s="17">
        <v>2008</v>
      </c>
      <c r="AN1912" s="15" t="s">
        <v>493</v>
      </c>
      <c r="AO1912" s="15" t="s">
        <v>56</v>
      </c>
      <c r="AP1912" s="15" t="s">
        <v>496</v>
      </c>
      <c r="AQ1912" s="15" t="s">
        <v>56</v>
      </c>
      <c r="AR1912" s="15" t="s">
        <v>58</v>
      </c>
      <c r="AS1912" s="15" t="s">
        <v>62</v>
      </c>
      <c r="AT1912" s="15"/>
      <c r="AU1912" s="45" t="s">
        <v>495</v>
      </c>
      <c r="AV1912" s="15"/>
      <c r="AW1912" s="12" t="str">
        <f>B1912&amp;C1912&amp;L1912&amp;M1912&amp;O1912&amp;U1912&amp;AL1912&amp;AM1912</f>
        <v>SpainCabo de Palos – Islas Hormigas Marine ReserveSciaena umbradensity2.3939390567493Garcia-Charton2008</v>
      </c>
    </row>
    <row r="1913" spans="1:49" ht="14.15" customHeight="1" x14ac:dyDescent="0.35">
      <c r="A1913" s="12">
        <v>1912</v>
      </c>
      <c r="B1913" s="15" t="s">
        <v>477</v>
      </c>
      <c r="C1913" s="15" t="s">
        <v>478</v>
      </c>
      <c r="D1913" s="15" t="s">
        <v>478</v>
      </c>
      <c r="E1913" s="15" t="s">
        <v>68</v>
      </c>
      <c r="F1913" s="13" t="s">
        <v>50</v>
      </c>
      <c r="G1913" s="13" t="s">
        <v>51</v>
      </c>
      <c r="H1913" s="16" t="s">
        <v>481</v>
      </c>
      <c r="I1913" s="16" t="s">
        <v>53</v>
      </c>
      <c r="J1913" s="17">
        <v>19</v>
      </c>
      <c r="K1913" s="17"/>
      <c r="L1913" s="17" t="s">
        <v>498</v>
      </c>
      <c r="M1913" s="17"/>
      <c r="N1913" s="14" t="s">
        <v>85</v>
      </c>
      <c r="O1913" s="17" t="s">
        <v>86</v>
      </c>
      <c r="P1913" s="17"/>
      <c r="Q1913" s="17"/>
      <c r="R1913" s="17"/>
      <c r="S1913" s="17">
        <v>0.51063800000000004</v>
      </c>
      <c r="T1913" s="17">
        <v>30.29787</v>
      </c>
      <c r="U1913" s="20">
        <f t="shared" si="131"/>
        <v>59.333363361128619</v>
      </c>
      <c r="V1913" s="41">
        <f t="shared" si="128"/>
        <v>5833.3363361128622</v>
      </c>
      <c r="W1913" s="17"/>
      <c r="X1913" s="17" t="s">
        <v>56</v>
      </c>
      <c r="Z1913" s="17" t="s">
        <v>56</v>
      </c>
      <c r="AA1913" s="17"/>
      <c r="AB1913" s="17" t="s">
        <v>57</v>
      </c>
      <c r="AC1913" s="17">
        <v>1996</v>
      </c>
      <c r="AD1913" s="17">
        <v>10</v>
      </c>
      <c r="AE1913" s="17"/>
      <c r="AF1913" s="17"/>
      <c r="AG1913" s="17">
        <v>1995</v>
      </c>
      <c r="AH1913" s="14">
        <f t="shared" si="126"/>
        <v>1</v>
      </c>
      <c r="AI1913" s="17">
        <f t="shared" si="127"/>
        <v>11</v>
      </c>
      <c r="AJ1913" s="17"/>
      <c r="AK1913" s="17" t="s">
        <v>56</v>
      </c>
      <c r="AL1913" s="15" t="s">
        <v>492</v>
      </c>
      <c r="AM1913" s="17">
        <v>2008</v>
      </c>
      <c r="AN1913" s="15" t="s">
        <v>493</v>
      </c>
      <c r="AO1913" s="15" t="s">
        <v>56</v>
      </c>
      <c r="AP1913" s="15" t="s">
        <v>496</v>
      </c>
      <c r="AQ1913" s="15" t="s">
        <v>56</v>
      </c>
      <c r="AR1913" s="15" t="s">
        <v>58</v>
      </c>
      <c r="AS1913" s="15" t="s">
        <v>62</v>
      </c>
      <c r="AT1913" s="15"/>
      <c r="AU1913" s="45" t="s">
        <v>495</v>
      </c>
      <c r="AV1913" s="15"/>
      <c r="AW1913" s="12" t="str">
        <f>B1913&amp;C1913&amp;L1913&amp;M1913&amp;O1913&amp;U1913&amp;AL1913&amp;AM1913</f>
        <v>SpainCabo de Palos – Islas Hormigas Marine ReserveDentex dentexdensity59.3333633611286Garcia-Charton2008</v>
      </c>
    </row>
    <row r="1914" spans="1:49" ht="14.5" x14ac:dyDescent="0.35">
      <c r="A1914" s="12">
        <v>1913</v>
      </c>
      <c r="B1914" s="15" t="s">
        <v>477</v>
      </c>
      <c r="C1914" s="15" t="s">
        <v>478</v>
      </c>
      <c r="D1914" s="15" t="s">
        <v>478</v>
      </c>
      <c r="E1914" s="15" t="s">
        <v>68</v>
      </c>
      <c r="F1914" s="13" t="s">
        <v>50</v>
      </c>
      <c r="G1914" s="13" t="s">
        <v>51</v>
      </c>
      <c r="H1914" s="16" t="s">
        <v>481</v>
      </c>
      <c r="I1914" s="16" t="s">
        <v>53</v>
      </c>
      <c r="J1914" s="17">
        <v>19</v>
      </c>
      <c r="K1914" s="17"/>
      <c r="L1914" s="17" t="s">
        <v>499</v>
      </c>
      <c r="M1914" s="17"/>
      <c r="N1914" s="14" t="s">
        <v>85</v>
      </c>
      <c r="O1914" s="17" t="s">
        <v>86</v>
      </c>
      <c r="P1914" s="17"/>
      <c r="Q1914" s="17"/>
      <c r="R1914" s="17"/>
      <c r="S1914" s="17">
        <v>2.7368420000000002</v>
      </c>
      <c r="T1914" s="17">
        <v>6.7368420000000002</v>
      </c>
      <c r="U1914" s="20">
        <f t="shared" si="131"/>
        <v>2.4615385177514812</v>
      </c>
      <c r="V1914" s="41">
        <f t="shared" si="128"/>
        <v>146.15385177514813</v>
      </c>
      <c r="W1914" s="17"/>
      <c r="X1914" s="17" t="s">
        <v>56</v>
      </c>
      <c r="Y1914" s="17"/>
      <c r="Z1914" s="17" t="s">
        <v>56</v>
      </c>
      <c r="AA1914" s="17"/>
      <c r="AB1914" s="17" t="s">
        <v>57</v>
      </c>
      <c r="AC1914" s="17">
        <v>1996</v>
      </c>
      <c r="AD1914" s="17">
        <v>10</v>
      </c>
      <c r="AE1914" s="17"/>
      <c r="AF1914" s="17"/>
      <c r="AG1914" s="17">
        <v>1995</v>
      </c>
      <c r="AH1914" s="14">
        <f t="shared" si="126"/>
        <v>1</v>
      </c>
      <c r="AI1914" s="17">
        <f t="shared" si="127"/>
        <v>11</v>
      </c>
      <c r="AJ1914" s="17"/>
      <c r="AK1914" s="17" t="s">
        <v>56</v>
      </c>
      <c r="AL1914" s="15" t="s">
        <v>492</v>
      </c>
      <c r="AM1914" s="17">
        <v>2008</v>
      </c>
      <c r="AN1914" s="15" t="s">
        <v>493</v>
      </c>
      <c r="AO1914" s="15" t="s">
        <v>56</v>
      </c>
      <c r="AP1914" s="15" t="s">
        <v>496</v>
      </c>
      <c r="AQ1914" s="15" t="s">
        <v>56</v>
      </c>
      <c r="AR1914" s="15" t="s">
        <v>58</v>
      </c>
      <c r="AS1914" s="15" t="s">
        <v>62</v>
      </c>
      <c r="AT1914" s="15"/>
      <c r="AU1914" s="45" t="s">
        <v>495</v>
      </c>
      <c r="AV1914" s="15"/>
      <c r="AW1914" s="12" t="str">
        <f>B1914&amp;C1914&amp;L1914&amp;M1914&amp;O1914&amp;U1914&amp;AL1914&amp;AM1914</f>
        <v>SpainCabo de Palos – Islas Hormigas Marine ReserveDiplodus cervinusdensity2.46153851775148Garcia-Charton2008</v>
      </c>
    </row>
    <row r="1915" spans="1:49" ht="14.5" x14ac:dyDescent="0.35">
      <c r="A1915" s="12">
        <v>1914</v>
      </c>
      <c r="B1915" s="15" t="s">
        <v>477</v>
      </c>
      <c r="C1915" s="15" t="s">
        <v>478</v>
      </c>
      <c r="D1915" s="15" t="s">
        <v>478</v>
      </c>
      <c r="E1915" s="15" t="s">
        <v>68</v>
      </c>
      <c r="F1915" s="13" t="s">
        <v>50</v>
      </c>
      <c r="G1915" s="13" t="s">
        <v>51</v>
      </c>
      <c r="H1915" s="16" t="s">
        <v>481</v>
      </c>
      <c r="I1915" s="16" t="s">
        <v>53</v>
      </c>
      <c r="J1915" s="17">
        <v>19</v>
      </c>
      <c r="K1915" s="17"/>
      <c r="L1915" s="17"/>
      <c r="M1915" s="17" t="s">
        <v>500</v>
      </c>
      <c r="N1915" s="17" t="s">
        <v>98</v>
      </c>
      <c r="O1915" s="17" t="s">
        <v>86</v>
      </c>
      <c r="P1915" s="17"/>
      <c r="Q1915" s="17"/>
      <c r="R1915" s="17"/>
      <c r="S1915" s="17">
        <v>38.709679999999999</v>
      </c>
      <c r="T1915" s="17">
        <v>117.4194</v>
      </c>
      <c r="U1915" s="20">
        <f t="shared" si="131"/>
        <v>3.0333342977777136</v>
      </c>
      <c r="V1915" s="41">
        <f t="shared" si="128"/>
        <v>203.33342977777136</v>
      </c>
      <c r="W1915" s="17"/>
      <c r="X1915" s="17" t="s">
        <v>56</v>
      </c>
      <c r="Y1915" s="17"/>
      <c r="Z1915" s="17" t="s">
        <v>56</v>
      </c>
      <c r="AA1915" s="17"/>
      <c r="AB1915" s="17" t="s">
        <v>57</v>
      </c>
      <c r="AC1915" s="17">
        <v>1996</v>
      </c>
      <c r="AD1915" s="17">
        <v>10</v>
      </c>
      <c r="AE1915" s="17"/>
      <c r="AF1915" s="17"/>
      <c r="AG1915" s="17">
        <v>1995</v>
      </c>
      <c r="AH1915" s="14">
        <f t="shared" si="126"/>
        <v>1</v>
      </c>
      <c r="AI1915" s="17">
        <f t="shared" si="127"/>
        <v>11</v>
      </c>
      <c r="AJ1915" s="17"/>
      <c r="AK1915" s="17" t="s">
        <v>56</v>
      </c>
      <c r="AL1915" s="15" t="s">
        <v>492</v>
      </c>
      <c r="AM1915" s="17">
        <v>2008</v>
      </c>
      <c r="AN1915" s="15" t="s">
        <v>493</v>
      </c>
      <c r="AO1915" s="15" t="s">
        <v>56</v>
      </c>
      <c r="AP1915" s="15" t="s">
        <v>496</v>
      </c>
      <c r="AQ1915" s="15" t="s">
        <v>56</v>
      </c>
      <c r="AR1915" s="15" t="s">
        <v>58</v>
      </c>
      <c r="AS1915" s="15" t="s">
        <v>62</v>
      </c>
      <c r="AT1915" s="15"/>
      <c r="AU1915" s="45" t="s">
        <v>495</v>
      </c>
      <c r="AV1915" s="15"/>
      <c r="AW1915" s="12" t="str">
        <f>B1915&amp;C1915&amp;L1915&amp;M1915&amp;O1915&amp;U1915&amp;AL1915&amp;AM1915</f>
        <v>SpainCabo de Palos – Islas Hormigas Marine ReservePiscivorous demersal sppdensity3.03333429777771Garcia-Charton2008</v>
      </c>
    </row>
    <row r="1916" spans="1:49" ht="14.5" x14ac:dyDescent="0.35">
      <c r="A1916" s="12">
        <v>1915</v>
      </c>
      <c r="B1916" s="15" t="s">
        <v>1107</v>
      </c>
      <c r="C1916" s="15" t="s">
        <v>1108</v>
      </c>
      <c r="D1916" s="15" t="s">
        <v>2636</v>
      </c>
      <c r="E1916" s="15" t="s">
        <v>68</v>
      </c>
      <c r="F1916" s="13" t="s">
        <v>50</v>
      </c>
      <c r="G1916" s="13" t="s">
        <v>51</v>
      </c>
      <c r="H1916" s="16" t="s">
        <v>108</v>
      </c>
      <c r="I1916" s="16" t="s">
        <v>53</v>
      </c>
      <c r="J1916" s="17">
        <v>707</v>
      </c>
      <c r="K1916" s="17"/>
      <c r="L1916" s="17" t="s">
        <v>1114</v>
      </c>
      <c r="M1916" s="17"/>
      <c r="N1916" s="14" t="s">
        <v>85</v>
      </c>
      <c r="O1916" s="17" t="s">
        <v>86</v>
      </c>
      <c r="P1916" s="17"/>
      <c r="Q1916" s="17"/>
      <c r="R1916" s="17"/>
      <c r="S1916" s="17">
        <v>14.65517</v>
      </c>
      <c r="T1916" s="17">
        <v>76.724140000000006</v>
      </c>
      <c r="U1916" s="20">
        <f t="shared" si="131"/>
        <v>5.2352951211074323</v>
      </c>
      <c r="V1916" s="41">
        <f t="shared" si="128"/>
        <v>423.52951211074321</v>
      </c>
      <c r="W1916" s="17"/>
      <c r="X1916" s="17" t="s">
        <v>56</v>
      </c>
      <c r="Z1916" s="17" t="s">
        <v>56</v>
      </c>
      <c r="AA1916" s="17"/>
      <c r="AB1916" s="17" t="s">
        <v>57</v>
      </c>
      <c r="AC1916" s="17">
        <v>2001</v>
      </c>
      <c r="AD1916" s="17"/>
      <c r="AE1916" s="17"/>
      <c r="AF1916" s="17"/>
      <c r="AG1916" s="17">
        <v>1995</v>
      </c>
      <c r="AH1916" s="14">
        <f t="shared" si="126"/>
        <v>6</v>
      </c>
      <c r="AI1916" s="17" t="str">
        <f t="shared" si="127"/>
        <v/>
      </c>
      <c r="AJ1916" s="17"/>
      <c r="AK1916" s="17" t="s">
        <v>56</v>
      </c>
      <c r="AL1916" s="15" t="s">
        <v>492</v>
      </c>
      <c r="AM1916" s="17">
        <v>2008</v>
      </c>
      <c r="AN1916" s="15" t="s">
        <v>493</v>
      </c>
      <c r="AO1916" s="15" t="s">
        <v>56</v>
      </c>
      <c r="AP1916" s="15" t="s">
        <v>1115</v>
      </c>
      <c r="AQ1916" s="15" t="s">
        <v>56</v>
      </c>
      <c r="AR1916" s="15" t="s">
        <v>58</v>
      </c>
      <c r="AS1916" s="15" t="s">
        <v>62</v>
      </c>
      <c r="AT1916" s="15"/>
      <c r="AU1916" s="45" t="s">
        <v>495</v>
      </c>
      <c r="AV1916" s="15"/>
      <c r="AW1916" s="12" t="str">
        <f>B1916&amp;C1916&amp;L1916&amp;M1916&amp;O1916&amp;U1916&amp;AL1916&amp;AM1916</f>
        <v>Canary IslandsLa Graciosa no-take areaSparisoma cretensedensity5.23529512110743Garcia-Charton2008</v>
      </c>
    </row>
    <row r="1917" spans="1:49" ht="14.5" x14ac:dyDescent="0.35">
      <c r="A1917" s="12">
        <v>1916</v>
      </c>
      <c r="B1917" s="15" t="s">
        <v>1107</v>
      </c>
      <c r="C1917" s="15" t="s">
        <v>1108</v>
      </c>
      <c r="D1917" s="15" t="s">
        <v>2636</v>
      </c>
      <c r="E1917" s="15" t="s">
        <v>68</v>
      </c>
      <c r="F1917" s="16" t="s">
        <v>50</v>
      </c>
      <c r="G1917" s="16" t="s">
        <v>51</v>
      </c>
      <c r="H1917" s="16" t="s">
        <v>108</v>
      </c>
      <c r="I1917" s="16" t="s">
        <v>53</v>
      </c>
      <c r="J1917" s="17">
        <v>707</v>
      </c>
      <c r="K1917" s="17"/>
      <c r="L1917" s="17" t="s">
        <v>1116</v>
      </c>
      <c r="M1917" s="17"/>
      <c r="N1917" s="14" t="s">
        <v>85</v>
      </c>
      <c r="O1917" s="17" t="s">
        <v>86</v>
      </c>
      <c r="P1917" s="17"/>
      <c r="Q1917" s="17"/>
      <c r="R1917" s="17"/>
      <c r="S1917" s="17">
        <v>3.5194169999999998</v>
      </c>
      <c r="T1917" s="17">
        <v>7.5728160000000004</v>
      </c>
      <c r="U1917" s="20">
        <f t="shared" si="131"/>
        <v>2.1517245611986304</v>
      </c>
      <c r="V1917" s="41">
        <f t="shared" si="128"/>
        <v>115.17245611986304</v>
      </c>
      <c r="W1917" s="17"/>
      <c r="X1917" s="17" t="s">
        <v>56</v>
      </c>
      <c r="Y1917" s="17"/>
      <c r="Z1917" s="17" t="s">
        <v>56</v>
      </c>
      <c r="AA1917" s="17"/>
      <c r="AB1917" s="17" t="s">
        <v>57</v>
      </c>
      <c r="AC1917" s="17">
        <v>2001</v>
      </c>
      <c r="AD1917" s="17"/>
      <c r="AE1917" s="17"/>
      <c r="AF1917" s="17"/>
      <c r="AG1917" s="17">
        <v>1995</v>
      </c>
      <c r="AH1917" s="14">
        <f t="shared" si="126"/>
        <v>6</v>
      </c>
      <c r="AI1917" s="17" t="str">
        <f t="shared" si="127"/>
        <v/>
      </c>
      <c r="AJ1917" s="17"/>
      <c r="AK1917" s="17" t="s">
        <v>56</v>
      </c>
      <c r="AL1917" s="15" t="s">
        <v>492</v>
      </c>
      <c r="AM1917" s="17">
        <v>2008</v>
      </c>
      <c r="AN1917" s="15" t="s">
        <v>493</v>
      </c>
      <c r="AO1917" s="15" t="s">
        <v>56</v>
      </c>
      <c r="AP1917" s="15" t="s">
        <v>1115</v>
      </c>
      <c r="AQ1917" s="15" t="s">
        <v>56</v>
      </c>
      <c r="AR1917" s="15" t="s">
        <v>58</v>
      </c>
      <c r="AS1917" s="15" t="s">
        <v>62</v>
      </c>
      <c r="AT1917" s="15"/>
      <c r="AU1917" s="45" t="s">
        <v>495</v>
      </c>
      <c r="AV1917" s="15"/>
      <c r="AW1917" s="12" t="str">
        <f>B1917&amp;C1917&amp;L1917&amp;M1917&amp;O1917&amp;U1917&amp;AL1917&amp;AM1917</f>
        <v>Canary IslandsLa Graciosa no-take areaSerranus atricaudadensity2.15172456119863Garcia-Charton2008</v>
      </c>
    </row>
    <row r="1918" spans="1:49" ht="14.5" x14ac:dyDescent="0.35">
      <c r="A1918" s="12">
        <v>1917</v>
      </c>
      <c r="B1918" s="15" t="s">
        <v>1107</v>
      </c>
      <c r="C1918" s="15" t="s">
        <v>1108</v>
      </c>
      <c r="D1918" s="15" t="s">
        <v>2636</v>
      </c>
      <c r="E1918" s="15" t="s">
        <v>68</v>
      </c>
      <c r="F1918" s="13" t="s">
        <v>50</v>
      </c>
      <c r="G1918" s="13" t="s">
        <v>51</v>
      </c>
      <c r="H1918" s="16" t="s">
        <v>108</v>
      </c>
      <c r="I1918" s="16" t="s">
        <v>53</v>
      </c>
      <c r="J1918" s="17">
        <v>707</v>
      </c>
      <c r="K1918" s="17"/>
      <c r="L1918" s="17" t="s">
        <v>1117</v>
      </c>
      <c r="M1918" s="17"/>
      <c r="N1918" s="14" t="s">
        <v>85</v>
      </c>
      <c r="O1918" s="17" t="s">
        <v>86</v>
      </c>
      <c r="P1918" s="17"/>
      <c r="Q1918" s="17"/>
      <c r="R1918" s="17"/>
      <c r="S1918" s="17">
        <v>0.80645199999999995</v>
      </c>
      <c r="T1918" s="17">
        <v>8.8709679999999995</v>
      </c>
      <c r="U1918" s="20">
        <f t="shared" si="131"/>
        <v>10.99999504000238</v>
      </c>
      <c r="V1918" s="41">
        <f t="shared" si="128"/>
        <v>999.99950400023806</v>
      </c>
      <c r="W1918" s="17"/>
      <c r="X1918" s="17" t="s">
        <v>56</v>
      </c>
      <c r="Z1918" s="17" t="s">
        <v>56</v>
      </c>
      <c r="AA1918" s="17"/>
      <c r="AB1918" s="17" t="s">
        <v>57</v>
      </c>
      <c r="AC1918" s="17">
        <v>2001</v>
      </c>
      <c r="AD1918" s="17"/>
      <c r="AE1918" s="17"/>
      <c r="AF1918" s="17"/>
      <c r="AG1918" s="17">
        <v>1995</v>
      </c>
      <c r="AH1918" s="14">
        <f t="shared" si="126"/>
        <v>6</v>
      </c>
      <c r="AI1918" s="17" t="str">
        <f t="shared" si="127"/>
        <v/>
      </c>
      <c r="AJ1918" s="17"/>
      <c r="AK1918" s="17" t="s">
        <v>56</v>
      </c>
      <c r="AL1918" s="15" t="s">
        <v>492</v>
      </c>
      <c r="AM1918" s="17">
        <v>2008</v>
      </c>
      <c r="AN1918" s="15" t="s">
        <v>493</v>
      </c>
      <c r="AO1918" s="15" t="s">
        <v>56</v>
      </c>
      <c r="AP1918" s="15" t="s">
        <v>1115</v>
      </c>
      <c r="AQ1918" s="15" t="s">
        <v>56</v>
      </c>
      <c r="AR1918" s="15" t="s">
        <v>58</v>
      </c>
      <c r="AS1918" s="15" t="s">
        <v>62</v>
      </c>
      <c r="AT1918" s="15"/>
      <c r="AU1918" s="45" t="s">
        <v>495</v>
      </c>
      <c r="AV1918" s="15"/>
      <c r="AW1918" s="12" t="str">
        <f>B1918&amp;C1918&amp;L1918&amp;M1918&amp;O1918&amp;U1918&amp;AL1918&amp;AM1918</f>
        <v>Canary IslandsLa Graciosa no-take areaMycteroperca fuscadensity10.9999950400024Garcia-Charton2008</v>
      </c>
    </row>
    <row r="1919" spans="1:49" ht="14.5" x14ac:dyDescent="0.35">
      <c r="A1919" s="12">
        <v>1918</v>
      </c>
      <c r="B1919" s="15" t="s">
        <v>66</v>
      </c>
      <c r="C1919" s="15" t="s">
        <v>1298</v>
      </c>
      <c r="D1919" s="15" t="s">
        <v>1298</v>
      </c>
      <c r="E1919" s="15" t="s">
        <v>68</v>
      </c>
      <c r="F1919" s="16" t="s">
        <v>50</v>
      </c>
      <c r="G1919" s="16" t="s">
        <v>51</v>
      </c>
      <c r="H1919" s="16" t="s">
        <v>52</v>
      </c>
      <c r="I1919" s="16" t="s">
        <v>53</v>
      </c>
      <c r="J1919" s="17"/>
      <c r="K1919" s="17">
        <v>12</v>
      </c>
      <c r="L1919" s="47" t="s">
        <v>553</v>
      </c>
      <c r="M1919" s="17" t="s">
        <v>567</v>
      </c>
      <c r="N1919" s="47" t="s">
        <v>170</v>
      </c>
      <c r="O1919" s="17" t="s">
        <v>70</v>
      </c>
      <c r="P1919" s="17"/>
      <c r="Q1919" s="17"/>
      <c r="R1919" s="17"/>
      <c r="S1919" s="17"/>
      <c r="T1919" s="17"/>
      <c r="U1919" s="17">
        <v>4.12</v>
      </c>
      <c r="V1919" s="41">
        <f t="shared" si="128"/>
        <v>312</v>
      </c>
      <c r="W1919" s="17"/>
      <c r="X1919" s="17" t="s">
        <v>56</v>
      </c>
      <c r="Z1919" s="17" t="s">
        <v>56</v>
      </c>
      <c r="AA1919" s="17"/>
      <c r="AB1919" s="17" t="s">
        <v>57</v>
      </c>
      <c r="AC1919" s="17">
        <v>1992</v>
      </c>
      <c r="AD1919" s="17">
        <v>26</v>
      </c>
      <c r="AE1919" s="17"/>
      <c r="AF1919" s="17"/>
      <c r="AG1919" s="17">
        <v>1992</v>
      </c>
      <c r="AH1919" s="14">
        <f t="shared" si="126"/>
        <v>0</v>
      </c>
      <c r="AI1919" s="17">
        <f t="shared" si="127"/>
        <v>26</v>
      </c>
      <c r="AJ1919" s="17"/>
      <c r="AK1919" s="17" t="s">
        <v>58</v>
      </c>
      <c r="AL1919" s="15" t="s">
        <v>71</v>
      </c>
      <c r="AM1919" s="17">
        <v>2009</v>
      </c>
      <c r="AN1919" s="15" t="s">
        <v>72</v>
      </c>
      <c r="AO1919" s="15" t="s">
        <v>56</v>
      </c>
      <c r="AP1919" s="15"/>
      <c r="AQ1919" s="15" t="s">
        <v>56</v>
      </c>
      <c r="AR1919" s="15" t="s">
        <v>58</v>
      </c>
      <c r="AS1919" s="15" t="s">
        <v>62</v>
      </c>
      <c r="AT1919" s="15"/>
      <c r="AU1919" s="45"/>
      <c r="AV1919" s="15"/>
      <c r="AW1919" s="12" t="str">
        <f>B1919&amp;C1919&amp;L1919&amp;M1919&amp;O1919&amp;U1919&amp;AL1919&amp;AM1919</f>
        <v>AustraliaMaria Island Marine Nature ReservePalinuridaerock lobsterbiomassden4.12Edgar2009</v>
      </c>
    </row>
    <row r="1920" spans="1:49" ht="14.5" x14ac:dyDescent="0.35">
      <c r="A1920" s="12">
        <v>1919</v>
      </c>
      <c r="B1920" s="15" t="s">
        <v>66</v>
      </c>
      <c r="C1920" s="15" t="s">
        <v>1981</v>
      </c>
      <c r="D1920" s="15" t="s">
        <v>1982</v>
      </c>
      <c r="E1920" s="15" t="s">
        <v>68</v>
      </c>
      <c r="F1920" s="13" t="s">
        <v>50</v>
      </c>
      <c r="G1920" s="13" t="s">
        <v>51</v>
      </c>
      <c r="H1920" s="16" t="s">
        <v>52</v>
      </c>
      <c r="I1920" s="16" t="s">
        <v>53</v>
      </c>
      <c r="J1920" s="17"/>
      <c r="K1920" s="17">
        <v>7.72</v>
      </c>
      <c r="L1920" s="47" t="s">
        <v>553</v>
      </c>
      <c r="M1920" s="17" t="s">
        <v>567</v>
      </c>
      <c r="N1920" s="47" t="s">
        <v>170</v>
      </c>
      <c r="O1920" s="17" t="s">
        <v>70</v>
      </c>
      <c r="P1920" s="17"/>
      <c r="Q1920" s="17"/>
      <c r="R1920" s="17"/>
      <c r="S1920" s="17"/>
      <c r="T1920" s="17"/>
      <c r="U1920" s="17">
        <v>5.44</v>
      </c>
      <c r="V1920" s="41">
        <f t="shared" si="128"/>
        <v>444.00000000000006</v>
      </c>
      <c r="W1920" s="17"/>
      <c r="X1920" s="17" t="s">
        <v>58</v>
      </c>
      <c r="Z1920" s="17" t="s">
        <v>56</v>
      </c>
      <c r="AA1920" s="17"/>
      <c r="AB1920" s="17" t="s">
        <v>57</v>
      </c>
      <c r="AC1920" s="17">
        <v>1992</v>
      </c>
      <c r="AD1920" s="17">
        <v>26</v>
      </c>
      <c r="AE1920" s="17"/>
      <c r="AF1920" s="17"/>
      <c r="AG1920" s="14">
        <v>1992</v>
      </c>
      <c r="AH1920" s="14">
        <f t="shared" ref="AH1920:AH1983" si="132">IF(OR(AG1920="NA",AC1920="NA"),"NA",IF(OR(AC1920="",AG1920=""), "", AC1920-AG1920))</f>
        <v>0</v>
      </c>
      <c r="AI1920" s="17">
        <f t="shared" ref="AI1920:AI1983" si="133">IF(AH1920="NA", "NA",IF(OR(AH1920="",AND(AD1920="",AE1920="")), "",AH1920+AD1920+AE1920/12))</f>
        <v>26</v>
      </c>
      <c r="AJ1920" s="17"/>
      <c r="AK1920" s="17" t="s">
        <v>58</v>
      </c>
      <c r="AL1920" s="15" t="s">
        <v>71</v>
      </c>
      <c r="AM1920" s="17">
        <v>2009</v>
      </c>
      <c r="AN1920" s="15" t="s">
        <v>72</v>
      </c>
      <c r="AO1920" s="15" t="s">
        <v>56</v>
      </c>
      <c r="AP1920" s="15"/>
      <c r="AQ1920" s="15" t="s">
        <v>56</v>
      </c>
      <c r="AR1920" s="15" t="s">
        <v>58</v>
      </c>
      <c r="AS1920" s="15" t="s">
        <v>62</v>
      </c>
      <c r="AT1920" s="15"/>
      <c r="AU1920" s="45"/>
      <c r="AV1920" s="15"/>
      <c r="AW1920" s="12" t="str">
        <f>B1920&amp;C1920&amp;L1920&amp;M1920&amp;O1920&amp;U1920&amp;AL1920&amp;AM1920</f>
        <v>AustraliaTinderbox and Ninepoint Marine Reserve sanctuary zones NetworkPalinuridaerock lobsterbiomassden5.44Edgar2009</v>
      </c>
    </row>
    <row r="1921" spans="1:49" ht="14.5" x14ac:dyDescent="0.35">
      <c r="A1921" s="12">
        <v>1920</v>
      </c>
      <c r="B1921" s="15" t="s">
        <v>66</v>
      </c>
      <c r="C1921" s="15" t="s">
        <v>1298</v>
      </c>
      <c r="D1921" s="15" t="s">
        <v>1298</v>
      </c>
      <c r="E1921" s="15" t="s">
        <v>68</v>
      </c>
      <c r="F1921" s="13" t="s">
        <v>50</v>
      </c>
      <c r="G1921" s="13" t="s">
        <v>51</v>
      </c>
      <c r="H1921" s="16" t="s">
        <v>52</v>
      </c>
      <c r="I1921" s="16" t="s">
        <v>53</v>
      </c>
      <c r="J1921" s="17"/>
      <c r="K1921" s="17">
        <v>12</v>
      </c>
      <c r="L1921" s="17"/>
      <c r="M1921" s="17" t="s">
        <v>1354</v>
      </c>
      <c r="N1921" s="53" t="s">
        <v>98</v>
      </c>
      <c r="O1921" s="17" t="s">
        <v>70</v>
      </c>
      <c r="P1921" s="17"/>
      <c r="Q1921" s="17"/>
      <c r="R1921" s="17"/>
      <c r="S1921" s="17"/>
      <c r="T1921" s="17"/>
      <c r="U1921" s="17">
        <v>3.18</v>
      </c>
      <c r="V1921" s="41">
        <f t="shared" si="128"/>
        <v>218.00000000000003</v>
      </c>
      <c r="W1921" s="17"/>
      <c r="X1921" s="17" t="s">
        <v>56</v>
      </c>
      <c r="Z1921" s="17" t="s">
        <v>56</v>
      </c>
      <c r="AA1921" s="17"/>
      <c r="AB1921" s="17" t="s">
        <v>57</v>
      </c>
      <c r="AC1921" s="17">
        <v>1992</v>
      </c>
      <c r="AD1921" s="17">
        <v>26</v>
      </c>
      <c r="AE1921" s="17"/>
      <c r="AF1921" s="17"/>
      <c r="AG1921" s="14">
        <v>1992</v>
      </c>
      <c r="AH1921" s="14">
        <f t="shared" si="132"/>
        <v>0</v>
      </c>
      <c r="AI1921" s="17">
        <f t="shared" si="133"/>
        <v>26</v>
      </c>
      <c r="AJ1921" s="17"/>
      <c r="AK1921" s="17" t="s">
        <v>58</v>
      </c>
      <c r="AL1921" s="15" t="s">
        <v>71</v>
      </c>
      <c r="AM1921" s="17">
        <v>2009</v>
      </c>
      <c r="AN1921" s="15" t="s">
        <v>72</v>
      </c>
      <c r="AO1921" s="15" t="s">
        <v>56</v>
      </c>
      <c r="AP1921" s="15"/>
      <c r="AQ1921" s="15" t="s">
        <v>56</v>
      </c>
      <c r="AR1921" s="15" t="s">
        <v>58</v>
      </c>
      <c r="AS1921" s="15" t="s">
        <v>62</v>
      </c>
      <c r="AT1921" s="15"/>
      <c r="AU1921" s="45"/>
      <c r="AV1921" s="15"/>
      <c r="AW1921" s="12" t="str">
        <f>B1921&amp;C1921&amp;L1921&amp;M1921&amp;O1921&amp;U1921&amp;AL1921&amp;AM1921</f>
        <v>AustraliaMaria Island Marine Nature Reservelarge fishbiomassden3.18Edgar2009</v>
      </c>
    </row>
    <row r="1922" spans="1:49" ht="14.5" x14ac:dyDescent="0.35">
      <c r="A1922" s="12">
        <v>1921</v>
      </c>
      <c r="B1922" s="15" t="s">
        <v>66</v>
      </c>
      <c r="C1922" s="15" t="s">
        <v>1981</v>
      </c>
      <c r="D1922" s="15" t="s">
        <v>1982</v>
      </c>
      <c r="E1922" s="15" t="s">
        <v>68</v>
      </c>
      <c r="F1922" s="16" t="s">
        <v>50</v>
      </c>
      <c r="G1922" s="16" t="s">
        <v>51</v>
      </c>
      <c r="H1922" s="16" t="s">
        <v>52</v>
      </c>
      <c r="I1922" s="16" t="s">
        <v>53</v>
      </c>
      <c r="J1922" s="17"/>
      <c r="K1922" s="17">
        <v>7.72</v>
      </c>
      <c r="L1922" s="17"/>
      <c r="M1922" s="17" t="s">
        <v>1354</v>
      </c>
      <c r="N1922" s="53" t="s">
        <v>98</v>
      </c>
      <c r="O1922" s="17" t="s">
        <v>70</v>
      </c>
      <c r="P1922" s="17"/>
      <c r="Q1922" s="17"/>
      <c r="R1922" s="17"/>
      <c r="S1922" s="17"/>
      <c r="T1922" s="17"/>
      <c r="U1922" s="17">
        <v>5.23</v>
      </c>
      <c r="V1922" s="41">
        <f t="shared" ref="V1922:V1985" si="134">IFERROR(IF(U1922 = "", "",(U1922-1)*100),"N/A")</f>
        <v>423.00000000000006</v>
      </c>
      <c r="W1922" s="17"/>
      <c r="X1922" s="17" t="s">
        <v>58</v>
      </c>
      <c r="Z1922" s="17" t="s">
        <v>56</v>
      </c>
      <c r="AA1922" s="17"/>
      <c r="AB1922" s="17" t="s">
        <v>57</v>
      </c>
      <c r="AC1922" s="17">
        <v>1992</v>
      </c>
      <c r="AD1922" s="17">
        <v>26</v>
      </c>
      <c r="AE1922" s="17"/>
      <c r="AF1922" s="17"/>
      <c r="AG1922" s="14">
        <v>1992</v>
      </c>
      <c r="AH1922" s="14">
        <f t="shared" si="132"/>
        <v>0</v>
      </c>
      <c r="AI1922" s="17">
        <f t="shared" si="133"/>
        <v>26</v>
      </c>
      <c r="AJ1922" s="17"/>
      <c r="AK1922" s="17" t="s">
        <v>58</v>
      </c>
      <c r="AL1922" s="15" t="s">
        <v>71</v>
      </c>
      <c r="AM1922" s="17">
        <v>2009</v>
      </c>
      <c r="AN1922" s="15" t="s">
        <v>72</v>
      </c>
      <c r="AO1922" s="15" t="s">
        <v>56</v>
      </c>
      <c r="AP1922" s="15"/>
      <c r="AQ1922" s="15" t="s">
        <v>56</v>
      </c>
      <c r="AR1922" s="15" t="s">
        <v>58</v>
      </c>
      <c r="AS1922" s="15" t="s">
        <v>62</v>
      </c>
      <c r="AT1922" s="15"/>
      <c r="AU1922" s="45"/>
      <c r="AV1922" s="15"/>
      <c r="AW1922" s="12" t="str">
        <f>B1922&amp;C1922&amp;L1922&amp;M1922&amp;O1922&amp;U1922&amp;AL1922&amp;AM1922</f>
        <v>AustraliaTinderbox and Ninepoint Marine Reserve sanctuary zones Networklarge fishbiomassden5.23Edgar2009</v>
      </c>
    </row>
    <row r="1923" spans="1:49" ht="14.5" x14ac:dyDescent="0.35">
      <c r="A1923" s="12">
        <v>1922</v>
      </c>
      <c r="B1923" s="15" t="s">
        <v>66</v>
      </c>
      <c r="C1923" s="15" t="s">
        <v>1298</v>
      </c>
      <c r="D1923" s="15" t="s">
        <v>1298</v>
      </c>
      <c r="E1923" s="15" t="s">
        <v>68</v>
      </c>
      <c r="F1923" s="13" t="s">
        <v>50</v>
      </c>
      <c r="G1923" s="13" t="s">
        <v>51</v>
      </c>
      <c r="H1923" s="16" t="s">
        <v>52</v>
      </c>
      <c r="I1923" s="16" t="s">
        <v>53</v>
      </c>
      <c r="J1923" s="17"/>
      <c r="K1923" s="17">
        <v>12</v>
      </c>
      <c r="L1923" s="17" t="s">
        <v>445</v>
      </c>
      <c r="M1923" s="17" t="s">
        <v>946</v>
      </c>
      <c r="N1923" s="14" t="s">
        <v>446</v>
      </c>
      <c r="O1923" s="17" t="s">
        <v>86</v>
      </c>
      <c r="P1923" s="17"/>
      <c r="Q1923" s="17"/>
      <c r="R1923" s="17"/>
      <c r="S1923" s="17"/>
      <c r="T1923" s="17"/>
      <c r="U1923" s="17">
        <v>0.44</v>
      </c>
      <c r="V1923" s="41">
        <f t="shared" si="134"/>
        <v>-56.000000000000007</v>
      </c>
      <c r="W1923" s="17"/>
      <c r="X1923" s="17" t="s">
        <v>56</v>
      </c>
      <c r="Z1923" s="17" t="s">
        <v>56</v>
      </c>
      <c r="AA1923" s="17"/>
      <c r="AB1923" s="17" t="s">
        <v>57</v>
      </c>
      <c r="AC1923" s="17">
        <v>1992</v>
      </c>
      <c r="AD1923" s="17">
        <v>26</v>
      </c>
      <c r="AE1923" s="17"/>
      <c r="AF1923" s="17"/>
      <c r="AG1923" s="14">
        <v>1992</v>
      </c>
      <c r="AH1923" s="14">
        <f t="shared" si="132"/>
        <v>0</v>
      </c>
      <c r="AI1923" s="17">
        <f t="shared" si="133"/>
        <v>26</v>
      </c>
      <c r="AJ1923" s="17"/>
      <c r="AK1923" s="17" t="s">
        <v>58</v>
      </c>
      <c r="AL1923" s="15" t="s">
        <v>71</v>
      </c>
      <c r="AM1923" s="17">
        <v>2009</v>
      </c>
      <c r="AN1923" s="15" t="s">
        <v>72</v>
      </c>
      <c r="AO1923" s="15" t="s">
        <v>56</v>
      </c>
      <c r="AP1923" s="15"/>
      <c r="AQ1923" s="15" t="s">
        <v>56</v>
      </c>
      <c r="AR1923" s="15" t="s">
        <v>58</v>
      </c>
      <c r="AS1923" s="15" t="s">
        <v>62</v>
      </c>
      <c r="AT1923" s="15"/>
      <c r="AU1923" s="45"/>
      <c r="AV1923" s="15"/>
      <c r="AW1923" s="12" t="str">
        <f>B1923&amp;C1923&amp;L1923&amp;M1923&amp;O1923&amp;U1923&amp;AL1923&amp;AM1923</f>
        <v>AustraliaMaria Island Marine Nature ReserveEchinoideasea urchindensity0.44Edgar2009</v>
      </c>
    </row>
    <row r="1924" spans="1:49" ht="14.5" x14ac:dyDescent="0.35">
      <c r="A1924" s="12">
        <v>1923</v>
      </c>
      <c r="B1924" s="15" t="s">
        <v>66</v>
      </c>
      <c r="C1924" s="15" t="s">
        <v>1981</v>
      </c>
      <c r="D1924" s="12" t="s">
        <v>1982</v>
      </c>
      <c r="E1924" s="15" t="s">
        <v>68</v>
      </c>
      <c r="F1924" s="16" t="s">
        <v>50</v>
      </c>
      <c r="G1924" s="16" t="s">
        <v>51</v>
      </c>
      <c r="H1924" s="16" t="s">
        <v>52</v>
      </c>
      <c r="I1924" s="16" t="s">
        <v>53</v>
      </c>
      <c r="K1924" s="17">
        <v>7.72</v>
      </c>
      <c r="L1924" s="17" t="s">
        <v>445</v>
      </c>
      <c r="M1924" s="17" t="s">
        <v>946</v>
      </c>
      <c r="N1924" s="14" t="s">
        <v>446</v>
      </c>
      <c r="O1924" s="17" t="s">
        <v>86</v>
      </c>
      <c r="P1924" s="17"/>
      <c r="Q1924" s="17"/>
      <c r="R1924" s="17"/>
      <c r="S1924" s="17"/>
      <c r="T1924" s="17"/>
      <c r="U1924" s="17">
        <v>0.39</v>
      </c>
      <c r="V1924" s="41">
        <f t="shared" si="134"/>
        <v>-61</v>
      </c>
      <c r="W1924" s="17"/>
      <c r="X1924" s="17" t="s">
        <v>58</v>
      </c>
      <c r="Y1924" s="17"/>
      <c r="Z1924" s="17" t="s">
        <v>56</v>
      </c>
      <c r="AA1924" s="17"/>
      <c r="AB1924" s="17" t="s">
        <v>57</v>
      </c>
      <c r="AC1924" s="17">
        <v>1992</v>
      </c>
      <c r="AD1924" s="17">
        <v>26</v>
      </c>
      <c r="AE1924" s="17"/>
      <c r="AF1924" s="17"/>
      <c r="AG1924" s="14">
        <v>1992</v>
      </c>
      <c r="AH1924" s="14">
        <f t="shared" si="132"/>
        <v>0</v>
      </c>
      <c r="AI1924" s="17">
        <f t="shared" si="133"/>
        <v>26</v>
      </c>
      <c r="AJ1924" s="17"/>
      <c r="AK1924" s="17" t="s">
        <v>58</v>
      </c>
      <c r="AL1924" s="15" t="s">
        <v>71</v>
      </c>
      <c r="AM1924" s="17">
        <v>2009</v>
      </c>
      <c r="AN1924" s="15" t="s">
        <v>72</v>
      </c>
      <c r="AO1924" s="15" t="s">
        <v>56</v>
      </c>
      <c r="AP1924" s="15"/>
      <c r="AQ1924" s="15" t="s">
        <v>56</v>
      </c>
      <c r="AR1924" s="15" t="s">
        <v>58</v>
      </c>
      <c r="AS1924" s="15" t="s">
        <v>62</v>
      </c>
      <c r="AT1924" s="15"/>
      <c r="AU1924" s="45"/>
      <c r="AV1924" s="15"/>
      <c r="AW1924" s="12" t="str">
        <f>B1924&amp;C1924&amp;L1924&amp;M1924&amp;O1924&amp;U1924&amp;AL1924&amp;AM1924</f>
        <v>AustraliaTinderbox and Ninepoint Marine Reserve sanctuary zones NetworkEchinoideasea urchindensity0.39Edgar2009</v>
      </c>
    </row>
    <row r="1925" spans="1:49" ht="14.5" x14ac:dyDescent="0.35">
      <c r="A1925" s="12">
        <v>1924</v>
      </c>
      <c r="B1925" s="12" t="s">
        <v>66</v>
      </c>
      <c r="C1925" s="12" t="s">
        <v>1298</v>
      </c>
      <c r="D1925" s="12" t="s">
        <v>1298</v>
      </c>
      <c r="E1925" s="12" t="s">
        <v>68</v>
      </c>
      <c r="F1925" s="13" t="s">
        <v>50</v>
      </c>
      <c r="G1925" s="13" t="s">
        <v>51</v>
      </c>
      <c r="H1925" s="13" t="s">
        <v>52</v>
      </c>
      <c r="I1925" s="13" t="s">
        <v>53</v>
      </c>
      <c r="J1925" s="17"/>
      <c r="K1925" s="17">
        <v>12</v>
      </c>
      <c r="L1925" s="17" t="s">
        <v>1355</v>
      </c>
      <c r="M1925" s="14" t="s">
        <v>1356</v>
      </c>
      <c r="N1925" s="14" t="s">
        <v>446</v>
      </c>
      <c r="O1925" s="17" t="s">
        <v>86</v>
      </c>
      <c r="P1925" s="14"/>
      <c r="Q1925" s="14"/>
      <c r="R1925" s="14"/>
      <c r="S1925" s="14"/>
      <c r="T1925" s="14"/>
      <c r="U1925" s="14">
        <v>0.27</v>
      </c>
      <c r="V1925" s="41">
        <f t="shared" si="134"/>
        <v>-73</v>
      </c>
      <c r="W1925" s="14"/>
      <c r="X1925" s="17" t="s">
        <v>56</v>
      </c>
      <c r="Z1925" s="14" t="s">
        <v>56</v>
      </c>
      <c r="AA1925" s="14"/>
      <c r="AB1925" s="14" t="s">
        <v>57</v>
      </c>
      <c r="AC1925" s="14">
        <v>1992</v>
      </c>
      <c r="AD1925" s="14">
        <v>26</v>
      </c>
      <c r="AE1925" s="14"/>
      <c r="AF1925" s="14"/>
      <c r="AG1925" s="14">
        <v>1992</v>
      </c>
      <c r="AH1925" s="14">
        <f t="shared" si="132"/>
        <v>0</v>
      </c>
      <c r="AI1925" s="17">
        <f t="shared" si="133"/>
        <v>26</v>
      </c>
      <c r="AJ1925" s="14"/>
      <c r="AK1925" s="14" t="s">
        <v>58</v>
      </c>
      <c r="AL1925" s="12" t="s">
        <v>71</v>
      </c>
      <c r="AM1925" s="14">
        <v>2009</v>
      </c>
      <c r="AN1925" s="12" t="s">
        <v>72</v>
      </c>
      <c r="AO1925" s="12" t="s">
        <v>56</v>
      </c>
      <c r="AP1925" s="12"/>
      <c r="AQ1925" s="12" t="s">
        <v>56</v>
      </c>
      <c r="AR1925" s="12" t="s">
        <v>58</v>
      </c>
      <c r="AS1925" s="12" t="s">
        <v>62</v>
      </c>
      <c r="AT1925" s="12"/>
      <c r="AU1925" s="45"/>
      <c r="AV1925" s="15"/>
      <c r="AW1925" s="12" t="str">
        <f>B1925&amp;C1925&amp;L1925&amp;M1925&amp;O1925&amp;U1925&amp;AL1925&amp;AM1925</f>
        <v>AustraliaMaria Island Marine Nature ReserveGastropodagastropoddensity0.27Edgar2009</v>
      </c>
    </row>
    <row r="1926" spans="1:49" ht="14.5" x14ac:dyDescent="0.35">
      <c r="A1926" s="12">
        <v>1925</v>
      </c>
      <c r="B1926" s="15" t="s">
        <v>66</v>
      </c>
      <c r="C1926" s="15" t="s">
        <v>1981</v>
      </c>
      <c r="D1926" s="12" t="s">
        <v>1982</v>
      </c>
      <c r="E1926" s="15" t="s">
        <v>68</v>
      </c>
      <c r="F1926" s="13" t="s">
        <v>50</v>
      </c>
      <c r="G1926" s="13" t="s">
        <v>51</v>
      </c>
      <c r="H1926" s="16" t="s">
        <v>52</v>
      </c>
      <c r="I1926" s="16" t="s">
        <v>53</v>
      </c>
      <c r="J1926" s="17"/>
      <c r="K1926" s="17">
        <v>7.72</v>
      </c>
      <c r="L1926" s="17" t="s">
        <v>1355</v>
      </c>
      <c r="M1926" s="17" t="s">
        <v>1356</v>
      </c>
      <c r="N1926" s="14" t="s">
        <v>446</v>
      </c>
      <c r="O1926" s="17" t="s">
        <v>86</v>
      </c>
      <c r="P1926" s="17"/>
      <c r="Q1926" s="17"/>
      <c r="R1926" s="17"/>
      <c r="S1926" s="17"/>
      <c r="T1926" s="17"/>
      <c r="U1926" s="17">
        <v>0.32</v>
      </c>
      <c r="V1926" s="41">
        <f t="shared" si="134"/>
        <v>-68</v>
      </c>
      <c r="W1926" s="17"/>
      <c r="X1926" s="17" t="s">
        <v>58</v>
      </c>
      <c r="Y1926" s="17"/>
      <c r="Z1926" s="17" t="s">
        <v>56</v>
      </c>
      <c r="AA1926" s="17"/>
      <c r="AB1926" s="17" t="s">
        <v>57</v>
      </c>
      <c r="AC1926" s="17">
        <v>1992</v>
      </c>
      <c r="AD1926" s="17">
        <v>26</v>
      </c>
      <c r="AE1926" s="17"/>
      <c r="AF1926" s="17"/>
      <c r="AG1926" s="14">
        <v>1992</v>
      </c>
      <c r="AH1926" s="14">
        <f t="shared" si="132"/>
        <v>0</v>
      </c>
      <c r="AI1926" s="17">
        <f t="shared" si="133"/>
        <v>26</v>
      </c>
      <c r="AJ1926" s="17"/>
      <c r="AK1926" s="17" t="s">
        <v>58</v>
      </c>
      <c r="AL1926" s="15" t="s">
        <v>71</v>
      </c>
      <c r="AM1926" s="17">
        <v>2009</v>
      </c>
      <c r="AN1926" s="15" t="s">
        <v>72</v>
      </c>
      <c r="AO1926" s="15" t="s">
        <v>56</v>
      </c>
      <c r="AP1926" s="15"/>
      <c r="AQ1926" s="15" t="s">
        <v>56</v>
      </c>
      <c r="AR1926" s="15" t="s">
        <v>58</v>
      </c>
      <c r="AS1926" s="15" t="s">
        <v>62</v>
      </c>
      <c r="AT1926" s="15"/>
      <c r="AU1926" s="45"/>
      <c r="AV1926" s="15"/>
      <c r="AW1926" s="12" t="str">
        <f>B1926&amp;C1926&amp;L1926&amp;M1926&amp;O1926&amp;U1926&amp;AL1926&amp;AM1926</f>
        <v>AustraliaTinderbox and Ninepoint Marine Reserve sanctuary zones NetworkGastropodagastropoddensity0.32Edgar2009</v>
      </c>
    </row>
    <row r="1927" spans="1:49" ht="14.5" x14ac:dyDescent="0.35">
      <c r="A1927" s="12">
        <v>1926</v>
      </c>
      <c r="B1927" s="12" t="s">
        <v>66</v>
      </c>
      <c r="C1927" s="44" t="s">
        <v>1651</v>
      </c>
      <c r="D1927" s="44" t="s">
        <v>1652</v>
      </c>
      <c r="E1927" s="12" t="s">
        <v>68</v>
      </c>
      <c r="F1927" s="13" t="s">
        <v>50</v>
      </c>
      <c r="G1927" s="13" t="s">
        <v>51</v>
      </c>
      <c r="H1927" s="13" t="s">
        <v>52</v>
      </c>
      <c r="I1927" s="13" t="s">
        <v>53</v>
      </c>
      <c r="K1927" s="17">
        <v>32</v>
      </c>
      <c r="L1927" s="14"/>
      <c r="M1927" s="14" t="s">
        <v>69</v>
      </c>
      <c r="N1927" s="14" t="s">
        <v>1070</v>
      </c>
      <c r="O1927" s="17" t="s">
        <v>70</v>
      </c>
      <c r="P1927" s="14"/>
      <c r="Q1927" s="14"/>
      <c r="R1927" s="14"/>
      <c r="S1927" s="14"/>
      <c r="T1927" s="14"/>
      <c r="U1927" s="14">
        <v>2.93</v>
      </c>
      <c r="V1927" s="41">
        <f t="shared" si="134"/>
        <v>193.00000000000003</v>
      </c>
      <c r="W1927" s="14"/>
      <c r="X1927" s="14" t="s">
        <v>58</v>
      </c>
      <c r="Z1927" s="14" t="s">
        <v>58</v>
      </c>
      <c r="AA1927" s="14"/>
      <c r="AB1927" s="14" t="s">
        <v>57</v>
      </c>
      <c r="AC1927" s="14">
        <v>2007</v>
      </c>
      <c r="AD1927" s="14">
        <v>1</v>
      </c>
      <c r="AE1927" s="14"/>
      <c r="AF1927" s="14"/>
      <c r="AG1927" s="14">
        <v>1987</v>
      </c>
      <c r="AH1927" s="14">
        <f t="shared" si="132"/>
        <v>20</v>
      </c>
      <c r="AI1927" s="17">
        <f t="shared" si="133"/>
        <v>21</v>
      </c>
      <c r="AJ1927" s="14"/>
      <c r="AK1927" s="14" t="s">
        <v>56</v>
      </c>
      <c r="AL1927" s="12" t="s">
        <v>71</v>
      </c>
      <c r="AM1927" s="14">
        <v>2009</v>
      </c>
      <c r="AN1927" s="12" t="s">
        <v>72</v>
      </c>
      <c r="AO1927" s="12" t="s">
        <v>56</v>
      </c>
      <c r="AP1927" s="12"/>
      <c r="AQ1927" s="12" t="s">
        <v>56</v>
      </c>
      <c r="AR1927" s="12" t="s">
        <v>58</v>
      </c>
      <c r="AS1927" s="12" t="s">
        <v>62</v>
      </c>
      <c r="AT1927" s="12"/>
      <c r="AU1927" s="45" t="s">
        <v>73</v>
      </c>
      <c r="AV1927" s="15"/>
      <c r="AW1927" s="12" t="str">
        <f>B1927&amp;C1927&amp;L1927&amp;M1927&amp;O1927&amp;U1927&amp;AL1927&amp;AM1927</f>
        <v>AustraliaPort Phillip Heads Marine National Park Networkfishbiomassden2.93Edgar2009</v>
      </c>
    </row>
    <row r="1928" spans="1:49" ht="14.5" x14ac:dyDescent="0.35">
      <c r="A1928" s="12">
        <v>1927</v>
      </c>
      <c r="B1928" s="15" t="s">
        <v>66</v>
      </c>
      <c r="C1928" s="15" t="s">
        <v>2575</v>
      </c>
      <c r="D1928" s="12" t="s">
        <v>67</v>
      </c>
      <c r="E1928" s="15" t="s">
        <v>68</v>
      </c>
      <c r="F1928" s="16" t="s">
        <v>50</v>
      </c>
      <c r="G1928" s="16" t="s">
        <v>51</v>
      </c>
      <c r="H1928" s="16" t="s">
        <v>52</v>
      </c>
      <c r="I1928" s="16" t="s">
        <v>53</v>
      </c>
      <c r="K1928" s="17">
        <v>2548</v>
      </c>
      <c r="L1928" s="17"/>
      <c r="M1928" s="17" t="s">
        <v>69</v>
      </c>
      <c r="N1928" s="14" t="s">
        <v>1070</v>
      </c>
      <c r="O1928" s="17" t="s">
        <v>70</v>
      </c>
      <c r="P1928" s="17"/>
      <c r="Q1928" s="17"/>
      <c r="R1928" s="17"/>
      <c r="S1928" s="17"/>
      <c r="T1928" s="17"/>
      <c r="U1928" s="17">
        <v>2.14</v>
      </c>
      <c r="V1928" s="41">
        <f t="shared" si="134"/>
        <v>114.00000000000001</v>
      </c>
      <c r="W1928" s="17"/>
      <c r="X1928" s="17" t="s">
        <v>58</v>
      </c>
      <c r="Y1928" s="17"/>
      <c r="Z1928" s="17" t="s">
        <v>58</v>
      </c>
      <c r="AA1928" s="17"/>
      <c r="AB1928" s="17" t="s">
        <v>57</v>
      </c>
      <c r="AC1928" s="17">
        <v>2007</v>
      </c>
      <c r="AD1928" s="17">
        <v>1</v>
      </c>
      <c r="AE1928" s="17"/>
      <c r="AF1928" s="17"/>
      <c r="AG1928" s="14">
        <v>1998</v>
      </c>
      <c r="AH1928" s="14">
        <f t="shared" si="132"/>
        <v>9</v>
      </c>
      <c r="AI1928" s="17">
        <f t="shared" si="133"/>
        <v>10</v>
      </c>
      <c r="AJ1928" s="17"/>
      <c r="AK1928" s="17" t="s">
        <v>56</v>
      </c>
      <c r="AL1928" s="15" t="s">
        <v>71</v>
      </c>
      <c r="AM1928" s="17">
        <v>2009</v>
      </c>
      <c r="AN1928" s="15" t="s">
        <v>72</v>
      </c>
      <c r="AO1928" s="15" t="s">
        <v>56</v>
      </c>
      <c r="AP1928" s="15"/>
      <c r="AQ1928" s="15" t="s">
        <v>56</v>
      </c>
      <c r="AR1928" s="15" t="s">
        <v>58</v>
      </c>
      <c r="AS1928" s="15" t="s">
        <v>62</v>
      </c>
      <c r="AT1928" s="15"/>
      <c r="AU1928" s="45" t="s">
        <v>73</v>
      </c>
      <c r="AV1928" s="15"/>
      <c r="AW1928" s="12" t="str">
        <f>B1928&amp;C1928&amp;L1928&amp;M1928&amp;O1928&amp;U1928&amp;AL1928&amp;AM1928</f>
        <v>AustraliaAbrolhos Island reef observation areafishbiomassden2.14Edgar2009</v>
      </c>
    </row>
    <row r="1929" spans="1:49" ht="14.5" x14ac:dyDescent="0.35">
      <c r="A1929" s="12">
        <v>1928</v>
      </c>
      <c r="B1929" s="15" t="s">
        <v>66</v>
      </c>
      <c r="C1929" s="15" t="s">
        <v>2562</v>
      </c>
      <c r="D1929" s="15" t="s">
        <v>453</v>
      </c>
      <c r="E1929" s="15" t="s">
        <v>68</v>
      </c>
      <c r="F1929" s="16" t="s">
        <v>50</v>
      </c>
      <c r="G1929" s="16" t="s">
        <v>51</v>
      </c>
      <c r="H1929" s="16" t="s">
        <v>52</v>
      </c>
      <c r="I1929" s="16" t="s">
        <v>53</v>
      </c>
      <c r="J1929" s="17"/>
      <c r="K1929" s="17">
        <v>0.7</v>
      </c>
      <c r="L1929" s="17"/>
      <c r="M1929" s="17" t="s">
        <v>69</v>
      </c>
      <c r="N1929" s="14" t="s">
        <v>1070</v>
      </c>
      <c r="O1929" s="17" t="s">
        <v>70</v>
      </c>
      <c r="P1929" s="17"/>
      <c r="Q1929" s="17"/>
      <c r="R1929" s="17"/>
      <c r="S1929" s="17"/>
      <c r="T1929" s="17"/>
      <c r="U1929" s="17">
        <v>1.96</v>
      </c>
      <c r="V1929" s="41">
        <f t="shared" si="134"/>
        <v>96</v>
      </c>
      <c r="W1929" s="17"/>
      <c r="X1929" s="17" t="s">
        <v>56</v>
      </c>
      <c r="Z1929" s="17" t="s">
        <v>56</v>
      </c>
      <c r="AA1929" s="17"/>
      <c r="AB1929" s="17" t="s">
        <v>57</v>
      </c>
      <c r="AC1929" s="17">
        <v>2007</v>
      </c>
      <c r="AD1929" s="17">
        <v>1</v>
      </c>
      <c r="AE1929" s="17"/>
      <c r="AF1929" s="17"/>
      <c r="AG1929" s="14">
        <v>1992</v>
      </c>
      <c r="AH1929" s="14">
        <f t="shared" si="132"/>
        <v>15</v>
      </c>
      <c r="AI1929" s="17">
        <f t="shared" si="133"/>
        <v>16</v>
      </c>
      <c r="AJ1929" s="17"/>
      <c r="AK1929" s="17" t="s">
        <v>56</v>
      </c>
      <c r="AL1929" s="15" t="s">
        <v>71</v>
      </c>
      <c r="AM1929" s="17">
        <v>2009</v>
      </c>
      <c r="AN1929" s="15" t="s">
        <v>72</v>
      </c>
      <c r="AO1929" s="15" t="s">
        <v>56</v>
      </c>
      <c r="AP1929" s="15"/>
      <c r="AQ1929" s="15" t="s">
        <v>56</v>
      </c>
      <c r="AR1929" s="15" t="s">
        <v>58</v>
      </c>
      <c r="AS1929" s="15" t="s">
        <v>62</v>
      </c>
      <c r="AT1929" s="15"/>
      <c r="AU1929" s="45" t="s">
        <v>73</v>
      </c>
      <c r="AV1929" s="15"/>
      <c r="AW1929" s="12" t="str">
        <f>B1929&amp;C1929&amp;L1929&amp;M1929&amp;O1929&amp;U1929&amp;AL1929&amp;AM1929</f>
        <v>AustraliaFly Point - Halifax Park Aquatic Reservefishbiomassden1.96Edgar2009</v>
      </c>
    </row>
    <row r="1930" spans="1:49" ht="14.5" x14ac:dyDescent="0.35">
      <c r="A1930" s="12">
        <v>1929</v>
      </c>
      <c r="B1930" s="15" t="s">
        <v>66</v>
      </c>
      <c r="C1930" s="15" t="s">
        <v>853</v>
      </c>
      <c r="D1930" s="15" t="s">
        <v>853</v>
      </c>
      <c r="E1930" s="15" t="s">
        <v>68</v>
      </c>
      <c r="F1930" s="13" t="s">
        <v>50</v>
      </c>
      <c r="G1930" s="13" t="s">
        <v>51</v>
      </c>
      <c r="H1930" s="16" t="s">
        <v>52</v>
      </c>
      <c r="I1930" s="16" t="s">
        <v>53</v>
      </c>
      <c r="J1930" s="17"/>
      <c r="K1930" s="17">
        <v>1</v>
      </c>
      <c r="L1930" s="17"/>
      <c r="M1930" s="17" t="s">
        <v>69</v>
      </c>
      <c r="N1930" s="14" t="s">
        <v>1070</v>
      </c>
      <c r="O1930" s="17" t="s">
        <v>70</v>
      </c>
      <c r="P1930" s="17"/>
      <c r="Q1930" s="17"/>
      <c r="R1930" s="17"/>
      <c r="S1930" s="17"/>
      <c r="T1930" s="17"/>
      <c r="U1930" s="17">
        <v>1.85</v>
      </c>
      <c r="V1930" s="41">
        <f t="shared" si="134"/>
        <v>85.000000000000014</v>
      </c>
      <c r="W1930" s="17"/>
      <c r="X1930" s="17" t="s">
        <v>56</v>
      </c>
      <c r="Z1930" s="17" t="s">
        <v>56</v>
      </c>
      <c r="AA1930" s="17"/>
      <c r="AB1930" s="17" t="s">
        <v>57</v>
      </c>
      <c r="AC1930" s="17">
        <v>2007</v>
      </c>
      <c r="AD1930" s="17">
        <v>1</v>
      </c>
      <c r="AE1930" s="17"/>
      <c r="AF1930" s="17"/>
      <c r="AG1930" s="14">
        <v>1992</v>
      </c>
      <c r="AH1930" s="14">
        <f t="shared" si="132"/>
        <v>15</v>
      </c>
      <c r="AI1930" s="17">
        <f t="shared" si="133"/>
        <v>16</v>
      </c>
      <c r="AJ1930" s="17"/>
      <c r="AK1930" s="17" t="s">
        <v>56</v>
      </c>
      <c r="AL1930" s="15" t="s">
        <v>71</v>
      </c>
      <c r="AM1930" s="17">
        <v>2009</v>
      </c>
      <c r="AN1930" s="15" t="s">
        <v>72</v>
      </c>
      <c r="AO1930" s="15" t="s">
        <v>56</v>
      </c>
      <c r="AP1930" s="15"/>
      <c r="AQ1930" s="15" t="s">
        <v>56</v>
      </c>
      <c r="AR1930" s="15" t="s">
        <v>58</v>
      </c>
      <c r="AS1930" s="15" t="s">
        <v>62</v>
      </c>
      <c r="AT1930" s="15"/>
      <c r="AU1930" s="45" t="s">
        <v>2573</v>
      </c>
      <c r="AV1930" s="15"/>
      <c r="AW1930" s="12" t="str">
        <f>B1930&amp;C1930&amp;L1930&amp;M1930&amp;O1930&amp;U1930&amp;AL1930&amp;AM1930</f>
        <v>AustraliaGovernor Island Marine Nature Reservefishbiomassden1.85Edgar2009</v>
      </c>
    </row>
    <row r="1931" spans="1:49" ht="14.5" x14ac:dyDescent="0.35">
      <c r="A1931" s="12">
        <v>1930</v>
      </c>
      <c r="B1931" s="15" t="s">
        <v>66</v>
      </c>
      <c r="C1931" s="15" t="s">
        <v>74</v>
      </c>
      <c r="D1931" s="15" t="s">
        <v>74</v>
      </c>
      <c r="E1931" s="15" t="s">
        <v>68</v>
      </c>
      <c r="F1931" s="16" t="s">
        <v>50</v>
      </c>
      <c r="G1931" s="16" t="s">
        <v>51</v>
      </c>
      <c r="H1931" s="16" t="s">
        <v>52</v>
      </c>
      <c r="I1931" s="16" t="s">
        <v>53</v>
      </c>
      <c r="J1931" s="17"/>
      <c r="K1931" s="17">
        <v>6</v>
      </c>
      <c r="L1931" s="17"/>
      <c r="M1931" s="17" t="s">
        <v>69</v>
      </c>
      <c r="N1931" s="14" t="s">
        <v>1070</v>
      </c>
      <c r="O1931" s="17" t="s">
        <v>70</v>
      </c>
      <c r="P1931" s="17"/>
      <c r="Q1931" s="17"/>
      <c r="R1931" s="17"/>
      <c r="S1931" s="17"/>
      <c r="T1931" s="17"/>
      <c r="U1931" s="17">
        <v>1.84</v>
      </c>
      <c r="V1931" s="41">
        <f t="shared" si="134"/>
        <v>84.000000000000014</v>
      </c>
      <c r="W1931" s="17"/>
      <c r="X1931" s="17" t="s">
        <v>58</v>
      </c>
      <c r="Z1931" s="17" t="s">
        <v>58</v>
      </c>
      <c r="AA1931" s="17"/>
      <c r="AB1931" s="17" t="s">
        <v>57</v>
      </c>
      <c r="AC1931" s="17">
        <v>2007</v>
      </c>
      <c r="AD1931" s="17">
        <v>1</v>
      </c>
      <c r="AE1931" s="17"/>
      <c r="AF1931" s="17"/>
      <c r="AG1931" s="14">
        <v>1975</v>
      </c>
      <c r="AH1931" s="14">
        <f t="shared" si="132"/>
        <v>32</v>
      </c>
      <c r="AI1931" s="17">
        <f t="shared" si="133"/>
        <v>33</v>
      </c>
      <c r="AJ1931" s="17"/>
      <c r="AK1931" s="17" t="s">
        <v>56</v>
      </c>
      <c r="AL1931" s="15" t="s">
        <v>71</v>
      </c>
      <c r="AM1931" s="17">
        <v>2009</v>
      </c>
      <c r="AN1931" s="15" t="s">
        <v>72</v>
      </c>
      <c r="AO1931" s="15" t="s">
        <v>56</v>
      </c>
      <c r="AP1931" s="15"/>
      <c r="AQ1931" s="15" t="s">
        <v>56</v>
      </c>
      <c r="AR1931" s="15" t="s">
        <v>58</v>
      </c>
      <c r="AS1931" s="15" t="s">
        <v>62</v>
      </c>
      <c r="AT1931" s="15"/>
      <c r="AU1931" s="45" t="s">
        <v>73</v>
      </c>
      <c r="AV1931" s="15"/>
      <c r="AW1931" s="12" t="str">
        <f>B1931&amp;C1931&amp;L1931&amp;M1931&amp;O1931&amp;U1931&amp;AL1931&amp;AM1931</f>
        <v>AustraliaAldinga Reef Aquatic Reservefishbiomassden1.84Edgar2009</v>
      </c>
    </row>
    <row r="1932" spans="1:49" ht="14.5" x14ac:dyDescent="0.35">
      <c r="A1932" s="12">
        <v>1931</v>
      </c>
      <c r="B1932" s="15" t="s">
        <v>66</v>
      </c>
      <c r="C1932" s="15" t="s">
        <v>1650</v>
      </c>
      <c r="D1932" s="15" t="s">
        <v>1650</v>
      </c>
      <c r="E1932" s="15" t="s">
        <v>68</v>
      </c>
      <c r="F1932" s="13" t="s">
        <v>50</v>
      </c>
      <c r="G1932" s="13" t="s">
        <v>51</v>
      </c>
      <c r="H1932" s="16" t="s">
        <v>52</v>
      </c>
      <c r="I1932" s="16" t="s">
        <v>53</v>
      </c>
      <c r="K1932" s="17">
        <v>165</v>
      </c>
      <c r="L1932" s="17"/>
      <c r="M1932" s="17" t="s">
        <v>69</v>
      </c>
      <c r="N1932" s="14" t="s">
        <v>1070</v>
      </c>
      <c r="O1932" s="17" t="s">
        <v>70</v>
      </c>
      <c r="P1932" s="17"/>
      <c r="Q1932" s="17"/>
      <c r="R1932" s="17"/>
      <c r="S1932" s="17"/>
      <c r="T1932" s="17"/>
      <c r="U1932" s="17">
        <v>1.26</v>
      </c>
      <c r="V1932" s="41">
        <f t="shared" si="134"/>
        <v>26</v>
      </c>
      <c r="W1932" s="17"/>
      <c r="X1932" s="17" t="s">
        <v>56</v>
      </c>
      <c r="Z1932" s="17" t="s">
        <v>56</v>
      </c>
      <c r="AA1932" s="17"/>
      <c r="AB1932" s="17" t="s">
        <v>57</v>
      </c>
      <c r="AC1932" s="17">
        <v>2007</v>
      </c>
      <c r="AD1932" s="17">
        <v>1</v>
      </c>
      <c r="AE1932" s="17"/>
      <c r="AF1932" s="17"/>
      <c r="AG1932" s="14">
        <v>2005</v>
      </c>
      <c r="AH1932" s="14">
        <f t="shared" si="132"/>
        <v>2</v>
      </c>
      <c r="AI1932" s="17">
        <f t="shared" si="133"/>
        <v>3</v>
      </c>
      <c r="AJ1932" s="17"/>
      <c r="AK1932" s="17" t="s">
        <v>56</v>
      </c>
      <c r="AL1932" s="15" t="s">
        <v>71</v>
      </c>
      <c r="AM1932" s="17">
        <v>2009</v>
      </c>
      <c r="AN1932" s="15" t="s">
        <v>72</v>
      </c>
      <c r="AO1932" s="15" t="s">
        <v>56</v>
      </c>
      <c r="AP1932" s="15"/>
      <c r="AQ1932" s="15" t="s">
        <v>56</v>
      </c>
      <c r="AR1932" s="15" t="s">
        <v>58</v>
      </c>
      <c r="AS1932" s="15" t="s">
        <v>62</v>
      </c>
      <c r="AT1932" s="15"/>
      <c r="AU1932" s="45" t="s">
        <v>2576</v>
      </c>
      <c r="AV1932" s="15"/>
      <c r="AW1932" s="12" t="str">
        <f>B1932&amp;C1932&amp;L1932&amp;M1932&amp;O1932&amp;U1932&amp;AL1932&amp;AM1932</f>
        <v>AustraliaPort Davey/Bathurst Harbour Marine Nature Reservefishbiomassden1.26Edgar2009</v>
      </c>
    </row>
    <row r="1933" spans="1:49" ht="14.5" x14ac:dyDescent="0.35">
      <c r="A1933" s="12">
        <v>1932</v>
      </c>
      <c r="B1933" s="12" t="s">
        <v>66</v>
      </c>
      <c r="C1933" s="15" t="s">
        <v>1068</v>
      </c>
      <c r="D1933" s="15" t="s">
        <v>1068</v>
      </c>
      <c r="E1933" s="15" t="s">
        <v>49</v>
      </c>
      <c r="F1933" s="13" t="s">
        <v>50</v>
      </c>
      <c r="G1933" s="13" t="s">
        <v>51</v>
      </c>
      <c r="H1933" s="16" t="s">
        <v>52</v>
      </c>
      <c r="I1933" s="16" t="s">
        <v>53</v>
      </c>
      <c r="K1933" s="17">
        <v>138</v>
      </c>
      <c r="L1933" s="17"/>
      <c r="M1933" s="17" t="s">
        <v>69</v>
      </c>
      <c r="N1933" s="14" t="s">
        <v>1070</v>
      </c>
      <c r="O1933" s="17" t="s">
        <v>70</v>
      </c>
      <c r="P1933" s="17"/>
      <c r="Q1933" s="17"/>
      <c r="R1933" s="17"/>
      <c r="S1933" s="17"/>
      <c r="T1933" s="17"/>
      <c r="U1933" s="17">
        <v>1.21</v>
      </c>
      <c r="V1933" s="41">
        <f t="shared" si="134"/>
        <v>20.999999999999996</v>
      </c>
      <c r="W1933" s="17"/>
      <c r="X1933" s="17" t="s">
        <v>56</v>
      </c>
      <c r="Z1933" s="17" t="s">
        <v>56</v>
      </c>
      <c r="AA1933" s="17"/>
      <c r="AB1933" s="17" t="s">
        <v>57</v>
      </c>
      <c r="AC1933" s="17">
        <v>2007</v>
      </c>
      <c r="AD1933" s="17">
        <v>1</v>
      </c>
      <c r="AE1933" s="17"/>
      <c r="AF1933" s="17"/>
      <c r="AG1933" s="14">
        <v>2005</v>
      </c>
      <c r="AH1933" s="14">
        <f t="shared" si="132"/>
        <v>2</v>
      </c>
      <c r="AI1933" s="17">
        <f t="shared" si="133"/>
        <v>3</v>
      </c>
      <c r="AJ1933" s="17"/>
      <c r="AK1933" s="17" t="s">
        <v>56</v>
      </c>
      <c r="AL1933" s="15" t="s">
        <v>71</v>
      </c>
      <c r="AM1933" s="17">
        <v>2009</v>
      </c>
      <c r="AN1933" s="15" t="s">
        <v>72</v>
      </c>
      <c r="AO1933" s="15" t="s">
        <v>56</v>
      </c>
      <c r="AP1933" s="15"/>
      <c r="AQ1933" s="15" t="s">
        <v>56</v>
      </c>
      <c r="AR1933" s="15" t="s">
        <v>58</v>
      </c>
      <c r="AS1933" s="15" t="s">
        <v>62</v>
      </c>
      <c r="AT1933" s="15"/>
      <c r="AU1933" s="45" t="s">
        <v>2574</v>
      </c>
      <c r="AV1933" s="15"/>
      <c r="AW1933" s="12" t="str">
        <f>B1933&amp;C1933&amp;L1933&amp;M1933&amp;O1933&amp;U1933&amp;AL1933&amp;AM1933</f>
        <v>AustraliaKent Group Marine Nature Reservefishbiomassden1.21Edgar2009</v>
      </c>
    </row>
    <row r="1934" spans="1:49" ht="14.5" x14ac:dyDescent="0.35">
      <c r="A1934" s="12">
        <v>1933</v>
      </c>
      <c r="B1934" s="12" t="s">
        <v>66</v>
      </c>
      <c r="C1934" s="15" t="s">
        <v>2826</v>
      </c>
      <c r="D1934" s="15" t="s">
        <v>2826</v>
      </c>
      <c r="E1934" s="15" t="s">
        <v>68</v>
      </c>
      <c r="F1934" s="16" t="s">
        <v>50</v>
      </c>
      <c r="G1934" s="16" t="s">
        <v>51</v>
      </c>
      <c r="H1934" s="16" t="s">
        <v>52</v>
      </c>
      <c r="I1934" s="16" t="s">
        <v>53</v>
      </c>
      <c r="K1934" s="17">
        <v>37</v>
      </c>
      <c r="L1934" s="17"/>
      <c r="M1934" s="17" t="s">
        <v>69</v>
      </c>
      <c r="N1934" s="14" t="s">
        <v>1070</v>
      </c>
      <c r="O1934" s="17" t="s">
        <v>70</v>
      </c>
      <c r="P1934" s="17"/>
      <c r="Q1934" s="17"/>
      <c r="R1934" s="17"/>
      <c r="S1934" s="17"/>
      <c r="T1934" s="17"/>
      <c r="U1934" s="17">
        <v>1.43</v>
      </c>
      <c r="V1934" s="41">
        <f t="shared" si="134"/>
        <v>42.999999999999993</v>
      </c>
      <c r="W1934" s="17"/>
      <c r="X1934" s="17" t="s">
        <v>56</v>
      </c>
      <c r="Z1934" s="17" t="s">
        <v>56</v>
      </c>
      <c r="AA1934" s="17"/>
      <c r="AB1934" s="17" t="s">
        <v>57</v>
      </c>
      <c r="AC1934" s="17">
        <v>2007</v>
      </c>
      <c r="AD1934" s="17">
        <v>1</v>
      </c>
      <c r="AE1934" s="17"/>
      <c r="AF1934" s="17"/>
      <c r="AG1934" s="14">
        <v>1998</v>
      </c>
      <c r="AH1934" s="14">
        <f t="shared" si="132"/>
        <v>9</v>
      </c>
      <c r="AI1934" s="17">
        <f t="shared" si="133"/>
        <v>10</v>
      </c>
      <c r="AJ1934" s="17"/>
      <c r="AK1934" s="17" t="s">
        <v>56</v>
      </c>
      <c r="AL1934" s="15" t="s">
        <v>71</v>
      </c>
      <c r="AM1934" s="17">
        <v>2009</v>
      </c>
      <c r="AN1934" s="15" t="s">
        <v>72</v>
      </c>
      <c r="AO1934" s="15" t="s">
        <v>56</v>
      </c>
      <c r="AP1934" s="15"/>
      <c r="AQ1934" s="15" t="s">
        <v>56</v>
      </c>
      <c r="AR1934" s="15" t="s">
        <v>58</v>
      </c>
      <c r="AS1934" s="15" t="s">
        <v>62</v>
      </c>
      <c r="AT1934" s="15"/>
      <c r="AU1934" s="45" t="s">
        <v>73</v>
      </c>
      <c r="AV1934" s="15"/>
      <c r="AW1934" s="12" t="str">
        <f>B1934&amp;C1934&amp;L1934&amp;M1934&amp;O1934&amp;U1934&amp;AL1934&amp;AM1934</f>
        <v>AustraliaRottnest Island Marine Reserve Networkfishbiomassden1.43Edgar2009</v>
      </c>
    </row>
    <row r="1935" spans="1:49" ht="14.5" x14ac:dyDescent="0.35">
      <c r="A1935" s="12">
        <v>1934</v>
      </c>
      <c r="B1935" s="12" t="s">
        <v>66</v>
      </c>
      <c r="C1935" s="15" t="s">
        <v>1250</v>
      </c>
      <c r="D1935" s="15" t="s">
        <v>1251</v>
      </c>
      <c r="E1935" s="15" t="s">
        <v>49</v>
      </c>
      <c r="F1935" s="13" t="s">
        <v>50</v>
      </c>
      <c r="G1935" s="13" t="s">
        <v>51</v>
      </c>
      <c r="H1935" s="16" t="s">
        <v>52</v>
      </c>
      <c r="I1935" s="16" t="s">
        <v>53</v>
      </c>
      <c r="K1935" s="17">
        <v>129</v>
      </c>
      <c r="L1935" s="17"/>
      <c r="M1935" s="17" t="s">
        <v>69</v>
      </c>
      <c r="N1935" s="14" t="s">
        <v>1070</v>
      </c>
      <c r="O1935" s="17" t="s">
        <v>70</v>
      </c>
      <c r="P1935" s="17"/>
      <c r="Q1935" s="17"/>
      <c r="R1935" s="17"/>
      <c r="S1935" s="17"/>
      <c r="T1935" s="17"/>
      <c r="U1935" s="17">
        <v>0.91</v>
      </c>
      <c r="V1935" s="41">
        <f t="shared" si="134"/>
        <v>-8.9999999999999964</v>
      </c>
      <c r="W1935" s="17"/>
      <c r="X1935" s="17" t="s">
        <v>58</v>
      </c>
      <c r="Z1935" s="17" t="s">
        <v>58</v>
      </c>
      <c r="AA1935" s="17"/>
      <c r="AB1935" s="17" t="s">
        <v>57</v>
      </c>
      <c r="AC1935" s="17">
        <v>2007</v>
      </c>
      <c r="AD1935" s="17">
        <v>1</v>
      </c>
      <c r="AE1935" s="17"/>
      <c r="AF1935" s="17"/>
      <c r="AG1935" s="14">
        <v>2001</v>
      </c>
      <c r="AH1935" s="14">
        <f t="shared" si="132"/>
        <v>6</v>
      </c>
      <c r="AI1935" s="17">
        <f t="shared" si="133"/>
        <v>7</v>
      </c>
      <c r="AJ1935" s="17"/>
      <c r="AK1935" s="17" t="s">
        <v>56</v>
      </c>
      <c r="AL1935" s="15" t="s">
        <v>71</v>
      </c>
      <c r="AM1935" s="17">
        <v>2009</v>
      </c>
      <c r="AN1935" s="15" t="s">
        <v>72</v>
      </c>
      <c r="AO1935" s="15" t="s">
        <v>56</v>
      </c>
      <c r="AP1935" s="15"/>
      <c r="AQ1935" s="15" t="s">
        <v>56</v>
      </c>
      <c r="AR1935" s="15" t="s">
        <v>58</v>
      </c>
      <c r="AS1935" s="15" t="s">
        <v>62</v>
      </c>
      <c r="AT1935" s="15"/>
      <c r="AU1935" s="45" t="s">
        <v>73</v>
      </c>
      <c r="AV1935" s="15"/>
      <c r="AW1935" s="12" t="str">
        <f>B1935&amp;C1935&amp;L1935&amp;M1935&amp;O1935&amp;U1935&amp;AL1935&amp;AM1935</f>
        <v>AustraliaLord Howe Island sanctuary zone Networkfishbiomassden0.91Edgar2009</v>
      </c>
    </row>
    <row r="1936" spans="1:49" ht="14.5" x14ac:dyDescent="0.35">
      <c r="A1936" s="12">
        <v>1935</v>
      </c>
      <c r="B1936" s="12" t="s">
        <v>66</v>
      </c>
      <c r="C1936" s="15" t="s">
        <v>424</v>
      </c>
      <c r="D1936" s="15" t="s">
        <v>425</v>
      </c>
      <c r="E1936" s="15" t="s">
        <v>68</v>
      </c>
      <c r="F1936" s="13" t="s">
        <v>50</v>
      </c>
      <c r="G1936" s="13" t="s">
        <v>51</v>
      </c>
      <c r="H1936" s="16" t="s">
        <v>52</v>
      </c>
      <c r="I1936" s="16" t="s">
        <v>53</v>
      </c>
      <c r="J1936" s="14">
        <v>161.5</v>
      </c>
      <c r="K1936" s="17"/>
      <c r="L1936" s="17"/>
      <c r="M1936" s="17" t="s">
        <v>69</v>
      </c>
      <c r="N1936" s="14" t="s">
        <v>1070</v>
      </c>
      <c r="O1936" s="17" t="s">
        <v>70</v>
      </c>
      <c r="P1936" s="17"/>
      <c r="Q1936" s="17"/>
      <c r="R1936" s="17"/>
      <c r="S1936" s="17"/>
      <c r="T1936" s="17"/>
      <c r="U1936" s="17">
        <v>0.6</v>
      </c>
      <c r="V1936" s="41">
        <f t="shared" si="134"/>
        <v>-40</v>
      </c>
      <c r="W1936" s="17"/>
      <c r="X1936" s="17" t="s">
        <v>58</v>
      </c>
      <c r="Z1936" s="17" t="s">
        <v>58</v>
      </c>
      <c r="AA1936" s="17"/>
      <c r="AB1936" s="17" t="s">
        <v>57</v>
      </c>
      <c r="AC1936" s="17">
        <v>2007</v>
      </c>
      <c r="AD1936" s="17">
        <v>1</v>
      </c>
      <c r="AE1936" s="17"/>
      <c r="AF1936" s="17"/>
      <c r="AG1936" s="14">
        <v>2006</v>
      </c>
      <c r="AH1936" s="14">
        <f t="shared" si="132"/>
        <v>1</v>
      </c>
      <c r="AI1936" s="17">
        <f t="shared" si="133"/>
        <v>2</v>
      </c>
      <c r="AJ1936" s="17"/>
      <c r="AK1936" s="17" t="s">
        <v>56</v>
      </c>
      <c r="AL1936" s="15" t="s">
        <v>71</v>
      </c>
      <c r="AM1936" s="17">
        <v>2009</v>
      </c>
      <c r="AN1936" s="15" t="s">
        <v>72</v>
      </c>
      <c r="AO1936" s="15" t="s">
        <v>56</v>
      </c>
      <c r="AP1936" s="15"/>
      <c r="AQ1936" s="15" t="s">
        <v>56</v>
      </c>
      <c r="AR1936" s="15" t="s">
        <v>58</v>
      </c>
      <c r="AS1936" s="15" t="s">
        <v>62</v>
      </c>
      <c r="AT1936" s="15"/>
      <c r="AU1936" s="45" t="s">
        <v>73</v>
      </c>
      <c r="AV1936" s="15"/>
      <c r="AW1936" s="12" t="str">
        <f>B1936&amp;C1936&amp;L1936&amp;M1936&amp;O1936&amp;U1936&amp;AL1936&amp;AM1936</f>
        <v>AustraliaBatemans Marine Park Networkfishbiomassden0.6Edgar2009</v>
      </c>
    </row>
    <row r="1937" spans="1:49" ht="14.5" x14ac:dyDescent="0.35">
      <c r="A1937" s="12">
        <v>1936</v>
      </c>
      <c r="B1937" s="12" t="s">
        <v>66</v>
      </c>
      <c r="C1937" s="15" t="s">
        <v>1045</v>
      </c>
      <c r="D1937" s="15" t="s">
        <v>1046</v>
      </c>
      <c r="E1937" s="15" t="s">
        <v>68</v>
      </c>
      <c r="F1937" s="16" t="s">
        <v>50</v>
      </c>
      <c r="G1937" s="16" t="s">
        <v>51</v>
      </c>
      <c r="H1937" s="16" t="s">
        <v>52</v>
      </c>
      <c r="I1937" s="16" t="s">
        <v>53</v>
      </c>
      <c r="K1937" s="17">
        <v>31</v>
      </c>
      <c r="L1937" s="17"/>
      <c r="M1937" s="17" t="s">
        <v>69</v>
      </c>
      <c r="N1937" s="14" t="s">
        <v>1070</v>
      </c>
      <c r="O1937" s="17" t="s">
        <v>70</v>
      </c>
      <c r="P1937" s="17"/>
      <c r="Q1937" s="17"/>
      <c r="R1937" s="17"/>
      <c r="S1937" s="17"/>
      <c r="T1937" s="17"/>
      <c r="U1937" s="17">
        <v>0.33</v>
      </c>
      <c r="V1937" s="41">
        <f t="shared" si="134"/>
        <v>-67</v>
      </c>
      <c r="W1937" s="17"/>
      <c r="X1937" s="17" t="s">
        <v>58</v>
      </c>
      <c r="Z1937" s="17" t="s">
        <v>58</v>
      </c>
      <c r="AA1937" s="17"/>
      <c r="AB1937" s="17" t="s">
        <v>57</v>
      </c>
      <c r="AC1937" s="17">
        <v>2007</v>
      </c>
      <c r="AD1937" s="17">
        <v>1</v>
      </c>
      <c r="AE1937" s="17"/>
      <c r="AF1937" s="17"/>
      <c r="AG1937" s="14">
        <v>2004</v>
      </c>
      <c r="AH1937" s="14">
        <f t="shared" si="132"/>
        <v>3</v>
      </c>
      <c r="AI1937" s="17">
        <f t="shared" si="133"/>
        <v>4</v>
      </c>
      <c r="AJ1937" s="17"/>
      <c r="AK1937" s="17" t="s">
        <v>56</v>
      </c>
      <c r="AL1937" s="15" t="s">
        <v>71</v>
      </c>
      <c r="AM1937" s="17">
        <v>2009</v>
      </c>
      <c r="AN1937" s="15" t="s">
        <v>72</v>
      </c>
      <c r="AO1937" s="15" t="s">
        <v>56</v>
      </c>
      <c r="AP1937" s="15"/>
      <c r="AQ1937" s="15" t="s">
        <v>56</v>
      </c>
      <c r="AR1937" s="15" t="s">
        <v>58</v>
      </c>
      <c r="AS1937" s="15" t="s">
        <v>62</v>
      </c>
      <c r="AT1937" s="15"/>
      <c r="AU1937" s="45" t="s">
        <v>73</v>
      </c>
      <c r="AV1937" s="15"/>
      <c r="AW1937" s="12" t="str">
        <f>B1937&amp;C1937&amp;L1937&amp;M1937&amp;O1937&amp;U1937&amp;AL1937&amp;AM1937</f>
        <v>AustraliaJurien Bay sanctuary zone Networkfishbiomassden0.33Edgar2009</v>
      </c>
    </row>
    <row r="1938" spans="1:49" ht="14.5" x14ac:dyDescent="0.35">
      <c r="A1938" s="12">
        <v>1937</v>
      </c>
      <c r="B1938" s="12" t="s">
        <v>66</v>
      </c>
      <c r="C1938" s="15" t="s">
        <v>1015</v>
      </c>
      <c r="D1938" s="15" t="s">
        <v>660</v>
      </c>
      <c r="E1938" s="15" t="s">
        <v>68</v>
      </c>
      <c r="F1938" s="13" t="s">
        <v>50</v>
      </c>
      <c r="G1938" s="13" t="s">
        <v>51</v>
      </c>
      <c r="H1938" s="16" t="s">
        <v>52</v>
      </c>
      <c r="I1938" s="16" t="s">
        <v>53</v>
      </c>
      <c r="J1938" s="14">
        <v>42.2</v>
      </c>
      <c r="K1938" s="17"/>
      <c r="L1938" s="17"/>
      <c r="M1938" s="17" t="s">
        <v>69</v>
      </c>
      <c r="N1938" s="14" t="s">
        <v>1070</v>
      </c>
      <c r="O1938" s="17" t="s">
        <v>70</v>
      </c>
      <c r="P1938" s="17"/>
      <c r="Q1938" s="17"/>
      <c r="R1938" s="17"/>
      <c r="S1938" s="17"/>
      <c r="T1938" s="17"/>
      <c r="U1938" s="17">
        <v>0.18</v>
      </c>
      <c r="V1938" s="41">
        <f t="shared" si="134"/>
        <v>-82</v>
      </c>
      <c r="W1938" s="17"/>
      <c r="X1938" s="17" t="s">
        <v>58</v>
      </c>
      <c r="Y1938" s="14">
        <v>18</v>
      </c>
      <c r="Z1938" s="17" t="s">
        <v>58</v>
      </c>
      <c r="AA1938" s="17"/>
      <c r="AB1938" s="17" t="s">
        <v>57</v>
      </c>
      <c r="AC1938" s="17">
        <v>2007</v>
      </c>
      <c r="AD1938" s="17">
        <v>1</v>
      </c>
      <c r="AE1938" s="17"/>
      <c r="AF1938" s="17"/>
      <c r="AG1938" s="14">
        <v>2002</v>
      </c>
      <c r="AH1938" s="14">
        <f t="shared" si="132"/>
        <v>5</v>
      </c>
      <c r="AI1938" s="17">
        <f t="shared" si="133"/>
        <v>6</v>
      </c>
      <c r="AJ1938" s="17"/>
      <c r="AK1938" s="17" t="s">
        <v>56</v>
      </c>
      <c r="AL1938" s="15" t="s">
        <v>71</v>
      </c>
      <c r="AM1938" s="17">
        <v>2009</v>
      </c>
      <c r="AN1938" s="15" t="s">
        <v>72</v>
      </c>
      <c r="AO1938" s="15" t="s">
        <v>56</v>
      </c>
      <c r="AP1938" s="15"/>
      <c r="AQ1938" s="15" t="s">
        <v>56</v>
      </c>
      <c r="AR1938" s="15" t="s">
        <v>58</v>
      </c>
      <c r="AS1938" s="15" t="s">
        <v>62</v>
      </c>
      <c r="AT1938" s="15"/>
      <c r="AU1938" s="45" t="s">
        <v>73</v>
      </c>
      <c r="AV1938" s="15"/>
      <c r="AW1938" s="12" t="str">
        <f>B1938&amp;C1938&amp;L1938&amp;M1938&amp;O1938&amp;U1938&amp;AL1938&amp;AM1938</f>
        <v>AustraliaJervis Bay Marine Park Networkfishbiomassden0.18Edgar2009</v>
      </c>
    </row>
    <row r="1939" spans="1:49" ht="14.5" x14ac:dyDescent="0.35">
      <c r="A1939" s="12">
        <v>1938</v>
      </c>
      <c r="B1939" s="15" t="s">
        <v>46</v>
      </c>
      <c r="C1939" s="12" t="s">
        <v>2687</v>
      </c>
      <c r="D1939" s="12" t="s">
        <v>2687</v>
      </c>
      <c r="E1939" s="12" t="s">
        <v>49</v>
      </c>
      <c r="F1939" s="13" t="s">
        <v>480</v>
      </c>
      <c r="G1939" s="13" t="s">
        <v>51</v>
      </c>
      <c r="H1939" s="13" t="s">
        <v>52</v>
      </c>
      <c r="I1939" s="13" t="s">
        <v>156</v>
      </c>
      <c r="J1939" s="14">
        <v>138</v>
      </c>
      <c r="K1939" s="14"/>
      <c r="L1939" s="14" t="s">
        <v>1286</v>
      </c>
      <c r="M1939" s="14"/>
      <c r="N1939" s="14" t="s">
        <v>85</v>
      </c>
      <c r="O1939" s="17" t="s">
        <v>86</v>
      </c>
      <c r="P1939" s="14"/>
      <c r="Q1939" s="14"/>
      <c r="R1939" s="14"/>
      <c r="S1939" s="14">
        <v>190.625</v>
      </c>
      <c r="T1939" s="14">
        <v>356.25</v>
      </c>
      <c r="U1939" s="19">
        <f t="shared" ref="U1939:U2002" si="135">IFERROR(IF(AND(Q1939="",R1939="",S1939="",T1939=""),"",IF(AND(Q1939&lt;&gt;"",R1939&lt;&gt;"",S1939&lt;&gt;"",T1939&lt;&gt;""),(T1939/R1939)/(S1939/Q1939),IF(AND(Q1939&lt;&gt;"",R1939&lt;&gt;""),R1939/Q1939,IF(AND(S1939&lt;&gt;"",T1939&lt;&gt;""),T1939/S1939,IF(AND(Q1939&lt;&gt;"",S1939&lt;&gt;""),Q1939/S1939,IF(AND(R1939&lt;&gt;"",T1939&lt;&gt;""),T1939/R1939)))))), "N/A")</f>
        <v>1.8688524590163935</v>
      </c>
      <c r="V1939" s="41">
        <f t="shared" si="134"/>
        <v>86.885245901639351</v>
      </c>
      <c r="W1939" s="14"/>
      <c r="X1939" s="14" t="s">
        <v>58</v>
      </c>
      <c r="Y1939" s="14">
        <v>55</v>
      </c>
      <c r="Z1939" s="14" t="s">
        <v>58</v>
      </c>
      <c r="AA1939" s="14"/>
      <c r="AB1939" s="14" t="s">
        <v>57</v>
      </c>
      <c r="AC1939" s="14">
        <v>2007</v>
      </c>
      <c r="AD1939" s="14">
        <v>2</v>
      </c>
      <c r="AE1939" s="14"/>
      <c r="AF1939" s="14"/>
      <c r="AG1939" s="14">
        <v>2006</v>
      </c>
      <c r="AH1939" s="14">
        <f t="shared" si="132"/>
        <v>1</v>
      </c>
      <c r="AI1939" s="17">
        <f t="shared" si="133"/>
        <v>3</v>
      </c>
      <c r="AJ1939" s="14"/>
      <c r="AK1939" s="14" t="s">
        <v>56</v>
      </c>
      <c r="AL1939" s="12" t="s">
        <v>1285</v>
      </c>
      <c r="AM1939" s="14">
        <v>2013</v>
      </c>
      <c r="AN1939" s="12" t="s">
        <v>150</v>
      </c>
      <c r="AO1939" s="12" t="s">
        <v>56</v>
      </c>
      <c r="AP1939" s="12"/>
      <c r="AQ1939" s="12" t="s">
        <v>56</v>
      </c>
      <c r="AR1939" s="12" t="s">
        <v>58</v>
      </c>
      <c r="AS1939" s="12" t="s">
        <v>62</v>
      </c>
      <c r="AT1939" s="12"/>
      <c r="AU1939" s="45" t="s">
        <v>2686</v>
      </c>
      <c r="AV1939" s="15"/>
      <c r="AW1939" s="12" t="str">
        <f>B1939&amp;C1939&amp;L1939&amp;M1939&amp;O1939&amp;U1939&amp;AL1939&amp;AM1939</f>
        <v>New CaledoniaNew Caledonia multiple reservesTrochus niloticusdensity1.86885245901639Dumas2013</v>
      </c>
    </row>
    <row r="1940" spans="1:49" ht="14.5" x14ac:dyDescent="0.35">
      <c r="A1940" s="12">
        <v>1939</v>
      </c>
      <c r="B1940" s="15" t="s">
        <v>46</v>
      </c>
      <c r="C1940" s="15" t="s">
        <v>2687</v>
      </c>
      <c r="D1940" s="15" t="s">
        <v>2687</v>
      </c>
      <c r="E1940" s="15" t="s">
        <v>49</v>
      </c>
      <c r="F1940" s="16" t="s">
        <v>480</v>
      </c>
      <c r="G1940" s="16" t="s">
        <v>51</v>
      </c>
      <c r="H1940" s="16" t="s">
        <v>52</v>
      </c>
      <c r="I1940" s="16" t="s">
        <v>156</v>
      </c>
      <c r="J1940" s="14">
        <v>138</v>
      </c>
      <c r="K1940" s="17"/>
      <c r="L1940" s="17" t="s">
        <v>1287</v>
      </c>
      <c r="M1940" s="17"/>
      <c r="N1940" s="14" t="s">
        <v>85</v>
      </c>
      <c r="O1940" s="17" t="s">
        <v>86</v>
      </c>
      <c r="P1940" s="17"/>
      <c r="Q1940" s="17"/>
      <c r="R1940" s="17"/>
      <c r="S1940" s="17">
        <v>31.50685</v>
      </c>
      <c r="T1940" s="17">
        <v>64.383560000000003</v>
      </c>
      <c r="U1940" s="20">
        <f t="shared" si="135"/>
        <v>2.043478164272214</v>
      </c>
      <c r="V1940" s="41">
        <f t="shared" si="134"/>
        <v>104.3478164272214</v>
      </c>
      <c r="W1940" s="17"/>
      <c r="X1940" s="17" t="s">
        <v>58</v>
      </c>
      <c r="Y1940" s="14">
        <v>55</v>
      </c>
      <c r="Z1940" s="17" t="s">
        <v>58</v>
      </c>
      <c r="AA1940" s="17"/>
      <c r="AB1940" s="17" t="s">
        <v>57</v>
      </c>
      <c r="AC1940" s="17">
        <v>2007</v>
      </c>
      <c r="AD1940" s="17">
        <v>2</v>
      </c>
      <c r="AE1940" s="17"/>
      <c r="AF1940" s="17"/>
      <c r="AG1940" s="14">
        <v>2006</v>
      </c>
      <c r="AH1940" s="14">
        <f t="shared" si="132"/>
        <v>1</v>
      </c>
      <c r="AI1940" s="17">
        <f t="shared" si="133"/>
        <v>3</v>
      </c>
      <c r="AJ1940" s="17"/>
      <c r="AK1940" s="17" t="s">
        <v>56</v>
      </c>
      <c r="AL1940" s="15" t="s">
        <v>1285</v>
      </c>
      <c r="AM1940" s="17">
        <v>2013</v>
      </c>
      <c r="AN1940" s="15" t="s">
        <v>150</v>
      </c>
      <c r="AO1940" s="15" t="s">
        <v>56</v>
      </c>
      <c r="AP1940" s="15"/>
      <c r="AQ1940" s="15" t="s">
        <v>56</v>
      </c>
      <c r="AR1940" s="15" t="s">
        <v>58</v>
      </c>
      <c r="AS1940" s="15" t="s">
        <v>62</v>
      </c>
      <c r="AT1940" s="15"/>
      <c r="AU1940" s="45" t="s">
        <v>2686</v>
      </c>
      <c r="AV1940" s="15"/>
      <c r="AW1940" s="12" t="str">
        <f>B1940&amp;C1940&amp;L1940&amp;M1940&amp;O1940&amp;U1940&amp;AL1940&amp;AM1940</f>
        <v>New CaledoniaNew Caledonia multiple reservesTridacna maximadensity2.04347816427221Dumas2013</v>
      </c>
    </row>
    <row r="1941" spans="1:49" ht="14.5" x14ac:dyDescent="0.35">
      <c r="A1941" s="12">
        <v>1940</v>
      </c>
      <c r="B1941" s="15" t="s">
        <v>46</v>
      </c>
      <c r="C1941" s="15" t="s">
        <v>2687</v>
      </c>
      <c r="D1941" s="15" t="s">
        <v>2687</v>
      </c>
      <c r="E1941" s="15" t="s">
        <v>49</v>
      </c>
      <c r="F1941" s="16" t="s">
        <v>480</v>
      </c>
      <c r="G1941" s="16" t="s">
        <v>51</v>
      </c>
      <c r="H1941" s="16" t="s">
        <v>52</v>
      </c>
      <c r="I1941" s="16" t="s">
        <v>156</v>
      </c>
      <c r="J1941" s="14">
        <v>138</v>
      </c>
      <c r="K1941" s="17"/>
      <c r="L1941" s="17" t="s">
        <v>1286</v>
      </c>
      <c r="M1941" s="17"/>
      <c r="N1941" s="14" t="s">
        <v>85</v>
      </c>
      <c r="O1941" s="17" t="s">
        <v>104</v>
      </c>
      <c r="P1941" s="17" t="s">
        <v>568</v>
      </c>
      <c r="Q1941" s="17"/>
      <c r="R1941" s="17"/>
      <c r="S1941" s="17">
        <v>8.52</v>
      </c>
      <c r="T1941" s="17">
        <v>9.3840000000000003</v>
      </c>
      <c r="U1941" s="20">
        <f t="shared" si="135"/>
        <v>1.1014084507042254</v>
      </c>
      <c r="V1941" s="41">
        <f t="shared" si="134"/>
        <v>10.140845070422543</v>
      </c>
      <c r="W1941" s="17"/>
      <c r="X1941" s="17" t="s">
        <v>58</v>
      </c>
      <c r="Y1941" s="14">
        <v>55</v>
      </c>
      <c r="Z1941" s="17" t="s">
        <v>58</v>
      </c>
      <c r="AA1941" s="17"/>
      <c r="AB1941" s="17" t="s">
        <v>57</v>
      </c>
      <c r="AC1941" s="17">
        <v>2007</v>
      </c>
      <c r="AD1941" s="17">
        <v>2</v>
      </c>
      <c r="AE1941" s="17"/>
      <c r="AF1941" s="17"/>
      <c r="AG1941" s="17">
        <v>2006</v>
      </c>
      <c r="AH1941" s="14">
        <f t="shared" si="132"/>
        <v>1</v>
      </c>
      <c r="AI1941" s="17">
        <f t="shared" si="133"/>
        <v>3</v>
      </c>
      <c r="AJ1941" s="17"/>
      <c r="AK1941" s="17" t="s">
        <v>56</v>
      </c>
      <c r="AL1941" s="15" t="s">
        <v>1285</v>
      </c>
      <c r="AM1941" s="17">
        <v>2013</v>
      </c>
      <c r="AN1941" s="15" t="s">
        <v>150</v>
      </c>
      <c r="AO1941" s="15" t="s">
        <v>56</v>
      </c>
      <c r="AP1941" s="15"/>
      <c r="AQ1941" s="15" t="s">
        <v>56</v>
      </c>
      <c r="AR1941" s="15" t="s">
        <v>58</v>
      </c>
      <c r="AS1941" s="15" t="s">
        <v>62</v>
      </c>
      <c r="AT1941" s="15"/>
      <c r="AU1941" s="45" t="s">
        <v>2686</v>
      </c>
      <c r="AV1941" s="15"/>
      <c r="AW1941" s="12" t="str">
        <f>B1941&amp;C1941&amp;L1941&amp;M1941&amp;O1941&amp;U1941&amp;AL1941&amp;AM1941</f>
        <v>New CaledoniaNew Caledonia multiple reservesTrochus niloticussize1.10140845070423Dumas2013</v>
      </c>
    </row>
    <row r="1942" spans="1:49" ht="14.5" x14ac:dyDescent="0.35">
      <c r="A1942" s="12">
        <v>1941</v>
      </c>
      <c r="B1942" s="15" t="s">
        <v>46</v>
      </c>
      <c r="C1942" s="15" t="s">
        <v>2687</v>
      </c>
      <c r="D1942" s="15" t="s">
        <v>2687</v>
      </c>
      <c r="E1942" s="15" t="s">
        <v>49</v>
      </c>
      <c r="F1942" s="16" t="s">
        <v>480</v>
      </c>
      <c r="G1942" s="16" t="s">
        <v>51</v>
      </c>
      <c r="H1942" s="16" t="s">
        <v>52</v>
      </c>
      <c r="I1942" s="16" t="s">
        <v>156</v>
      </c>
      <c r="J1942" s="14">
        <v>138</v>
      </c>
      <c r="K1942" s="17"/>
      <c r="L1942" s="17" t="s">
        <v>1287</v>
      </c>
      <c r="M1942" s="17"/>
      <c r="N1942" s="14" t="s">
        <v>85</v>
      </c>
      <c r="O1942" s="17" t="s">
        <v>104</v>
      </c>
      <c r="P1942" s="17" t="s">
        <v>568</v>
      </c>
      <c r="Q1942" s="17"/>
      <c r="R1942" s="17"/>
      <c r="S1942" s="17">
        <v>11.11429</v>
      </c>
      <c r="T1942" s="17">
        <v>11.642860000000001</v>
      </c>
      <c r="U1942" s="20">
        <f t="shared" si="135"/>
        <v>1.04755769374382</v>
      </c>
      <c r="V1942" s="41">
        <f t="shared" si="134"/>
        <v>4.7557693743820018</v>
      </c>
      <c r="W1942" s="17"/>
      <c r="X1942" s="17" t="s">
        <v>58</v>
      </c>
      <c r="Y1942" s="14">
        <v>55</v>
      </c>
      <c r="Z1942" s="17" t="s">
        <v>58</v>
      </c>
      <c r="AA1942" s="17"/>
      <c r="AB1942" s="17" t="s">
        <v>57</v>
      </c>
      <c r="AC1942" s="17">
        <v>2007</v>
      </c>
      <c r="AD1942" s="17">
        <v>2</v>
      </c>
      <c r="AE1942" s="17"/>
      <c r="AF1942" s="17"/>
      <c r="AG1942" s="17">
        <v>2006</v>
      </c>
      <c r="AH1942" s="14">
        <f t="shared" si="132"/>
        <v>1</v>
      </c>
      <c r="AI1942" s="17">
        <f t="shared" si="133"/>
        <v>3</v>
      </c>
      <c r="AJ1942" s="17"/>
      <c r="AK1942" s="17" t="s">
        <v>56</v>
      </c>
      <c r="AL1942" s="15" t="s">
        <v>1285</v>
      </c>
      <c r="AM1942" s="17">
        <v>2013</v>
      </c>
      <c r="AN1942" s="15" t="s">
        <v>150</v>
      </c>
      <c r="AO1942" s="15" t="s">
        <v>56</v>
      </c>
      <c r="AP1942" s="15"/>
      <c r="AQ1942" s="15" t="s">
        <v>56</v>
      </c>
      <c r="AR1942" s="15" t="s">
        <v>58</v>
      </c>
      <c r="AS1942" s="15" t="s">
        <v>62</v>
      </c>
      <c r="AT1942" s="15"/>
      <c r="AU1942" s="45" t="s">
        <v>2686</v>
      </c>
      <c r="AV1942" s="15"/>
      <c r="AW1942" s="12" t="str">
        <f>B1942&amp;C1942&amp;L1942&amp;M1942&amp;O1942&amp;U1942&amp;AL1942&amp;AM1942</f>
        <v>New CaledoniaNew Caledonia multiple reservesTridacna maximasize1.04755769374382Dumas2013</v>
      </c>
    </row>
    <row r="1943" spans="1:49" ht="14.5" x14ac:dyDescent="0.35">
      <c r="A1943" s="12">
        <v>1942</v>
      </c>
      <c r="B1943" s="15" t="s">
        <v>1282</v>
      </c>
      <c r="C1943" s="15" t="s">
        <v>1283</v>
      </c>
      <c r="D1943" s="15" t="s">
        <v>1283</v>
      </c>
      <c r="E1943" s="15" t="s">
        <v>49</v>
      </c>
      <c r="F1943" s="16" t="s">
        <v>480</v>
      </c>
      <c r="G1943" s="16" t="s">
        <v>51</v>
      </c>
      <c r="H1943" s="16" t="s">
        <v>52</v>
      </c>
      <c r="I1943" s="16" t="s">
        <v>156</v>
      </c>
      <c r="J1943" s="14">
        <v>6.0000000000000001E-3</v>
      </c>
      <c r="K1943" s="17"/>
      <c r="L1943" s="17"/>
      <c r="M1943" s="17" t="s">
        <v>1284</v>
      </c>
      <c r="N1943" s="53" t="s">
        <v>98</v>
      </c>
      <c r="O1943" s="17" t="s">
        <v>101</v>
      </c>
      <c r="P1943" s="17"/>
      <c r="Q1943" s="17"/>
      <c r="R1943" s="17"/>
      <c r="S1943" s="17">
        <v>32.700000000000003</v>
      </c>
      <c r="T1943" s="17">
        <v>28.5</v>
      </c>
      <c r="U1943" s="20">
        <f t="shared" si="135"/>
        <v>0.87155963302752282</v>
      </c>
      <c r="V1943" s="41">
        <f t="shared" si="134"/>
        <v>-12.844036697247718</v>
      </c>
      <c r="W1943" s="17"/>
      <c r="X1943" s="17" t="s">
        <v>56</v>
      </c>
      <c r="Z1943" s="17" t="s">
        <v>56</v>
      </c>
      <c r="AA1943" s="17"/>
      <c r="AB1943" s="17" t="s">
        <v>57</v>
      </c>
      <c r="AC1943" s="17">
        <v>2008</v>
      </c>
      <c r="AD1943" s="17">
        <v>0</v>
      </c>
      <c r="AE1943" s="17"/>
      <c r="AF1943" s="17"/>
      <c r="AG1943" s="17">
        <v>2005</v>
      </c>
      <c r="AH1943" s="14">
        <f t="shared" si="132"/>
        <v>3</v>
      </c>
      <c r="AI1943" s="17">
        <f t="shared" si="133"/>
        <v>3</v>
      </c>
      <c r="AJ1943" s="17"/>
      <c r="AK1943" s="17" t="s">
        <v>56</v>
      </c>
      <c r="AL1943" s="15" t="s">
        <v>1285</v>
      </c>
      <c r="AM1943" s="17">
        <v>2010</v>
      </c>
      <c r="AN1943" s="15" t="s">
        <v>140</v>
      </c>
      <c r="AO1943" s="15" t="s">
        <v>56</v>
      </c>
      <c r="AP1943" s="15"/>
      <c r="AQ1943" s="15" t="s">
        <v>56</v>
      </c>
      <c r="AR1943" s="15" t="s">
        <v>58</v>
      </c>
      <c r="AS1943" s="15" t="s">
        <v>62</v>
      </c>
      <c r="AT1943" s="15"/>
      <c r="AU1943" s="45"/>
      <c r="AV1943" s="15"/>
      <c r="AW1943" s="12" t="str">
        <f>B1943&amp;C1943&amp;L1943&amp;M1943&amp;O1943&amp;U1943&amp;AL1943&amp;AM1943</f>
        <v>VanuatuMangarongo tabu areaLive coralcover0.871559633027523Dumas2010</v>
      </c>
    </row>
    <row r="1944" spans="1:49" ht="14.5" x14ac:dyDescent="0.35">
      <c r="A1944" s="12">
        <v>1943</v>
      </c>
      <c r="B1944" s="15" t="s">
        <v>1282</v>
      </c>
      <c r="C1944" s="15" t="s">
        <v>1283</v>
      </c>
      <c r="D1944" s="15" t="s">
        <v>1283</v>
      </c>
      <c r="E1944" s="15" t="s">
        <v>49</v>
      </c>
      <c r="F1944" s="16" t="s">
        <v>480</v>
      </c>
      <c r="G1944" s="16" t="s">
        <v>51</v>
      </c>
      <c r="H1944" s="16" t="s">
        <v>52</v>
      </c>
      <c r="I1944" s="16" t="s">
        <v>156</v>
      </c>
      <c r="J1944" s="14">
        <v>6.0000000000000001E-3</v>
      </c>
      <c r="K1944" s="17"/>
      <c r="L1944" s="17"/>
      <c r="M1944" s="17" t="s">
        <v>334</v>
      </c>
      <c r="N1944" s="53" t="s">
        <v>98</v>
      </c>
      <c r="O1944" s="17" t="s">
        <v>101</v>
      </c>
      <c r="P1944" s="17"/>
      <c r="Q1944" s="17"/>
      <c r="R1944" s="17"/>
      <c r="S1944" s="17">
        <v>2.5</v>
      </c>
      <c r="T1944" s="17">
        <v>1.9</v>
      </c>
      <c r="U1944" s="20">
        <f t="shared" si="135"/>
        <v>0.76</v>
      </c>
      <c r="V1944" s="41">
        <f t="shared" si="134"/>
        <v>-24</v>
      </c>
      <c r="W1944" s="17"/>
      <c r="X1944" s="17" t="s">
        <v>56</v>
      </c>
      <c r="Z1944" s="17" t="s">
        <v>56</v>
      </c>
      <c r="AA1944" s="17"/>
      <c r="AB1944" s="17" t="s">
        <v>57</v>
      </c>
      <c r="AC1944" s="17">
        <v>2008</v>
      </c>
      <c r="AD1944" s="17">
        <v>0</v>
      </c>
      <c r="AE1944" s="17"/>
      <c r="AF1944" s="17"/>
      <c r="AG1944" s="17">
        <v>2005</v>
      </c>
      <c r="AH1944" s="14">
        <f t="shared" si="132"/>
        <v>3</v>
      </c>
      <c r="AI1944" s="17">
        <f t="shared" si="133"/>
        <v>3</v>
      </c>
      <c r="AJ1944" s="17"/>
      <c r="AK1944" s="17" t="s">
        <v>56</v>
      </c>
      <c r="AL1944" s="15" t="s">
        <v>1285</v>
      </c>
      <c r="AM1944" s="17">
        <v>2010</v>
      </c>
      <c r="AN1944" s="15" t="s">
        <v>140</v>
      </c>
      <c r="AO1944" s="15" t="s">
        <v>56</v>
      </c>
      <c r="AP1944" s="15"/>
      <c r="AQ1944" s="15" t="s">
        <v>56</v>
      </c>
      <c r="AR1944" s="15" t="s">
        <v>58</v>
      </c>
      <c r="AS1944" s="15" t="s">
        <v>62</v>
      </c>
      <c r="AT1944" s="15"/>
      <c r="AU1944" s="45"/>
      <c r="AV1944" s="15"/>
      <c r="AW1944" s="12" t="str">
        <f>B1944&amp;C1944&amp;L1944&amp;M1944&amp;O1944&amp;U1944&amp;AL1944&amp;AM1944</f>
        <v>VanuatuMangarongo tabu areaBranching coralcover0.76Dumas2010</v>
      </c>
    </row>
    <row r="1945" spans="1:49" ht="14.5" x14ac:dyDescent="0.35">
      <c r="A1945" s="12">
        <v>1944</v>
      </c>
      <c r="B1945" s="15" t="s">
        <v>1282</v>
      </c>
      <c r="C1945" s="15" t="s">
        <v>1283</v>
      </c>
      <c r="D1945" s="15" t="s">
        <v>1283</v>
      </c>
      <c r="E1945" s="15" t="s">
        <v>49</v>
      </c>
      <c r="F1945" s="16" t="s">
        <v>480</v>
      </c>
      <c r="G1945" s="16" t="s">
        <v>51</v>
      </c>
      <c r="H1945" s="16" t="s">
        <v>52</v>
      </c>
      <c r="I1945" s="16" t="s">
        <v>156</v>
      </c>
      <c r="J1945" s="14">
        <v>6.0000000000000001E-3</v>
      </c>
      <c r="K1945" s="17"/>
      <c r="L1945" s="17"/>
      <c r="M1945" s="17" t="s">
        <v>330</v>
      </c>
      <c r="N1945" s="53" t="s">
        <v>98</v>
      </c>
      <c r="O1945" s="17" t="s">
        <v>101</v>
      </c>
      <c r="P1945" s="17"/>
      <c r="Q1945" s="17"/>
      <c r="R1945" s="17"/>
      <c r="S1945" s="17">
        <v>6.1</v>
      </c>
      <c r="T1945" s="17">
        <v>7.7</v>
      </c>
      <c r="U1945" s="20">
        <f t="shared" si="135"/>
        <v>1.2622950819672132</v>
      </c>
      <c r="V1945" s="41">
        <f t="shared" si="134"/>
        <v>26.229508196721319</v>
      </c>
      <c r="W1945" s="17"/>
      <c r="X1945" s="17" t="s">
        <v>56</v>
      </c>
      <c r="Z1945" s="17" t="s">
        <v>56</v>
      </c>
      <c r="AA1945" s="17"/>
      <c r="AB1945" s="17" t="s">
        <v>57</v>
      </c>
      <c r="AC1945" s="17">
        <v>2008</v>
      </c>
      <c r="AD1945" s="17">
        <v>0</v>
      </c>
      <c r="AE1945" s="17"/>
      <c r="AF1945" s="17"/>
      <c r="AG1945" s="17">
        <v>2005</v>
      </c>
      <c r="AH1945" s="14">
        <f t="shared" si="132"/>
        <v>3</v>
      </c>
      <c r="AI1945" s="17">
        <f t="shared" si="133"/>
        <v>3</v>
      </c>
      <c r="AJ1945" s="17"/>
      <c r="AK1945" s="17" t="s">
        <v>56</v>
      </c>
      <c r="AL1945" s="15" t="s">
        <v>1285</v>
      </c>
      <c r="AM1945" s="17">
        <v>2010</v>
      </c>
      <c r="AN1945" s="15" t="s">
        <v>140</v>
      </c>
      <c r="AO1945" s="15" t="s">
        <v>56</v>
      </c>
      <c r="AP1945" s="15"/>
      <c r="AQ1945" s="15" t="s">
        <v>56</v>
      </c>
      <c r="AR1945" s="15" t="s">
        <v>58</v>
      </c>
      <c r="AS1945" s="15" t="s">
        <v>62</v>
      </c>
      <c r="AT1945" s="15"/>
      <c r="AU1945" s="45"/>
      <c r="AV1945" s="15"/>
      <c r="AW1945" s="12" t="str">
        <f>B1945&amp;C1945&amp;L1945&amp;M1945&amp;O1945&amp;U1945&amp;AL1945&amp;AM1945</f>
        <v>VanuatuMangarongo tabu areaEncrusting coralcover1.26229508196721Dumas2010</v>
      </c>
    </row>
    <row r="1946" spans="1:49" ht="14.5" x14ac:dyDescent="0.35">
      <c r="A1946" s="12">
        <v>1945</v>
      </c>
      <c r="B1946" s="15" t="s">
        <v>1282</v>
      </c>
      <c r="C1946" s="12" t="s">
        <v>1359</v>
      </c>
      <c r="D1946" s="12" t="s">
        <v>1359</v>
      </c>
      <c r="E1946" s="15" t="s">
        <v>49</v>
      </c>
      <c r="F1946" s="16" t="s">
        <v>480</v>
      </c>
      <c r="G1946" s="16" t="s">
        <v>51</v>
      </c>
      <c r="H1946" s="16" t="s">
        <v>52</v>
      </c>
      <c r="I1946" s="16" t="s">
        <v>156</v>
      </c>
      <c r="J1946" s="14">
        <v>2.3E-2</v>
      </c>
      <c r="K1946" s="17"/>
      <c r="L1946" s="17"/>
      <c r="M1946" s="17" t="s">
        <v>1284</v>
      </c>
      <c r="N1946" s="53" t="s">
        <v>98</v>
      </c>
      <c r="O1946" s="17" t="s">
        <v>101</v>
      </c>
      <c r="P1946" s="17"/>
      <c r="Q1946" s="17"/>
      <c r="R1946" s="17"/>
      <c r="S1946" s="17">
        <v>25.1</v>
      </c>
      <c r="T1946" s="17">
        <v>18.899999999999999</v>
      </c>
      <c r="U1946" s="19">
        <f t="shared" si="135"/>
        <v>0.75298804780876483</v>
      </c>
      <c r="V1946" s="41">
        <f t="shared" si="134"/>
        <v>-24.701195219123516</v>
      </c>
      <c r="W1946" s="17"/>
      <c r="X1946" s="17" t="s">
        <v>56</v>
      </c>
      <c r="Z1946" s="17" t="s">
        <v>56</v>
      </c>
      <c r="AA1946" s="17"/>
      <c r="AB1946" s="17" t="s">
        <v>57</v>
      </c>
      <c r="AC1946" s="17">
        <v>2008</v>
      </c>
      <c r="AD1946" s="17">
        <v>0</v>
      </c>
      <c r="AE1946" s="17"/>
      <c r="AF1946" s="17"/>
      <c r="AG1946" s="17">
        <v>2004</v>
      </c>
      <c r="AH1946" s="14">
        <f t="shared" si="132"/>
        <v>4</v>
      </c>
      <c r="AI1946" s="17">
        <f t="shared" si="133"/>
        <v>4</v>
      </c>
      <c r="AJ1946" s="17"/>
      <c r="AK1946" s="17" t="s">
        <v>56</v>
      </c>
      <c r="AL1946" s="15" t="s">
        <v>1285</v>
      </c>
      <c r="AM1946" s="17">
        <v>2010</v>
      </c>
      <c r="AN1946" s="15" t="s">
        <v>140</v>
      </c>
      <c r="AO1946" s="15" t="s">
        <v>56</v>
      </c>
      <c r="AP1946" s="15"/>
      <c r="AQ1946" s="15" t="s">
        <v>56</v>
      </c>
      <c r="AR1946" s="15" t="s">
        <v>58</v>
      </c>
      <c r="AS1946" s="15" t="s">
        <v>62</v>
      </c>
      <c r="AT1946" s="12"/>
      <c r="AU1946" s="45"/>
      <c r="AV1946" s="15"/>
      <c r="AW1946" s="12" t="str">
        <f>B1946&amp;C1946&amp;L1946&amp;M1946&amp;O1946&amp;U1946&amp;AL1946&amp;AM1946</f>
        <v>VanuatuMarow tabu areaLive coralcover0.752988047808765Dumas2010</v>
      </c>
    </row>
    <row r="1947" spans="1:49" ht="14.5" x14ac:dyDescent="0.35">
      <c r="A1947" s="12">
        <v>1946</v>
      </c>
      <c r="B1947" s="15" t="s">
        <v>1282</v>
      </c>
      <c r="C1947" s="15" t="s">
        <v>1359</v>
      </c>
      <c r="D1947" s="15" t="s">
        <v>1359</v>
      </c>
      <c r="E1947" s="15" t="s">
        <v>49</v>
      </c>
      <c r="F1947" s="16" t="s">
        <v>480</v>
      </c>
      <c r="G1947" s="16" t="s">
        <v>51</v>
      </c>
      <c r="H1947" s="16" t="s">
        <v>52</v>
      </c>
      <c r="I1947" s="16" t="s">
        <v>156</v>
      </c>
      <c r="J1947" s="14">
        <v>2.3E-2</v>
      </c>
      <c r="K1947" s="17"/>
      <c r="L1947" s="17"/>
      <c r="M1947" s="17" t="s">
        <v>334</v>
      </c>
      <c r="N1947" s="53" t="s">
        <v>98</v>
      </c>
      <c r="O1947" s="17" t="s">
        <v>101</v>
      </c>
      <c r="P1947" s="17"/>
      <c r="Q1947" s="17"/>
      <c r="R1947" s="17"/>
      <c r="S1947" s="17">
        <v>1.9</v>
      </c>
      <c r="T1947" s="17">
        <v>2.9</v>
      </c>
      <c r="U1947" s="20">
        <f t="shared" si="135"/>
        <v>1.5263157894736843</v>
      </c>
      <c r="V1947" s="41">
        <f t="shared" si="134"/>
        <v>52.631578947368432</v>
      </c>
      <c r="W1947" s="17"/>
      <c r="X1947" s="17" t="s">
        <v>56</v>
      </c>
      <c r="Z1947" s="17" t="s">
        <v>56</v>
      </c>
      <c r="AA1947" s="17"/>
      <c r="AB1947" s="17" t="s">
        <v>57</v>
      </c>
      <c r="AC1947" s="17">
        <v>2008</v>
      </c>
      <c r="AD1947" s="17">
        <v>0</v>
      </c>
      <c r="AE1947" s="17"/>
      <c r="AF1947" s="17"/>
      <c r="AG1947" s="17">
        <v>2004</v>
      </c>
      <c r="AH1947" s="14">
        <f t="shared" si="132"/>
        <v>4</v>
      </c>
      <c r="AI1947" s="17">
        <f t="shared" si="133"/>
        <v>4</v>
      </c>
      <c r="AJ1947" s="17"/>
      <c r="AK1947" s="17" t="s">
        <v>56</v>
      </c>
      <c r="AL1947" s="15" t="s">
        <v>1285</v>
      </c>
      <c r="AM1947" s="17">
        <v>2010</v>
      </c>
      <c r="AN1947" s="15" t="s">
        <v>140</v>
      </c>
      <c r="AO1947" s="15" t="s">
        <v>56</v>
      </c>
      <c r="AP1947" s="15"/>
      <c r="AQ1947" s="15" t="s">
        <v>56</v>
      </c>
      <c r="AR1947" s="15" t="s">
        <v>58</v>
      </c>
      <c r="AS1947" s="15" t="s">
        <v>62</v>
      </c>
      <c r="AT1947" s="15"/>
      <c r="AU1947" s="45"/>
      <c r="AV1947" s="15"/>
      <c r="AW1947" s="12" t="str">
        <f>B1947&amp;C1947&amp;L1947&amp;M1947&amp;O1947&amp;U1947&amp;AL1947&amp;AM1947</f>
        <v>VanuatuMarow tabu areaBranching coralcover1.52631578947368Dumas2010</v>
      </c>
    </row>
    <row r="1948" spans="1:49" ht="14.5" x14ac:dyDescent="0.35">
      <c r="A1948" s="12">
        <v>1947</v>
      </c>
      <c r="B1948" s="15" t="s">
        <v>1282</v>
      </c>
      <c r="C1948" s="15" t="s">
        <v>1359</v>
      </c>
      <c r="D1948" s="15" t="s">
        <v>1359</v>
      </c>
      <c r="E1948" s="12" t="s">
        <v>49</v>
      </c>
      <c r="F1948" s="13" t="s">
        <v>480</v>
      </c>
      <c r="G1948" s="13" t="s">
        <v>51</v>
      </c>
      <c r="H1948" s="16" t="s">
        <v>52</v>
      </c>
      <c r="I1948" s="16" t="s">
        <v>156</v>
      </c>
      <c r="J1948" s="14">
        <v>2.3E-2</v>
      </c>
      <c r="K1948" s="17"/>
      <c r="L1948" s="17"/>
      <c r="M1948" s="17" t="s">
        <v>330</v>
      </c>
      <c r="N1948" s="53" t="s">
        <v>98</v>
      </c>
      <c r="O1948" s="17" t="s">
        <v>101</v>
      </c>
      <c r="P1948" s="17"/>
      <c r="Q1948" s="17"/>
      <c r="R1948" s="17"/>
      <c r="S1948" s="17">
        <v>4.5999999999999996</v>
      </c>
      <c r="T1948" s="17">
        <v>2.4</v>
      </c>
      <c r="U1948" s="19">
        <f t="shared" si="135"/>
        <v>0.52173913043478259</v>
      </c>
      <c r="V1948" s="41">
        <f t="shared" si="134"/>
        <v>-47.826086956521742</v>
      </c>
      <c r="W1948" s="14"/>
      <c r="X1948" s="17" t="s">
        <v>56</v>
      </c>
      <c r="Y1948" s="17"/>
      <c r="Z1948" s="17" t="s">
        <v>56</v>
      </c>
      <c r="AA1948" s="17"/>
      <c r="AB1948" s="17" t="s">
        <v>57</v>
      </c>
      <c r="AC1948" s="17">
        <v>2008</v>
      </c>
      <c r="AD1948" s="17">
        <v>0</v>
      </c>
      <c r="AE1948" s="17"/>
      <c r="AF1948" s="17"/>
      <c r="AG1948" s="17">
        <v>2004</v>
      </c>
      <c r="AH1948" s="14">
        <f t="shared" si="132"/>
        <v>4</v>
      </c>
      <c r="AI1948" s="17">
        <f t="shared" si="133"/>
        <v>4</v>
      </c>
      <c r="AJ1948" s="17"/>
      <c r="AK1948" s="17" t="s">
        <v>56</v>
      </c>
      <c r="AL1948" s="15" t="s">
        <v>1285</v>
      </c>
      <c r="AM1948" s="17">
        <v>2010</v>
      </c>
      <c r="AN1948" s="15" t="s">
        <v>140</v>
      </c>
      <c r="AO1948" s="15" t="s">
        <v>56</v>
      </c>
      <c r="AP1948" s="15"/>
      <c r="AQ1948" s="15" t="s">
        <v>56</v>
      </c>
      <c r="AR1948" s="15" t="s">
        <v>58</v>
      </c>
      <c r="AS1948" s="15" t="s">
        <v>62</v>
      </c>
      <c r="AT1948" s="12"/>
      <c r="AU1948" s="45"/>
      <c r="AV1948" s="15"/>
      <c r="AW1948" s="12" t="str">
        <f>B1948&amp;C1948&amp;L1948&amp;M1948&amp;O1948&amp;U1948&amp;AL1948&amp;AM1948</f>
        <v>VanuatuMarow tabu areaEncrusting coralcover0.521739130434783Dumas2010</v>
      </c>
    </row>
    <row r="1949" spans="1:49" ht="14.5" x14ac:dyDescent="0.35">
      <c r="A1949" s="12">
        <v>1948</v>
      </c>
      <c r="B1949" s="15" t="s">
        <v>1282</v>
      </c>
      <c r="C1949" s="15" t="s">
        <v>1283</v>
      </c>
      <c r="D1949" s="15" t="s">
        <v>1283</v>
      </c>
      <c r="E1949" s="12" t="s">
        <v>49</v>
      </c>
      <c r="F1949" s="13" t="s">
        <v>480</v>
      </c>
      <c r="G1949" s="13" t="s">
        <v>51</v>
      </c>
      <c r="H1949" s="16" t="s">
        <v>52</v>
      </c>
      <c r="I1949" s="16" t="s">
        <v>156</v>
      </c>
      <c r="J1949" s="17">
        <v>6.0000000000000001E-3</v>
      </c>
      <c r="K1949" s="17"/>
      <c r="L1949" s="17" t="s">
        <v>1286</v>
      </c>
      <c r="M1949" s="17"/>
      <c r="N1949" s="14" t="s">
        <v>85</v>
      </c>
      <c r="O1949" s="17" t="s">
        <v>86</v>
      </c>
      <c r="P1949" s="17"/>
      <c r="Q1949" s="17"/>
      <c r="R1949" s="17"/>
      <c r="S1949" s="17">
        <v>3.1</v>
      </c>
      <c r="T1949" s="17">
        <v>5</v>
      </c>
      <c r="U1949" s="19">
        <f t="shared" si="135"/>
        <v>1.6129032258064515</v>
      </c>
      <c r="V1949" s="41">
        <f t="shared" si="134"/>
        <v>61.290322580645153</v>
      </c>
      <c r="W1949" s="14"/>
      <c r="X1949" s="17" t="s">
        <v>56</v>
      </c>
      <c r="Y1949" s="17"/>
      <c r="Z1949" s="17" t="s">
        <v>56</v>
      </c>
      <c r="AA1949" s="17"/>
      <c r="AB1949" s="17" t="s">
        <v>57</v>
      </c>
      <c r="AC1949" s="17">
        <v>2008</v>
      </c>
      <c r="AD1949" s="17">
        <v>0</v>
      </c>
      <c r="AE1949" s="17"/>
      <c r="AF1949" s="17"/>
      <c r="AG1949" s="17">
        <v>2005</v>
      </c>
      <c r="AH1949" s="14">
        <f t="shared" si="132"/>
        <v>3</v>
      </c>
      <c r="AI1949" s="17">
        <f t="shared" si="133"/>
        <v>3</v>
      </c>
      <c r="AJ1949" s="17"/>
      <c r="AK1949" s="17" t="s">
        <v>56</v>
      </c>
      <c r="AL1949" s="15" t="s">
        <v>1285</v>
      </c>
      <c r="AM1949" s="17">
        <v>2010</v>
      </c>
      <c r="AN1949" s="15" t="s">
        <v>140</v>
      </c>
      <c r="AO1949" s="15" t="s">
        <v>56</v>
      </c>
      <c r="AP1949" s="15"/>
      <c r="AQ1949" s="15" t="s">
        <v>56</v>
      </c>
      <c r="AR1949" s="15" t="s">
        <v>58</v>
      </c>
      <c r="AS1949" s="15" t="s">
        <v>62</v>
      </c>
      <c r="AT1949" s="12"/>
      <c r="AU1949" s="45"/>
      <c r="AV1949" s="15"/>
      <c r="AW1949" s="12" t="str">
        <f>B1949&amp;C1949&amp;L1949&amp;M1949&amp;O1949&amp;U1949&amp;AL1949&amp;AM1949</f>
        <v>VanuatuMangarongo tabu areaTrochus niloticusdensity1.61290322580645Dumas2010</v>
      </c>
    </row>
    <row r="1950" spans="1:49" ht="14.5" x14ac:dyDescent="0.35">
      <c r="A1950" s="12">
        <v>1949</v>
      </c>
      <c r="B1950" s="15" t="s">
        <v>1282</v>
      </c>
      <c r="C1950" s="15" t="s">
        <v>1283</v>
      </c>
      <c r="D1950" s="15" t="s">
        <v>1283</v>
      </c>
      <c r="E1950" s="15" t="s">
        <v>49</v>
      </c>
      <c r="F1950" s="13" t="s">
        <v>480</v>
      </c>
      <c r="G1950" s="13" t="s">
        <v>51</v>
      </c>
      <c r="H1950" s="16" t="s">
        <v>52</v>
      </c>
      <c r="I1950" s="16" t="s">
        <v>156</v>
      </c>
      <c r="J1950" s="17">
        <v>6.0000000000000001E-3</v>
      </c>
      <c r="K1950" s="17"/>
      <c r="L1950" s="17" t="s">
        <v>1287</v>
      </c>
      <c r="M1950" s="17"/>
      <c r="N1950" s="14" t="s">
        <v>85</v>
      </c>
      <c r="O1950" s="17" t="s">
        <v>86</v>
      </c>
      <c r="P1950" s="17"/>
      <c r="Q1950" s="17"/>
      <c r="R1950" s="17"/>
      <c r="S1950" s="17">
        <v>5.4</v>
      </c>
      <c r="T1950" s="17">
        <v>5.7</v>
      </c>
      <c r="U1950" s="20">
        <f t="shared" si="135"/>
        <v>1.0555555555555556</v>
      </c>
      <c r="V1950" s="41">
        <f t="shared" si="134"/>
        <v>5.555555555555558</v>
      </c>
      <c r="W1950" s="17"/>
      <c r="X1950" s="17" t="s">
        <v>56</v>
      </c>
      <c r="Y1950" s="17"/>
      <c r="Z1950" s="17" t="s">
        <v>56</v>
      </c>
      <c r="AA1950" s="17"/>
      <c r="AB1950" s="17" t="s">
        <v>57</v>
      </c>
      <c r="AC1950" s="17">
        <v>2008</v>
      </c>
      <c r="AD1950" s="17">
        <v>0</v>
      </c>
      <c r="AE1950" s="17"/>
      <c r="AF1950" s="17"/>
      <c r="AG1950" s="17">
        <v>2005</v>
      </c>
      <c r="AH1950" s="14">
        <f t="shared" si="132"/>
        <v>3</v>
      </c>
      <c r="AI1950" s="17">
        <f t="shared" si="133"/>
        <v>3</v>
      </c>
      <c r="AJ1950" s="17"/>
      <c r="AK1950" s="17" t="s">
        <v>56</v>
      </c>
      <c r="AL1950" s="15" t="s">
        <v>1285</v>
      </c>
      <c r="AM1950" s="17">
        <v>2010</v>
      </c>
      <c r="AN1950" s="15" t="s">
        <v>140</v>
      </c>
      <c r="AO1950" s="15" t="s">
        <v>56</v>
      </c>
      <c r="AP1950" s="15"/>
      <c r="AQ1950" s="15" t="s">
        <v>56</v>
      </c>
      <c r="AR1950" s="15" t="s">
        <v>58</v>
      </c>
      <c r="AS1950" s="15" t="s">
        <v>62</v>
      </c>
      <c r="AT1950" s="15"/>
      <c r="AU1950" s="45"/>
      <c r="AV1950" s="15"/>
      <c r="AW1950" s="12" t="str">
        <f>B1950&amp;C1950&amp;L1950&amp;M1950&amp;O1950&amp;U1950&amp;AL1950&amp;AM1950</f>
        <v>VanuatuMangarongo tabu areaTridacna maximadensity1.05555555555556Dumas2010</v>
      </c>
    </row>
    <row r="1951" spans="1:49" ht="14.5" x14ac:dyDescent="0.35">
      <c r="A1951" s="12">
        <v>1950</v>
      </c>
      <c r="B1951" s="15" t="s">
        <v>1282</v>
      </c>
      <c r="C1951" s="15" t="s">
        <v>1359</v>
      </c>
      <c r="D1951" s="12" t="s">
        <v>1359</v>
      </c>
      <c r="E1951" s="12" t="s">
        <v>49</v>
      </c>
      <c r="F1951" s="13" t="s">
        <v>480</v>
      </c>
      <c r="G1951" s="13" t="s">
        <v>51</v>
      </c>
      <c r="H1951" s="16" t="s">
        <v>52</v>
      </c>
      <c r="I1951" s="16" t="s">
        <v>156</v>
      </c>
      <c r="J1951" s="17">
        <v>2.3E-2</v>
      </c>
      <c r="K1951" s="17"/>
      <c r="L1951" s="17" t="s">
        <v>1286</v>
      </c>
      <c r="M1951" s="17"/>
      <c r="N1951" s="14" t="s">
        <v>85</v>
      </c>
      <c r="O1951" s="17" t="s">
        <v>86</v>
      </c>
      <c r="P1951" s="17"/>
      <c r="Q1951" s="17"/>
      <c r="R1951" s="17"/>
      <c r="S1951" s="17">
        <v>3.9</v>
      </c>
      <c r="T1951" s="17">
        <v>13.4</v>
      </c>
      <c r="U1951" s="19">
        <f t="shared" si="135"/>
        <v>3.4358974358974361</v>
      </c>
      <c r="V1951" s="41">
        <f t="shared" si="134"/>
        <v>243.58974358974362</v>
      </c>
      <c r="W1951" s="14"/>
      <c r="X1951" s="17" t="s">
        <v>56</v>
      </c>
      <c r="Z1951" s="17" t="s">
        <v>56</v>
      </c>
      <c r="AA1951" s="17"/>
      <c r="AB1951" s="17" t="s">
        <v>57</v>
      </c>
      <c r="AC1951" s="17">
        <v>2008</v>
      </c>
      <c r="AD1951" s="17">
        <v>0</v>
      </c>
      <c r="AE1951" s="17"/>
      <c r="AF1951" s="17"/>
      <c r="AG1951" s="17">
        <v>2004</v>
      </c>
      <c r="AH1951" s="14">
        <f t="shared" si="132"/>
        <v>4</v>
      </c>
      <c r="AI1951" s="17">
        <f t="shared" si="133"/>
        <v>4</v>
      </c>
      <c r="AJ1951" s="17"/>
      <c r="AK1951" s="17" t="s">
        <v>56</v>
      </c>
      <c r="AL1951" s="15" t="s">
        <v>1285</v>
      </c>
      <c r="AM1951" s="17">
        <v>2010</v>
      </c>
      <c r="AN1951" s="15" t="s">
        <v>140</v>
      </c>
      <c r="AO1951" s="15" t="s">
        <v>56</v>
      </c>
      <c r="AP1951" s="15"/>
      <c r="AQ1951" s="15" t="s">
        <v>56</v>
      </c>
      <c r="AR1951" s="15" t="s">
        <v>58</v>
      </c>
      <c r="AS1951" s="15" t="s">
        <v>62</v>
      </c>
      <c r="AT1951" s="12"/>
      <c r="AU1951" s="45"/>
      <c r="AV1951" s="15"/>
      <c r="AW1951" s="12" t="str">
        <f>B1951&amp;C1951&amp;L1951&amp;M1951&amp;O1951&amp;U1951&amp;AL1951&amp;AM1951</f>
        <v>VanuatuMarow tabu areaTrochus niloticusdensity3.43589743589744Dumas2010</v>
      </c>
    </row>
    <row r="1952" spans="1:49" ht="15" customHeight="1" x14ac:dyDescent="0.35">
      <c r="A1952" s="12">
        <v>1951</v>
      </c>
      <c r="B1952" s="15" t="s">
        <v>1282</v>
      </c>
      <c r="C1952" s="15" t="s">
        <v>1359</v>
      </c>
      <c r="D1952" s="12" t="s">
        <v>1359</v>
      </c>
      <c r="E1952" s="12" t="s">
        <v>49</v>
      </c>
      <c r="F1952" s="13" t="s">
        <v>480</v>
      </c>
      <c r="G1952" s="13" t="s">
        <v>51</v>
      </c>
      <c r="H1952" s="16" t="s">
        <v>52</v>
      </c>
      <c r="I1952" s="16" t="s">
        <v>156</v>
      </c>
      <c r="J1952" s="17">
        <v>2.3E-2</v>
      </c>
      <c r="K1952" s="17"/>
      <c r="L1952" s="17" t="s">
        <v>1287</v>
      </c>
      <c r="M1952" s="17"/>
      <c r="N1952" s="14" t="s">
        <v>85</v>
      </c>
      <c r="O1952" s="17" t="s">
        <v>86</v>
      </c>
      <c r="P1952" s="17"/>
      <c r="Q1952" s="17"/>
      <c r="R1952" s="17"/>
      <c r="S1952" s="17">
        <v>4.4000000000000004</v>
      </c>
      <c r="T1952" s="17">
        <v>10.45</v>
      </c>
      <c r="U1952" s="19">
        <f t="shared" si="135"/>
        <v>2.3749999999999996</v>
      </c>
      <c r="V1952" s="41">
        <f t="shared" si="134"/>
        <v>137.49999999999994</v>
      </c>
      <c r="W1952" s="14"/>
      <c r="X1952" s="17" t="s">
        <v>56</v>
      </c>
      <c r="Z1952" s="17" t="s">
        <v>56</v>
      </c>
      <c r="AA1952" s="17"/>
      <c r="AB1952" s="17" t="s">
        <v>57</v>
      </c>
      <c r="AC1952" s="17">
        <v>2008</v>
      </c>
      <c r="AD1952" s="17">
        <v>0</v>
      </c>
      <c r="AE1952" s="17"/>
      <c r="AF1952" s="17"/>
      <c r="AG1952" s="17">
        <v>2004</v>
      </c>
      <c r="AH1952" s="14">
        <f t="shared" si="132"/>
        <v>4</v>
      </c>
      <c r="AI1952" s="17">
        <f t="shared" si="133"/>
        <v>4</v>
      </c>
      <c r="AJ1952" s="17"/>
      <c r="AK1952" s="17" t="s">
        <v>56</v>
      </c>
      <c r="AL1952" s="15" t="s">
        <v>1285</v>
      </c>
      <c r="AM1952" s="17">
        <v>2010</v>
      </c>
      <c r="AN1952" s="15" t="s">
        <v>140</v>
      </c>
      <c r="AO1952" s="15" t="s">
        <v>56</v>
      </c>
      <c r="AP1952" s="15"/>
      <c r="AQ1952" s="15" t="s">
        <v>56</v>
      </c>
      <c r="AR1952" s="15" t="s">
        <v>58</v>
      </c>
      <c r="AS1952" s="15" t="s">
        <v>62</v>
      </c>
      <c r="AT1952" s="12"/>
      <c r="AU1952" s="45"/>
      <c r="AV1952" s="15"/>
      <c r="AW1952" s="12" t="str">
        <f>B1952&amp;C1952&amp;L1952&amp;M1952&amp;O1952&amp;U1952&amp;AL1952&amp;AM1952</f>
        <v>VanuatuMarow tabu areaTridacna maximadensity2.375Dumas2010</v>
      </c>
    </row>
    <row r="1953" spans="1:49" ht="15" customHeight="1" x14ac:dyDescent="0.35">
      <c r="A1953" s="12">
        <v>1952</v>
      </c>
      <c r="B1953" s="15" t="s">
        <v>75</v>
      </c>
      <c r="C1953" s="15" t="s">
        <v>2597</v>
      </c>
      <c r="D1953" s="12" t="s">
        <v>1016</v>
      </c>
      <c r="E1953" s="12" t="s">
        <v>68</v>
      </c>
      <c r="F1953" s="13" t="s">
        <v>274</v>
      </c>
      <c r="G1953" s="13" t="s">
        <v>51</v>
      </c>
      <c r="H1953" s="16" t="s">
        <v>108</v>
      </c>
      <c r="I1953" s="16" t="s">
        <v>53</v>
      </c>
      <c r="J1953" s="17">
        <v>30</v>
      </c>
      <c r="K1953" s="17"/>
      <c r="L1953" s="17" t="s">
        <v>1017</v>
      </c>
      <c r="M1953" s="17"/>
      <c r="N1953" s="14" t="s">
        <v>85</v>
      </c>
      <c r="O1953" s="17" t="s">
        <v>104</v>
      </c>
      <c r="P1953" s="17" t="s">
        <v>1018</v>
      </c>
      <c r="Q1953" s="17"/>
      <c r="R1953" s="17"/>
      <c r="S1953" s="17">
        <v>25.614039999999999</v>
      </c>
      <c r="T1953" s="17">
        <v>25.614039999999999</v>
      </c>
      <c r="U1953" s="19">
        <f t="shared" si="135"/>
        <v>1</v>
      </c>
      <c r="V1953" s="41">
        <f t="shared" si="134"/>
        <v>0</v>
      </c>
      <c r="W1953" s="14"/>
      <c r="X1953" s="17" t="s">
        <v>56</v>
      </c>
      <c r="Z1953" s="17" t="s">
        <v>58</v>
      </c>
      <c r="AA1953" s="17" t="s">
        <v>58</v>
      </c>
      <c r="AB1953" s="17" t="s">
        <v>57</v>
      </c>
      <c r="AC1953" s="17">
        <v>2005</v>
      </c>
      <c r="AD1953" s="17">
        <v>4</v>
      </c>
      <c r="AE1953" s="17"/>
      <c r="AF1953" s="17"/>
      <c r="AG1953" s="17">
        <v>1962</v>
      </c>
      <c r="AH1953" s="14">
        <f t="shared" si="132"/>
        <v>43</v>
      </c>
      <c r="AI1953" s="17">
        <f t="shared" si="133"/>
        <v>47</v>
      </c>
      <c r="AJ1953" s="17"/>
      <c r="AK1953" s="17" t="s">
        <v>56</v>
      </c>
      <c r="AL1953" s="15" t="s">
        <v>1019</v>
      </c>
      <c r="AM1953" s="17">
        <v>2018</v>
      </c>
      <c r="AN1953" s="15" t="s">
        <v>860</v>
      </c>
      <c r="AO1953" s="15" t="s">
        <v>56</v>
      </c>
      <c r="AP1953" s="15"/>
      <c r="AQ1953" s="15" t="s">
        <v>56</v>
      </c>
      <c r="AR1953" s="15" t="s">
        <v>58</v>
      </c>
      <c r="AS1953" s="15" t="s">
        <v>62</v>
      </c>
      <c r="AT1953" s="12"/>
      <c r="AU1953" s="45" t="s">
        <v>2598</v>
      </c>
      <c r="AV1953" s="15"/>
      <c r="AW1953" s="12" t="str">
        <f>B1953&amp;C1953&amp;L1953&amp;M1953&amp;O1953&amp;U1953&amp;AL1953&amp;AM1953</f>
        <v>United StatesKennedy Space Center MPAMugil cephalussize1Douglass2018</v>
      </c>
    </row>
    <row r="1954" spans="1:49" ht="14.5" x14ac:dyDescent="0.35">
      <c r="A1954" s="12">
        <v>1953</v>
      </c>
      <c r="B1954" s="15" t="s">
        <v>75</v>
      </c>
      <c r="C1954" s="15" t="s">
        <v>2597</v>
      </c>
      <c r="D1954" s="12" t="s">
        <v>1016</v>
      </c>
      <c r="E1954" s="15" t="s">
        <v>68</v>
      </c>
      <c r="F1954" s="16" t="s">
        <v>274</v>
      </c>
      <c r="G1954" s="16" t="s">
        <v>51</v>
      </c>
      <c r="H1954" s="16" t="s">
        <v>108</v>
      </c>
      <c r="I1954" s="16" t="s">
        <v>53</v>
      </c>
      <c r="J1954" s="17">
        <v>30</v>
      </c>
      <c r="K1954" s="17"/>
      <c r="L1954" s="17" t="s">
        <v>1020</v>
      </c>
      <c r="M1954" s="17"/>
      <c r="N1954" s="14" t="s">
        <v>85</v>
      </c>
      <c r="O1954" s="17" t="s">
        <v>104</v>
      </c>
      <c r="P1954" s="17" t="s">
        <v>1018</v>
      </c>
      <c r="Q1954" s="17"/>
      <c r="R1954" s="17"/>
      <c r="S1954" s="17">
        <v>18.771930000000001</v>
      </c>
      <c r="T1954" s="17">
        <v>29.298249999999999</v>
      </c>
      <c r="U1954" s="20">
        <f t="shared" si="135"/>
        <v>1.5607478826098327</v>
      </c>
      <c r="V1954" s="41">
        <f t="shared" si="134"/>
        <v>56.074788260983269</v>
      </c>
      <c r="W1954" s="17"/>
      <c r="X1954" s="17" t="s">
        <v>56</v>
      </c>
      <c r="Z1954" s="17" t="s">
        <v>58</v>
      </c>
      <c r="AA1954" s="17" t="s">
        <v>58</v>
      </c>
      <c r="AB1954" s="17" t="s">
        <v>57</v>
      </c>
      <c r="AC1954" s="17">
        <v>2005</v>
      </c>
      <c r="AD1954" s="17">
        <v>4</v>
      </c>
      <c r="AE1954" s="17"/>
      <c r="AF1954" s="17"/>
      <c r="AG1954" s="17">
        <v>1962</v>
      </c>
      <c r="AH1954" s="14">
        <f t="shared" si="132"/>
        <v>43</v>
      </c>
      <c r="AI1954" s="17">
        <f t="shared" si="133"/>
        <v>47</v>
      </c>
      <c r="AJ1954" s="17"/>
      <c r="AK1954" s="17" t="s">
        <v>56</v>
      </c>
      <c r="AL1954" s="15" t="s">
        <v>1019</v>
      </c>
      <c r="AM1954" s="17">
        <v>2018</v>
      </c>
      <c r="AN1954" s="15" t="s">
        <v>860</v>
      </c>
      <c r="AO1954" s="15" t="s">
        <v>56</v>
      </c>
      <c r="AP1954" s="15"/>
      <c r="AQ1954" s="15" t="s">
        <v>56</v>
      </c>
      <c r="AR1954" s="15" t="s">
        <v>58</v>
      </c>
      <c r="AS1954" s="15" t="s">
        <v>62</v>
      </c>
      <c r="AT1954" s="15"/>
      <c r="AU1954" s="45" t="s">
        <v>2599</v>
      </c>
      <c r="AV1954" s="15"/>
      <c r="AW1954" s="12" t="str">
        <f>B1954&amp;C1954&amp;L1954&amp;M1954&amp;O1954&amp;U1954&amp;AL1954&amp;AM1954</f>
        <v>United StatesKennedy Space Center MPAArchosargus probatocephalussize1.56074788260983Douglass2018</v>
      </c>
    </row>
    <row r="1955" spans="1:49" ht="16.75" customHeight="1" x14ac:dyDescent="0.35">
      <c r="A1955" s="12">
        <v>1954</v>
      </c>
      <c r="B1955" s="15" t="s">
        <v>75</v>
      </c>
      <c r="C1955" s="15" t="s">
        <v>2597</v>
      </c>
      <c r="D1955" s="15" t="s">
        <v>1016</v>
      </c>
      <c r="E1955" s="15" t="s">
        <v>68</v>
      </c>
      <c r="F1955" s="16" t="s">
        <v>274</v>
      </c>
      <c r="G1955" s="16" t="s">
        <v>51</v>
      </c>
      <c r="H1955" s="16" t="s">
        <v>108</v>
      </c>
      <c r="I1955" s="16" t="s">
        <v>53</v>
      </c>
      <c r="J1955" s="17">
        <v>30</v>
      </c>
      <c r="K1955" s="17"/>
      <c r="L1955" s="17" t="s">
        <v>1021</v>
      </c>
      <c r="M1955" s="17"/>
      <c r="N1955" s="14" t="s">
        <v>85</v>
      </c>
      <c r="O1955" s="17" t="s">
        <v>104</v>
      </c>
      <c r="P1955" s="17" t="s">
        <v>1018</v>
      </c>
      <c r="Q1955" s="17"/>
      <c r="R1955" s="17"/>
      <c r="S1955" s="17">
        <v>25.789470000000001</v>
      </c>
      <c r="T1955" s="17">
        <v>29.824560000000002</v>
      </c>
      <c r="U1955" s="20">
        <f t="shared" si="135"/>
        <v>1.1564626958212014</v>
      </c>
      <c r="V1955" s="41">
        <f t="shared" si="134"/>
        <v>15.646269582120143</v>
      </c>
      <c r="W1955" s="17"/>
      <c r="X1955" s="17" t="s">
        <v>56</v>
      </c>
      <c r="Z1955" s="17" t="s">
        <v>58</v>
      </c>
      <c r="AA1955" s="17" t="s">
        <v>58</v>
      </c>
      <c r="AB1955" s="17" t="s">
        <v>57</v>
      </c>
      <c r="AC1955" s="17">
        <v>2005</v>
      </c>
      <c r="AD1955" s="17">
        <v>4</v>
      </c>
      <c r="AE1955" s="17"/>
      <c r="AF1955" s="17"/>
      <c r="AG1955" s="17">
        <v>1962</v>
      </c>
      <c r="AH1955" s="14">
        <f t="shared" si="132"/>
        <v>43</v>
      </c>
      <c r="AI1955" s="17">
        <f t="shared" si="133"/>
        <v>47</v>
      </c>
      <c r="AJ1955" s="17"/>
      <c r="AK1955" s="17" t="s">
        <v>56</v>
      </c>
      <c r="AL1955" s="15" t="s">
        <v>1019</v>
      </c>
      <c r="AM1955" s="17">
        <v>2018</v>
      </c>
      <c r="AN1955" s="15" t="s">
        <v>860</v>
      </c>
      <c r="AO1955" s="15" t="s">
        <v>56</v>
      </c>
      <c r="AP1955" s="15"/>
      <c r="AQ1955" s="15" t="s">
        <v>56</v>
      </c>
      <c r="AR1955" s="15" t="s">
        <v>58</v>
      </c>
      <c r="AS1955" s="15" t="s">
        <v>62</v>
      </c>
      <c r="AT1955" s="15"/>
      <c r="AU1955" s="45" t="s">
        <v>2600</v>
      </c>
      <c r="AV1955" s="15"/>
      <c r="AW1955" s="12" t="str">
        <f>B1955&amp;C1955&amp;L1955&amp;M1955&amp;O1955&amp;U1955&amp;AL1955&amp;AM1955</f>
        <v>United StatesKennedy Space Center MPAElops saurussize1.1564626958212Douglass2018</v>
      </c>
    </row>
    <row r="1956" spans="1:49" ht="14.5" x14ac:dyDescent="0.35">
      <c r="A1956" s="12">
        <v>1955</v>
      </c>
      <c r="B1956" s="15" t="s">
        <v>75</v>
      </c>
      <c r="C1956" s="15" t="s">
        <v>2597</v>
      </c>
      <c r="D1956" s="12" t="s">
        <v>1016</v>
      </c>
      <c r="E1956" s="12" t="s">
        <v>68</v>
      </c>
      <c r="F1956" s="16" t="s">
        <v>274</v>
      </c>
      <c r="G1956" s="16" t="s">
        <v>51</v>
      </c>
      <c r="H1956" s="16" t="s">
        <v>108</v>
      </c>
      <c r="I1956" s="16" t="s">
        <v>53</v>
      </c>
      <c r="J1956" s="17">
        <v>30</v>
      </c>
      <c r="K1956" s="17"/>
      <c r="L1956" s="17" t="s">
        <v>393</v>
      </c>
      <c r="M1956" s="17"/>
      <c r="N1956" s="14" t="s">
        <v>85</v>
      </c>
      <c r="O1956" s="17" t="s">
        <v>104</v>
      </c>
      <c r="P1956" s="17" t="s">
        <v>1018</v>
      </c>
      <c r="Q1956" s="17"/>
      <c r="R1956" s="17"/>
      <c r="S1956" s="17">
        <v>14.912280000000001</v>
      </c>
      <c r="T1956" s="17">
        <v>15.96491</v>
      </c>
      <c r="U1956" s="19">
        <f t="shared" si="135"/>
        <v>1.0705881327335591</v>
      </c>
      <c r="V1956" s="41">
        <f t="shared" si="134"/>
        <v>7.0588132733559128</v>
      </c>
      <c r="W1956" s="14"/>
      <c r="X1956" s="17" t="s">
        <v>56</v>
      </c>
      <c r="Z1956" s="17" t="s">
        <v>58</v>
      </c>
      <c r="AA1956" s="17" t="s">
        <v>58</v>
      </c>
      <c r="AB1956" s="17" t="s">
        <v>57</v>
      </c>
      <c r="AC1956" s="17">
        <v>2005</v>
      </c>
      <c r="AD1956" s="17">
        <v>4</v>
      </c>
      <c r="AE1956" s="17"/>
      <c r="AF1956" s="17"/>
      <c r="AG1956" s="17">
        <v>1962</v>
      </c>
      <c r="AH1956" s="14">
        <f t="shared" si="132"/>
        <v>43</v>
      </c>
      <c r="AI1956" s="17">
        <f t="shared" si="133"/>
        <v>47</v>
      </c>
      <c r="AJ1956" s="17"/>
      <c r="AK1956" s="17" t="s">
        <v>56</v>
      </c>
      <c r="AL1956" s="15" t="s">
        <v>1019</v>
      </c>
      <c r="AM1956" s="17">
        <v>2018</v>
      </c>
      <c r="AN1956" s="15" t="s">
        <v>860</v>
      </c>
      <c r="AO1956" s="15" t="s">
        <v>56</v>
      </c>
      <c r="AP1956" s="15"/>
      <c r="AQ1956" s="15" t="s">
        <v>56</v>
      </c>
      <c r="AR1956" s="15" t="s">
        <v>58</v>
      </c>
      <c r="AS1956" s="15" t="s">
        <v>62</v>
      </c>
      <c r="AT1956" s="12"/>
      <c r="AU1956" s="45" t="s">
        <v>2601</v>
      </c>
      <c r="AV1956" s="15"/>
      <c r="AW1956" s="12" t="str">
        <f>B1956&amp;C1956&amp;L1956&amp;M1956&amp;O1956&amp;U1956&amp;AL1956&amp;AM1956</f>
        <v>United StatesKennedy Space Center MPAMugil curemasize1.07058813273356Douglass2018</v>
      </c>
    </row>
    <row r="1957" spans="1:49" ht="14.5" x14ac:dyDescent="0.35">
      <c r="A1957" s="12">
        <v>1956</v>
      </c>
      <c r="B1957" s="15" t="s">
        <v>75</v>
      </c>
      <c r="C1957" s="15" t="s">
        <v>2597</v>
      </c>
      <c r="D1957" s="12" t="s">
        <v>1016</v>
      </c>
      <c r="E1957" s="15" t="s">
        <v>68</v>
      </c>
      <c r="F1957" s="16" t="s">
        <v>274</v>
      </c>
      <c r="G1957" s="16" t="s">
        <v>51</v>
      </c>
      <c r="H1957" s="16" t="s">
        <v>108</v>
      </c>
      <c r="I1957" s="16" t="s">
        <v>53</v>
      </c>
      <c r="J1957" s="17">
        <v>30</v>
      </c>
      <c r="K1957" s="17"/>
      <c r="L1957" s="17" t="s">
        <v>1022</v>
      </c>
      <c r="M1957" s="17"/>
      <c r="N1957" s="14" t="s">
        <v>85</v>
      </c>
      <c r="O1957" s="17" t="s">
        <v>104</v>
      </c>
      <c r="P1957" s="17" t="s">
        <v>1018</v>
      </c>
      <c r="Q1957" s="17"/>
      <c r="R1957" s="17"/>
      <c r="S1957" s="17">
        <v>17.7193</v>
      </c>
      <c r="T1957" s="17">
        <v>17.543859999999999</v>
      </c>
      <c r="U1957" s="20">
        <f t="shared" si="135"/>
        <v>0.99009893167337304</v>
      </c>
      <c r="V1957" s="41">
        <f t="shared" si="134"/>
        <v>-0.99010683266269606</v>
      </c>
      <c r="W1957" s="17"/>
      <c r="X1957" s="17" t="s">
        <v>56</v>
      </c>
      <c r="Z1957" s="17" t="s">
        <v>58</v>
      </c>
      <c r="AA1957" s="17" t="s">
        <v>58</v>
      </c>
      <c r="AB1957" s="17" t="s">
        <v>57</v>
      </c>
      <c r="AC1957" s="17">
        <v>2005</v>
      </c>
      <c r="AD1957" s="17">
        <v>4</v>
      </c>
      <c r="AE1957" s="17"/>
      <c r="AF1957" s="17"/>
      <c r="AG1957" s="17">
        <v>1962</v>
      </c>
      <c r="AH1957" s="14">
        <f t="shared" si="132"/>
        <v>43</v>
      </c>
      <c r="AI1957" s="17">
        <f t="shared" si="133"/>
        <v>47</v>
      </c>
      <c r="AJ1957" s="17"/>
      <c r="AK1957" s="17" t="s">
        <v>56</v>
      </c>
      <c r="AL1957" s="15" t="s">
        <v>1019</v>
      </c>
      <c r="AM1957" s="17">
        <v>2018</v>
      </c>
      <c r="AN1957" s="15" t="s">
        <v>860</v>
      </c>
      <c r="AO1957" s="15" t="s">
        <v>56</v>
      </c>
      <c r="AP1957" s="15"/>
      <c r="AQ1957" s="15" t="s">
        <v>56</v>
      </c>
      <c r="AR1957" s="15" t="s">
        <v>58</v>
      </c>
      <c r="AS1957" s="15" t="s">
        <v>62</v>
      </c>
      <c r="AT1957" s="15"/>
      <c r="AU1957" s="45" t="s">
        <v>2602</v>
      </c>
      <c r="AV1957" s="15"/>
      <c r="AW1957" s="12" t="str">
        <f>B1957&amp;C1957&amp;L1957&amp;M1957&amp;O1957&amp;U1957&amp;AL1957&amp;AM1957</f>
        <v>United StatesKennedy Space Center MPASphoeroides nephelussize0.990098931673373Douglass2018</v>
      </c>
    </row>
    <row r="1958" spans="1:49" ht="14.5" x14ac:dyDescent="0.35">
      <c r="A1958" s="12">
        <v>1957</v>
      </c>
      <c r="B1958" s="15" t="s">
        <v>75</v>
      </c>
      <c r="C1958" s="15" t="s">
        <v>2597</v>
      </c>
      <c r="D1958" s="12" t="s">
        <v>1016</v>
      </c>
      <c r="E1958" s="15" t="s">
        <v>68</v>
      </c>
      <c r="F1958" s="16" t="s">
        <v>274</v>
      </c>
      <c r="G1958" s="16" t="s">
        <v>51</v>
      </c>
      <c r="H1958" s="16" t="s">
        <v>108</v>
      </c>
      <c r="I1958" s="16" t="s">
        <v>53</v>
      </c>
      <c r="J1958" s="17">
        <v>30</v>
      </c>
      <c r="K1958" s="17"/>
      <c r="L1958" s="17" t="s">
        <v>1023</v>
      </c>
      <c r="M1958" s="17"/>
      <c r="N1958" s="14" t="s">
        <v>85</v>
      </c>
      <c r="O1958" s="17" t="s">
        <v>104</v>
      </c>
      <c r="P1958" s="17" t="s">
        <v>1018</v>
      </c>
      <c r="Q1958" s="17"/>
      <c r="R1958" s="17"/>
      <c r="S1958" s="17">
        <v>33.333329999999997</v>
      </c>
      <c r="T1958" s="17">
        <v>47.719299999999997</v>
      </c>
      <c r="U1958" s="20">
        <f t="shared" si="135"/>
        <v>1.4315791431579143</v>
      </c>
      <c r="V1958" s="41">
        <f t="shared" si="134"/>
        <v>43.157914315791437</v>
      </c>
      <c r="W1958" s="17"/>
      <c r="X1958" s="17" t="s">
        <v>56</v>
      </c>
      <c r="Z1958" s="17" t="s">
        <v>58</v>
      </c>
      <c r="AA1958" s="17" t="s">
        <v>58</v>
      </c>
      <c r="AB1958" s="17" t="s">
        <v>57</v>
      </c>
      <c r="AC1958" s="17">
        <v>2005</v>
      </c>
      <c r="AD1958" s="17">
        <v>4</v>
      </c>
      <c r="AE1958" s="17"/>
      <c r="AF1958" s="17"/>
      <c r="AG1958" s="17">
        <v>1962</v>
      </c>
      <c r="AH1958" s="14">
        <f t="shared" si="132"/>
        <v>43</v>
      </c>
      <c r="AI1958" s="17">
        <f t="shared" si="133"/>
        <v>47</v>
      </c>
      <c r="AJ1958" s="17"/>
      <c r="AK1958" s="17" t="s">
        <v>56</v>
      </c>
      <c r="AL1958" s="15" t="s">
        <v>1019</v>
      </c>
      <c r="AM1958" s="17">
        <v>2018</v>
      </c>
      <c r="AN1958" s="15" t="s">
        <v>860</v>
      </c>
      <c r="AO1958" s="15" t="s">
        <v>56</v>
      </c>
      <c r="AP1958" s="15"/>
      <c r="AQ1958" s="15" t="s">
        <v>56</v>
      </c>
      <c r="AR1958" s="15" t="s">
        <v>58</v>
      </c>
      <c r="AS1958" s="15" t="s">
        <v>62</v>
      </c>
      <c r="AT1958" s="15"/>
      <c r="AU1958" s="45" t="s">
        <v>2603</v>
      </c>
      <c r="AV1958" s="15"/>
      <c r="AW1958" s="12" t="str">
        <f>B1958&amp;C1958&amp;L1958&amp;M1958&amp;O1958&amp;U1958&amp;AL1958&amp;AM1958</f>
        <v>United StatesKennedy Space Center MPASciaenops ocellatussize1.43157914315791Douglass2018</v>
      </c>
    </row>
    <row r="1959" spans="1:49" ht="14.5" x14ac:dyDescent="0.35">
      <c r="A1959" s="12">
        <v>1958</v>
      </c>
      <c r="B1959" s="15" t="s">
        <v>75</v>
      </c>
      <c r="C1959" s="15" t="s">
        <v>2597</v>
      </c>
      <c r="D1959" s="12" t="s">
        <v>1016</v>
      </c>
      <c r="E1959" s="12" t="s">
        <v>68</v>
      </c>
      <c r="F1959" s="13" t="s">
        <v>274</v>
      </c>
      <c r="G1959" s="13" t="s">
        <v>51</v>
      </c>
      <c r="H1959" s="16" t="s">
        <v>108</v>
      </c>
      <c r="I1959" s="16" t="s">
        <v>53</v>
      </c>
      <c r="J1959" s="17">
        <v>30</v>
      </c>
      <c r="K1959" s="17"/>
      <c r="L1959" s="17" t="s">
        <v>1024</v>
      </c>
      <c r="M1959" s="17"/>
      <c r="N1959" s="14" t="s">
        <v>85</v>
      </c>
      <c r="O1959" s="17" t="s">
        <v>104</v>
      </c>
      <c r="P1959" s="17" t="s">
        <v>1018</v>
      </c>
      <c r="Q1959" s="17"/>
      <c r="R1959" s="17"/>
      <c r="S1959" s="17">
        <v>37.36842</v>
      </c>
      <c r="T1959" s="17">
        <v>62.63158</v>
      </c>
      <c r="U1959" s="19">
        <f t="shared" si="135"/>
        <v>1.6760564134100397</v>
      </c>
      <c r="V1959" s="41">
        <f t="shared" si="134"/>
        <v>67.605641341003974</v>
      </c>
      <c r="W1959" s="14"/>
      <c r="X1959" s="17" t="s">
        <v>56</v>
      </c>
      <c r="Z1959" s="17" t="s">
        <v>58</v>
      </c>
      <c r="AA1959" s="17" t="s">
        <v>58</v>
      </c>
      <c r="AB1959" s="17" t="s">
        <v>57</v>
      </c>
      <c r="AC1959" s="17">
        <v>2005</v>
      </c>
      <c r="AD1959" s="17">
        <v>4</v>
      </c>
      <c r="AE1959" s="17"/>
      <c r="AF1959" s="17"/>
      <c r="AG1959" s="17">
        <v>1962</v>
      </c>
      <c r="AH1959" s="14">
        <f t="shared" si="132"/>
        <v>43</v>
      </c>
      <c r="AI1959" s="17">
        <f t="shared" si="133"/>
        <v>47</v>
      </c>
      <c r="AJ1959" s="17"/>
      <c r="AK1959" s="17" t="s">
        <v>56</v>
      </c>
      <c r="AL1959" s="15" t="s">
        <v>1019</v>
      </c>
      <c r="AM1959" s="17">
        <v>2018</v>
      </c>
      <c r="AN1959" s="15" t="s">
        <v>860</v>
      </c>
      <c r="AO1959" s="15" t="s">
        <v>56</v>
      </c>
      <c r="AP1959" s="15"/>
      <c r="AQ1959" s="15" t="s">
        <v>56</v>
      </c>
      <c r="AR1959" s="15" t="s">
        <v>58</v>
      </c>
      <c r="AS1959" s="15" t="s">
        <v>62</v>
      </c>
      <c r="AT1959" s="12"/>
      <c r="AU1959" s="45" t="s">
        <v>2604</v>
      </c>
      <c r="AV1959" s="15"/>
      <c r="AW1959" s="12" t="str">
        <f>B1959&amp;C1959&amp;L1959&amp;M1959&amp;O1959&amp;U1959&amp;AL1959&amp;AM1959</f>
        <v>United StatesKennedy Space Center MPAPogonia cromissize1.67605641341004Douglass2018</v>
      </c>
    </row>
    <row r="1960" spans="1:49" ht="14.5" x14ac:dyDescent="0.35">
      <c r="A1960" s="12">
        <v>1959</v>
      </c>
      <c r="B1960" s="15" t="s">
        <v>75</v>
      </c>
      <c r="C1960" s="15" t="s">
        <v>2597</v>
      </c>
      <c r="D1960" s="15" t="s">
        <v>1016</v>
      </c>
      <c r="E1960" s="15" t="s">
        <v>68</v>
      </c>
      <c r="F1960" s="13" t="s">
        <v>274</v>
      </c>
      <c r="G1960" s="13" t="s">
        <v>51</v>
      </c>
      <c r="H1960" s="16" t="s">
        <v>108</v>
      </c>
      <c r="I1960" s="16" t="s">
        <v>53</v>
      </c>
      <c r="J1960" s="17">
        <v>30</v>
      </c>
      <c r="K1960" s="17"/>
      <c r="L1960" s="17" t="s">
        <v>1025</v>
      </c>
      <c r="M1960" s="17"/>
      <c r="N1960" s="14" t="s">
        <v>85</v>
      </c>
      <c r="O1960" s="17" t="s">
        <v>104</v>
      </c>
      <c r="P1960" s="17" t="s">
        <v>1018</v>
      </c>
      <c r="Q1960" s="17"/>
      <c r="R1960" s="17"/>
      <c r="S1960" s="17">
        <v>21.578949999999999</v>
      </c>
      <c r="T1960" s="17">
        <v>31.929819999999999</v>
      </c>
      <c r="U1960" s="20">
        <f t="shared" si="135"/>
        <v>1.4796744049177555</v>
      </c>
      <c r="V1960" s="41">
        <f t="shared" si="134"/>
        <v>47.967440491775548</v>
      </c>
      <c r="W1960" s="17"/>
      <c r="X1960" s="17" t="s">
        <v>56</v>
      </c>
      <c r="Z1960" s="17" t="s">
        <v>58</v>
      </c>
      <c r="AA1960" s="17" t="s">
        <v>58</v>
      </c>
      <c r="AB1960" s="17" t="s">
        <v>57</v>
      </c>
      <c r="AC1960" s="17">
        <v>2005</v>
      </c>
      <c r="AD1960" s="17">
        <v>4</v>
      </c>
      <c r="AE1960" s="17"/>
      <c r="AF1960" s="17"/>
      <c r="AG1960" s="17">
        <v>1962</v>
      </c>
      <c r="AH1960" s="14">
        <f t="shared" si="132"/>
        <v>43</v>
      </c>
      <c r="AI1960" s="17">
        <f t="shared" si="133"/>
        <v>47</v>
      </c>
      <c r="AJ1960" s="17"/>
      <c r="AK1960" s="17" t="s">
        <v>56</v>
      </c>
      <c r="AL1960" s="15" t="s">
        <v>1019</v>
      </c>
      <c r="AM1960" s="17">
        <v>2018</v>
      </c>
      <c r="AN1960" s="15" t="s">
        <v>860</v>
      </c>
      <c r="AO1960" s="15" t="s">
        <v>56</v>
      </c>
      <c r="AP1960" s="15"/>
      <c r="AQ1960" s="15" t="s">
        <v>56</v>
      </c>
      <c r="AR1960" s="15" t="s">
        <v>58</v>
      </c>
      <c r="AS1960" s="15" t="s">
        <v>62</v>
      </c>
      <c r="AT1960" s="15"/>
      <c r="AU1960" s="45" t="s">
        <v>2605</v>
      </c>
      <c r="AV1960" s="15"/>
      <c r="AW1960" s="12" t="str">
        <f>B1960&amp;C1960&amp;L1960&amp;M1960&amp;O1960&amp;U1960&amp;AL1960&amp;AM1960</f>
        <v>United StatesKennedy Space Center MPACaranx hippossize1.47967440491776Douglass2018</v>
      </c>
    </row>
    <row r="1961" spans="1:49" ht="14.5" x14ac:dyDescent="0.35">
      <c r="A1961" s="12">
        <v>1960</v>
      </c>
      <c r="B1961" s="15" t="s">
        <v>75</v>
      </c>
      <c r="C1961" s="15" t="s">
        <v>2597</v>
      </c>
      <c r="D1961" s="15" t="s">
        <v>1016</v>
      </c>
      <c r="E1961" s="15" t="s">
        <v>68</v>
      </c>
      <c r="F1961" s="16" t="s">
        <v>274</v>
      </c>
      <c r="G1961" s="16" t="s">
        <v>51</v>
      </c>
      <c r="H1961" s="16" t="s">
        <v>108</v>
      </c>
      <c r="I1961" s="16" t="s">
        <v>53</v>
      </c>
      <c r="J1961" s="17">
        <v>30</v>
      </c>
      <c r="K1961" s="17"/>
      <c r="L1961" s="17" t="s">
        <v>1026</v>
      </c>
      <c r="M1961" s="17"/>
      <c r="N1961" s="14" t="s">
        <v>85</v>
      </c>
      <c r="O1961" s="17" t="s">
        <v>104</v>
      </c>
      <c r="P1961" s="17" t="s">
        <v>1018</v>
      </c>
      <c r="Q1961" s="17"/>
      <c r="R1961" s="17"/>
      <c r="S1961" s="17">
        <v>42.982460000000003</v>
      </c>
      <c r="T1961" s="17">
        <v>47.36842</v>
      </c>
      <c r="U1961" s="20">
        <f t="shared" si="135"/>
        <v>1.1020406928779785</v>
      </c>
      <c r="V1961" s="41">
        <f t="shared" si="134"/>
        <v>10.204069287797846</v>
      </c>
      <c r="W1961" s="17"/>
      <c r="X1961" s="17" t="s">
        <v>56</v>
      </c>
      <c r="Z1961" s="17" t="s">
        <v>58</v>
      </c>
      <c r="AA1961" s="17" t="s">
        <v>58</v>
      </c>
      <c r="AB1961" s="17" t="s">
        <v>57</v>
      </c>
      <c r="AC1961" s="17">
        <v>2005</v>
      </c>
      <c r="AD1961" s="17">
        <v>4</v>
      </c>
      <c r="AE1961" s="17"/>
      <c r="AF1961" s="17"/>
      <c r="AG1961" s="17">
        <v>1962</v>
      </c>
      <c r="AH1961" s="14">
        <f t="shared" si="132"/>
        <v>43</v>
      </c>
      <c r="AI1961" s="17">
        <f t="shared" si="133"/>
        <v>47</v>
      </c>
      <c r="AJ1961" s="17"/>
      <c r="AK1961" s="17" t="s">
        <v>56</v>
      </c>
      <c r="AL1961" s="15" t="s">
        <v>1019</v>
      </c>
      <c r="AM1961" s="17">
        <v>2018</v>
      </c>
      <c r="AN1961" s="15" t="s">
        <v>860</v>
      </c>
      <c r="AO1961" s="15" t="s">
        <v>56</v>
      </c>
      <c r="AP1961" s="15"/>
      <c r="AQ1961" s="15" t="s">
        <v>56</v>
      </c>
      <c r="AR1961" s="15" t="s">
        <v>58</v>
      </c>
      <c r="AS1961" s="15" t="s">
        <v>62</v>
      </c>
      <c r="AT1961" s="15"/>
      <c r="AU1961" s="45" t="s">
        <v>2606</v>
      </c>
      <c r="AV1961" s="15"/>
      <c r="AW1961" s="12" t="str">
        <f>B1961&amp;C1961&amp;L1961&amp;M1961&amp;O1961&amp;U1961&amp;AL1961&amp;AM1961</f>
        <v>United StatesKennedy Space Center MPACentropomus undecimalissize1.10204069287798Douglass2018</v>
      </c>
    </row>
    <row r="1962" spans="1:49" ht="14.5" x14ac:dyDescent="0.35">
      <c r="A1962" s="12">
        <v>1961</v>
      </c>
      <c r="B1962" s="15" t="s">
        <v>75</v>
      </c>
      <c r="C1962" s="15" t="s">
        <v>2597</v>
      </c>
      <c r="D1962" s="12" t="s">
        <v>1016</v>
      </c>
      <c r="E1962" s="12" t="s">
        <v>68</v>
      </c>
      <c r="F1962" s="13" t="s">
        <v>274</v>
      </c>
      <c r="G1962" s="13" t="s">
        <v>51</v>
      </c>
      <c r="H1962" s="16" t="s">
        <v>108</v>
      </c>
      <c r="I1962" s="16" t="s">
        <v>53</v>
      </c>
      <c r="J1962" s="17">
        <v>30</v>
      </c>
      <c r="K1962" s="17"/>
      <c r="L1962" s="17" t="s">
        <v>1670</v>
      </c>
      <c r="M1962" s="17"/>
      <c r="N1962" s="14" t="s">
        <v>85</v>
      </c>
      <c r="O1962" s="17" t="s">
        <v>104</v>
      </c>
      <c r="P1962" s="17" t="s">
        <v>1018</v>
      </c>
      <c r="Q1962" s="17"/>
      <c r="R1962" s="17"/>
      <c r="S1962" s="17">
        <v>33.508769999999998</v>
      </c>
      <c r="T1962" s="17">
        <v>34.385959999999997</v>
      </c>
      <c r="U1962" s="19">
        <f t="shared" si="135"/>
        <v>1.0261779229735977</v>
      </c>
      <c r="V1962" s="41">
        <f t="shared" si="134"/>
        <v>2.6177922973597667</v>
      </c>
      <c r="W1962" s="14"/>
      <c r="X1962" s="17" t="s">
        <v>56</v>
      </c>
      <c r="Z1962" s="17" t="s">
        <v>58</v>
      </c>
      <c r="AA1962" s="17" t="s">
        <v>58</v>
      </c>
      <c r="AB1962" s="17" t="s">
        <v>57</v>
      </c>
      <c r="AC1962" s="17">
        <v>2005</v>
      </c>
      <c r="AD1962" s="17">
        <v>4</v>
      </c>
      <c r="AE1962" s="17"/>
      <c r="AF1962" s="17"/>
      <c r="AG1962" s="17">
        <v>1962</v>
      </c>
      <c r="AH1962" s="14">
        <f t="shared" si="132"/>
        <v>43</v>
      </c>
      <c r="AI1962" s="17">
        <f t="shared" si="133"/>
        <v>47</v>
      </c>
      <c r="AJ1962" s="17"/>
      <c r="AK1962" s="17" t="s">
        <v>56</v>
      </c>
      <c r="AL1962" s="15" t="s">
        <v>1019</v>
      </c>
      <c r="AM1962" s="17">
        <v>2018</v>
      </c>
      <c r="AN1962" s="15" t="s">
        <v>860</v>
      </c>
      <c r="AO1962" s="15" t="s">
        <v>56</v>
      </c>
      <c r="AP1962" s="15"/>
      <c r="AQ1962" s="15" t="s">
        <v>56</v>
      </c>
      <c r="AR1962" s="15" t="s">
        <v>58</v>
      </c>
      <c r="AS1962" s="15" t="s">
        <v>62</v>
      </c>
      <c r="AT1962" s="12"/>
      <c r="AU1962" s="45" t="s">
        <v>2607</v>
      </c>
      <c r="AV1962" s="15"/>
      <c r="AW1962" s="12" t="str">
        <f>B1962&amp;C1962&amp;L1962&amp;M1962&amp;O1962&amp;U1962&amp;AL1962&amp;AM1962</f>
        <v>United StatesKennedy Space Center MPAStrongylura notatasize1.0261779229736Douglass2018</v>
      </c>
    </row>
    <row r="1963" spans="1:49" ht="14.5" x14ac:dyDescent="0.35">
      <c r="A1963" s="12">
        <v>1962</v>
      </c>
      <c r="B1963" s="15" t="s">
        <v>75</v>
      </c>
      <c r="C1963" s="15" t="s">
        <v>2597</v>
      </c>
      <c r="D1963" s="15" t="s">
        <v>1016</v>
      </c>
      <c r="E1963" s="15" t="s">
        <v>68</v>
      </c>
      <c r="F1963" s="13" t="s">
        <v>274</v>
      </c>
      <c r="G1963" s="13" t="s">
        <v>51</v>
      </c>
      <c r="H1963" s="16" t="s">
        <v>108</v>
      </c>
      <c r="I1963" s="16" t="s">
        <v>53</v>
      </c>
      <c r="J1963" s="17">
        <v>30</v>
      </c>
      <c r="K1963" s="17"/>
      <c r="L1963" s="17" t="s">
        <v>1027</v>
      </c>
      <c r="M1963" s="17"/>
      <c r="N1963" s="14" t="s">
        <v>85</v>
      </c>
      <c r="O1963" s="17" t="s">
        <v>104</v>
      </c>
      <c r="P1963" s="17" t="s">
        <v>1018</v>
      </c>
      <c r="Q1963" s="17"/>
      <c r="R1963" s="17"/>
      <c r="S1963" s="17">
        <v>10.35088</v>
      </c>
      <c r="T1963" s="17">
        <v>10.52632</v>
      </c>
      <c r="U1963" s="20">
        <f t="shared" si="135"/>
        <v>1.0169492835391774</v>
      </c>
      <c r="V1963" s="41">
        <f t="shared" si="134"/>
        <v>1.6949283539177351</v>
      </c>
      <c r="W1963" s="17"/>
      <c r="X1963" s="17" t="s">
        <v>56</v>
      </c>
      <c r="Z1963" s="17" t="s">
        <v>58</v>
      </c>
      <c r="AA1963" s="17" t="s">
        <v>58</v>
      </c>
      <c r="AB1963" s="17" t="s">
        <v>57</v>
      </c>
      <c r="AC1963" s="17">
        <v>2005</v>
      </c>
      <c r="AD1963" s="17">
        <v>4</v>
      </c>
      <c r="AE1963" s="17"/>
      <c r="AF1963" s="17"/>
      <c r="AG1963" s="17">
        <v>1962</v>
      </c>
      <c r="AH1963" s="14">
        <f t="shared" si="132"/>
        <v>43</v>
      </c>
      <c r="AI1963" s="17">
        <f t="shared" si="133"/>
        <v>47</v>
      </c>
      <c r="AJ1963" s="17"/>
      <c r="AK1963" s="17" t="s">
        <v>56</v>
      </c>
      <c r="AL1963" s="15" t="s">
        <v>1019</v>
      </c>
      <c r="AM1963" s="17">
        <v>2018</v>
      </c>
      <c r="AN1963" s="15" t="s">
        <v>860</v>
      </c>
      <c r="AO1963" s="15" t="s">
        <v>56</v>
      </c>
      <c r="AP1963" s="15"/>
      <c r="AQ1963" s="15" t="s">
        <v>56</v>
      </c>
      <c r="AR1963" s="15" t="s">
        <v>58</v>
      </c>
      <c r="AS1963" s="15" t="s">
        <v>62</v>
      </c>
      <c r="AT1963" s="15"/>
      <c r="AU1963" s="45" t="s">
        <v>2608</v>
      </c>
      <c r="AV1963" s="15"/>
      <c r="AW1963" s="12" t="str">
        <f>B1963&amp;C1963&amp;L1963&amp;M1963&amp;O1963&amp;U1963&amp;AL1963&amp;AM1963</f>
        <v>United StatesKennedy Space Center MPAHarengula jaguanasize1.01694928353918Douglass2018</v>
      </c>
    </row>
    <row r="1964" spans="1:49" ht="14.5" x14ac:dyDescent="0.35">
      <c r="A1964" s="12">
        <v>1963</v>
      </c>
      <c r="B1964" s="15" t="s">
        <v>75</v>
      </c>
      <c r="C1964" s="15" t="s">
        <v>2597</v>
      </c>
      <c r="D1964" s="15" t="s">
        <v>1016</v>
      </c>
      <c r="E1964" s="15" t="s">
        <v>68</v>
      </c>
      <c r="F1964" s="13" t="s">
        <v>274</v>
      </c>
      <c r="G1964" s="13" t="s">
        <v>51</v>
      </c>
      <c r="H1964" s="16" t="s">
        <v>108</v>
      </c>
      <c r="I1964" s="16" t="s">
        <v>53</v>
      </c>
      <c r="J1964" s="17">
        <v>30</v>
      </c>
      <c r="K1964" s="17"/>
      <c r="L1964" s="17" t="s">
        <v>1028</v>
      </c>
      <c r="M1964" s="17"/>
      <c r="N1964" s="14" t="s">
        <v>85</v>
      </c>
      <c r="O1964" s="17" t="s">
        <v>104</v>
      </c>
      <c r="P1964" s="17" t="s">
        <v>1018</v>
      </c>
      <c r="Q1964" s="17"/>
      <c r="R1964" s="17"/>
      <c r="S1964" s="17">
        <v>12.63158</v>
      </c>
      <c r="T1964" s="17">
        <v>15.78947</v>
      </c>
      <c r="U1964" s="20">
        <f t="shared" si="135"/>
        <v>1.2499996041666996</v>
      </c>
      <c r="V1964" s="41">
        <f t="shared" si="134"/>
        <v>24.999960416669964</v>
      </c>
      <c r="W1964" s="17"/>
      <c r="X1964" s="17" t="s">
        <v>56</v>
      </c>
      <c r="Z1964" s="17" t="s">
        <v>58</v>
      </c>
      <c r="AA1964" s="17" t="s">
        <v>58</v>
      </c>
      <c r="AB1964" s="17" t="s">
        <v>57</v>
      </c>
      <c r="AC1964" s="17">
        <v>2005</v>
      </c>
      <c r="AD1964" s="17">
        <v>4</v>
      </c>
      <c r="AE1964" s="17"/>
      <c r="AF1964" s="17"/>
      <c r="AG1964" s="17">
        <v>1962</v>
      </c>
      <c r="AH1964" s="14">
        <f t="shared" si="132"/>
        <v>43</v>
      </c>
      <c r="AI1964" s="17">
        <f t="shared" si="133"/>
        <v>47</v>
      </c>
      <c r="AJ1964" s="17"/>
      <c r="AK1964" s="17" t="s">
        <v>56</v>
      </c>
      <c r="AL1964" s="15" t="s">
        <v>1019</v>
      </c>
      <c r="AM1964" s="17">
        <v>2018</v>
      </c>
      <c r="AN1964" s="15" t="s">
        <v>860</v>
      </c>
      <c r="AO1964" s="15" t="s">
        <v>56</v>
      </c>
      <c r="AP1964" s="15"/>
      <c r="AQ1964" s="15" t="s">
        <v>56</v>
      </c>
      <c r="AR1964" s="15" t="s">
        <v>58</v>
      </c>
      <c r="AS1964" s="15" t="s">
        <v>62</v>
      </c>
      <c r="AT1964" s="15"/>
      <c r="AU1964" s="45" t="s">
        <v>2609</v>
      </c>
      <c r="AV1964" s="15"/>
      <c r="AW1964" s="12" t="str">
        <f>B1964&amp;C1964&amp;L1964&amp;M1964&amp;O1964&amp;U1964&amp;AL1964&amp;AM1964</f>
        <v>United StatesKennedy Space Center MPALagodon rhomboidessize1.2499996041667Douglass2018</v>
      </c>
    </row>
    <row r="1965" spans="1:49" ht="14.5" x14ac:dyDescent="0.35">
      <c r="A1965" s="12">
        <v>1964</v>
      </c>
      <c r="B1965" s="15" t="s">
        <v>75</v>
      </c>
      <c r="C1965" s="15" t="s">
        <v>2597</v>
      </c>
      <c r="D1965" s="15" t="s">
        <v>1016</v>
      </c>
      <c r="E1965" s="15" t="s">
        <v>68</v>
      </c>
      <c r="F1965" s="13" t="s">
        <v>274</v>
      </c>
      <c r="G1965" s="13" t="s">
        <v>51</v>
      </c>
      <c r="H1965" s="16" t="s">
        <v>108</v>
      </c>
      <c r="I1965" s="16" t="s">
        <v>53</v>
      </c>
      <c r="J1965" s="17">
        <v>30</v>
      </c>
      <c r="K1965" s="17"/>
      <c r="L1965" s="17" t="s">
        <v>781</v>
      </c>
      <c r="M1965" s="17"/>
      <c r="N1965" s="14" t="s">
        <v>85</v>
      </c>
      <c r="O1965" s="17" t="s">
        <v>104</v>
      </c>
      <c r="P1965" s="17" t="s">
        <v>1018</v>
      </c>
      <c r="Q1965" s="17"/>
      <c r="R1965" s="17"/>
      <c r="S1965" s="17">
        <v>20.877189999999999</v>
      </c>
      <c r="T1965" s="17">
        <v>24.03509</v>
      </c>
      <c r="U1965" s="20">
        <f t="shared" si="135"/>
        <v>1.1512607779112036</v>
      </c>
      <c r="V1965" s="41">
        <f t="shared" si="134"/>
        <v>15.126077791120363</v>
      </c>
      <c r="W1965" s="17"/>
      <c r="X1965" s="14" t="s">
        <v>56</v>
      </c>
      <c r="Z1965" s="17" t="s">
        <v>58</v>
      </c>
      <c r="AA1965" s="17" t="s">
        <v>58</v>
      </c>
      <c r="AB1965" s="17" t="s">
        <v>57</v>
      </c>
      <c r="AC1965" s="17">
        <v>2005</v>
      </c>
      <c r="AD1965" s="17">
        <v>4</v>
      </c>
      <c r="AE1965" s="17"/>
      <c r="AF1965" s="17"/>
      <c r="AG1965" s="17">
        <v>1962</v>
      </c>
      <c r="AH1965" s="14">
        <f t="shared" si="132"/>
        <v>43</v>
      </c>
      <c r="AI1965" s="17">
        <f t="shared" si="133"/>
        <v>47</v>
      </c>
      <c r="AJ1965" s="17"/>
      <c r="AK1965" s="17" t="s">
        <v>56</v>
      </c>
      <c r="AL1965" s="15" t="s">
        <v>1019</v>
      </c>
      <c r="AM1965" s="17">
        <v>2018</v>
      </c>
      <c r="AN1965" s="15" t="s">
        <v>860</v>
      </c>
      <c r="AO1965" s="15" t="s">
        <v>56</v>
      </c>
      <c r="AP1965" s="15"/>
      <c r="AQ1965" s="15" t="s">
        <v>56</v>
      </c>
      <c r="AR1965" s="15" t="s">
        <v>58</v>
      </c>
      <c r="AS1965" s="15" t="s">
        <v>62</v>
      </c>
      <c r="AT1965" s="15"/>
      <c r="AU1965" s="45" t="s">
        <v>2610</v>
      </c>
      <c r="AV1965" s="15"/>
      <c r="AW1965" s="12" t="str">
        <f>B1965&amp;C1965&amp;L1965&amp;M1965&amp;O1965&amp;U1965&amp;AL1965&amp;AM1965</f>
        <v>United StatesKennedy Space Center MPALutjanus griseussize1.1512607779112Douglass2018</v>
      </c>
    </row>
    <row r="1966" spans="1:49" ht="14.5" x14ac:dyDescent="0.35">
      <c r="A1966" s="12">
        <v>1965</v>
      </c>
      <c r="B1966" s="15" t="s">
        <v>75</v>
      </c>
      <c r="C1966" s="12" t="s">
        <v>2597</v>
      </c>
      <c r="D1966" s="12" t="s">
        <v>1016</v>
      </c>
      <c r="E1966" s="12" t="s">
        <v>68</v>
      </c>
      <c r="F1966" s="13" t="s">
        <v>274</v>
      </c>
      <c r="G1966" s="13" t="s">
        <v>51</v>
      </c>
      <c r="H1966" s="13" t="s">
        <v>108</v>
      </c>
      <c r="I1966" s="13" t="s">
        <v>53</v>
      </c>
      <c r="J1966" s="17">
        <v>30</v>
      </c>
      <c r="K1966" s="17"/>
      <c r="L1966" s="14" t="s">
        <v>1029</v>
      </c>
      <c r="M1966" s="14"/>
      <c r="N1966" s="14" t="s">
        <v>85</v>
      </c>
      <c r="O1966" s="17" t="s">
        <v>104</v>
      </c>
      <c r="P1966" s="14" t="s">
        <v>1018</v>
      </c>
      <c r="Q1966" s="14"/>
      <c r="R1966" s="14"/>
      <c r="S1966" s="14">
        <v>21.578949999999999</v>
      </c>
      <c r="T1966" s="14">
        <v>25.96491</v>
      </c>
      <c r="U1966" s="19">
        <f t="shared" si="135"/>
        <v>1.2032517800912463</v>
      </c>
      <c r="V1966" s="41">
        <f t="shared" si="134"/>
        <v>20.325178009124635</v>
      </c>
      <c r="W1966" s="14"/>
      <c r="X1966" s="14" t="s">
        <v>56</v>
      </c>
      <c r="Z1966" s="14" t="s">
        <v>58</v>
      </c>
      <c r="AA1966" s="14" t="s">
        <v>58</v>
      </c>
      <c r="AB1966" s="14" t="s">
        <v>57</v>
      </c>
      <c r="AC1966" s="14">
        <v>2005</v>
      </c>
      <c r="AD1966" s="14">
        <v>4</v>
      </c>
      <c r="AE1966" s="14"/>
      <c r="AF1966" s="14"/>
      <c r="AG1966" s="17">
        <v>1962</v>
      </c>
      <c r="AH1966" s="14">
        <f t="shared" si="132"/>
        <v>43</v>
      </c>
      <c r="AI1966" s="17">
        <f t="shared" si="133"/>
        <v>47</v>
      </c>
      <c r="AJ1966" s="14"/>
      <c r="AK1966" s="14" t="s">
        <v>56</v>
      </c>
      <c r="AL1966" s="12" t="s">
        <v>1019</v>
      </c>
      <c r="AM1966" s="14">
        <v>2018</v>
      </c>
      <c r="AN1966" s="12" t="s">
        <v>860</v>
      </c>
      <c r="AO1966" s="12" t="s">
        <v>56</v>
      </c>
      <c r="AP1966" s="12"/>
      <c r="AQ1966" s="12" t="s">
        <v>56</v>
      </c>
      <c r="AR1966" s="12" t="s">
        <v>58</v>
      </c>
      <c r="AS1966" s="12" t="s">
        <v>62</v>
      </c>
      <c r="AT1966" s="12"/>
      <c r="AU1966" s="45" t="s">
        <v>2611</v>
      </c>
      <c r="AV1966" s="15"/>
      <c r="AW1966" s="12" t="str">
        <f>B1966&amp;C1966&amp;L1966&amp;M1966&amp;O1966&amp;U1966&amp;AL1966&amp;AM1966</f>
        <v>United StatesKennedy Space Center MPADasyatis sabinasize1.20325178009125Douglass2018</v>
      </c>
    </row>
    <row r="1967" spans="1:49" ht="14.5" x14ac:dyDescent="0.35">
      <c r="A1967" s="12">
        <v>1966</v>
      </c>
      <c r="B1967" s="15" t="s">
        <v>75</v>
      </c>
      <c r="C1967" s="12" t="s">
        <v>2597</v>
      </c>
      <c r="D1967" s="12" t="s">
        <v>1016</v>
      </c>
      <c r="E1967" s="12" t="s">
        <v>68</v>
      </c>
      <c r="F1967" s="13" t="s">
        <v>274</v>
      </c>
      <c r="G1967" s="13" t="s">
        <v>51</v>
      </c>
      <c r="H1967" s="13" t="s">
        <v>108</v>
      </c>
      <c r="I1967" s="13" t="s">
        <v>53</v>
      </c>
      <c r="J1967" s="17">
        <v>30</v>
      </c>
      <c r="K1967" s="14"/>
      <c r="L1967" s="14" t="s">
        <v>1693</v>
      </c>
      <c r="M1967" s="14"/>
      <c r="N1967" s="14" t="s">
        <v>85</v>
      </c>
      <c r="O1967" s="17" t="s">
        <v>104</v>
      </c>
      <c r="P1967" s="14" t="s">
        <v>1018</v>
      </c>
      <c r="Q1967" s="14"/>
      <c r="R1967" s="14"/>
      <c r="S1967" s="14">
        <v>10.76863</v>
      </c>
      <c r="T1967" s="14">
        <v>24.385960000000001</v>
      </c>
      <c r="U1967" s="19">
        <f t="shared" si="135"/>
        <v>2.2645369002370774</v>
      </c>
      <c r="V1967" s="41">
        <f t="shared" si="134"/>
        <v>126.45369002370774</v>
      </c>
      <c r="W1967" s="14"/>
      <c r="X1967" s="14" t="s">
        <v>56</v>
      </c>
      <c r="Z1967" s="14" t="s">
        <v>58</v>
      </c>
      <c r="AA1967" s="14" t="s">
        <v>58</v>
      </c>
      <c r="AB1967" s="14" t="s">
        <v>57</v>
      </c>
      <c r="AC1967" s="14">
        <v>2005</v>
      </c>
      <c r="AD1967" s="14">
        <v>4</v>
      </c>
      <c r="AE1967" s="14"/>
      <c r="AF1967" s="14"/>
      <c r="AG1967" s="17">
        <v>1962</v>
      </c>
      <c r="AH1967" s="14">
        <f t="shared" si="132"/>
        <v>43</v>
      </c>
      <c r="AI1967" s="17">
        <f t="shared" si="133"/>
        <v>47</v>
      </c>
      <c r="AJ1967" s="14"/>
      <c r="AK1967" s="14" t="s">
        <v>56</v>
      </c>
      <c r="AL1967" s="12" t="s">
        <v>1019</v>
      </c>
      <c r="AM1967" s="14">
        <v>2018</v>
      </c>
      <c r="AN1967" s="12" t="s">
        <v>860</v>
      </c>
      <c r="AO1967" s="12" t="s">
        <v>56</v>
      </c>
      <c r="AP1967" s="12"/>
      <c r="AQ1967" s="12" t="s">
        <v>56</v>
      </c>
      <c r="AR1967" s="12" t="s">
        <v>58</v>
      </c>
      <c r="AS1967" s="12" t="s">
        <v>62</v>
      </c>
      <c r="AT1967" s="12"/>
      <c r="AU1967" s="45" t="s">
        <v>2612</v>
      </c>
      <c r="AV1967" s="15"/>
      <c r="AW1967" s="12" t="str">
        <f>B1967&amp;C1967&amp;L1967&amp;M1967&amp;O1967&amp;U1967&amp;AL1967&amp;AM1967</f>
        <v>United StatesKennedy Space Center MPATrachinotus falcatussize2.26453690023708Douglass2018</v>
      </c>
    </row>
    <row r="1968" spans="1:49" ht="14.5" x14ac:dyDescent="0.35">
      <c r="A1968" s="12">
        <v>1967</v>
      </c>
      <c r="B1968" s="15" t="s">
        <v>75</v>
      </c>
      <c r="C1968" s="15" t="s">
        <v>2597</v>
      </c>
      <c r="D1968" s="15" t="s">
        <v>1016</v>
      </c>
      <c r="E1968" s="15" t="s">
        <v>68</v>
      </c>
      <c r="F1968" s="13" t="s">
        <v>274</v>
      </c>
      <c r="G1968" s="13" t="s">
        <v>51</v>
      </c>
      <c r="H1968" s="16" t="s">
        <v>108</v>
      </c>
      <c r="I1968" s="16" t="s">
        <v>53</v>
      </c>
      <c r="J1968" s="17">
        <v>30</v>
      </c>
      <c r="K1968" s="17"/>
      <c r="L1968" s="17" t="s">
        <v>1030</v>
      </c>
      <c r="M1968" s="17"/>
      <c r="N1968" s="14" t="s">
        <v>85</v>
      </c>
      <c r="O1968" s="17" t="s">
        <v>104</v>
      </c>
      <c r="P1968" s="17" t="s">
        <v>1018</v>
      </c>
      <c r="Q1968" s="17"/>
      <c r="R1968" s="17"/>
      <c r="S1968" s="17">
        <v>35.438600000000001</v>
      </c>
      <c r="T1968" s="17">
        <v>40</v>
      </c>
      <c r="U1968" s="20">
        <f t="shared" si="135"/>
        <v>1.1287127595333901</v>
      </c>
      <c r="V1968" s="41">
        <f t="shared" si="134"/>
        <v>12.871275953339012</v>
      </c>
      <c r="W1968" s="17"/>
      <c r="X1968" s="14" t="s">
        <v>56</v>
      </c>
      <c r="Z1968" s="17" t="s">
        <v>58</v>
      </c>
      <c r="AA1968" s="17" t="s">
        <v>58</v>
      </c>
      <c r="AB1968" s="17" t="s">
        <v>57</v>
      </c>
      <c r="AC1968" s="17">
        <v>2005</v>
      </c>
      <c r="AD1968" s="17">
        <v>4</v>
      </c>
      <c r="AE1968" s="17"/>
      <c r="AF1968" s="17"/>
      <c r="AG1968" s="17">
        <v>1962</v>
      </c>
      <c r="AH1968" s="14">
        <f t="shared" si="132"/>
        <v>43</v>
      </c>
      <c r="AI1968" s="17">
        <f t="shared" si="133"/>
        <v>47</v>
      </c>
      <c r="AJ1968" s="17"/>
      <c r="AK1968" s="17" t="s">
        <v>56</v>
      </c>
      <c r="AL1968" s="15" t="s">
        <v>1019</v>
      </c>
      <c r="AM1968" s="17">
        <v>2018</v>
      </c>
      <c r="AN1968" s="15" t="s">
        <v>860</v>
      </c>
      <c r="AO1968" s="15" t="s">
        <v>56</v>
      </c>
      <c r="AP1968" s="15"/>
      <c r="AQ1968" s="15" t="s">
        <v>56</v>
      </c>
      <c r="AR1968" s="15" t="s">
        <v>58</v>
      </c>
      <c r="AS1968" s="15" t="s">
        <v>62</v>
      </c>
      <c r="AT1968" s="15"/>
      <c r="AU1968" s="45" t="s">
        <v>2613</v>
      </c>
      <c r="AV1968" s="15"/>
      <c r="AW1968" s="12" t="str">
        <f>B1968&amp;C1968&amp;L1968&amp;M1968&amp;O1968&amp;U1968&amp;AL1968&amp;AM1968</f>
        <v>United StatesKennedy Space Center MPADasyatis saysize1.12871275953339Douglass2018</v>
      </c>
    </row>
    <row r="1969" spans="1:49" ht="14.5" x14ac:dyDescent="0.35">
      <c r="A1969" s="12">
        <v>1968</v>
      </c>
      <c r="B1969" s="15" t="s">
        <v>75</v>
      </c>
      <c r="C1969" s="12" t="s">
        <v>2597</v>
      </c>
      <c r="D1969" s="12" t="s">
        <v>1016</v>
      </c>
      <c r="E1969" s="12" t="s">
        <v>68</v>
      </c>
      <c r="F1969" s="13" t="s">
        <v>274</v>
      </c>
      <c r="G1969" s="13" t="s">
        <v>51</v>
      </c>
      <c r="H1969" s="13" t="s">
        <v>108</v>
      </c>
      <c r="I1969" s="13" t="s">
        <v>53</v>
      </c>
      <c r="J1969" s="17">
        <v>30</v>
      </c>
      <c r="K1969" s="17"/>
      <c r="L1969" s="14" t="s">
        <v>1699</v>
      </c>
      <c r="M1969" s="14"/>
      <c r="N1969" s="14" t="s">
        <v>85</v>
      </c>
      <c r="O1969" s="17" t="s">
        <v>104</v>
      </c>
      <c r="P1969" s="14" t="s">
        <v>1018</v>
      </c>
      <c r="Q1969" s="14"/>
      <c r="R1969" s="14"/>
      <c r="S1969" s="14">
        <v>17.543859999999999</v>
      </c>
      <c r="T1969" s="14">
        <v>16.31579</v>
      </c>
      <c r="U1969" s="19">
        <f t="shared" si="135"/>
        <v>0.93000001139999988</v>
      </c>
      <c r="V1969" s="41">
        <f t="shared" si="134"/>
        <v>-6.9999988600000123</v>
      </c>
      <c r="W1969" s="14"/>
      <c r="X1969" s="14" t="s">
        <v>56</v>
      </c>
      <c r="Z1969" s="14" t="s">
        <v>58</v>
      </c>
      <c r="AA1969" s="14" t="s">
        <v>58</v>
      </c>
      <c r="AB1969" s="14" t="s">
        <v>57</v>
      </c>
      <c r="AC1969" s="14">
        <v>2005</v>
      </c>
      <c r="AD1969" s="14">
        <v>4</v>
      </c>
      <c r="AE1969" s="14"/>
      <c r="AF1969" s="14"/>
      <c r="AG1969" s="17">
        <v>1962</v>
      </c>
      <c r="AH1969" s="14">
        <f t="shared" si="132"/>
        <v>43</v>
      </c>
      <c r="AI1969" s="17">
        <f t="shared" si="133"/>
        <v>47</v>
      </c>
      <c r="AJ1969" s="14"/>
      <c r="AK1969" s="14" t="s">
        <v>56</v>
      </c>
      <c r="AL1969" s="12" t="s">
        <v>1019</v>
      </c>
      <c r="AM1969" s="14">
        <v>2018</v>
      </c>
      <c r="AN1969" s="12" t="s">
        <v>860</v>
      </c>
      <c r="AO1969" s="12" t="s">
        <v>56</v>
      </c>
      <c r="AP1969" s="12"/>
      <c r="AQ1969" s="12" t="s">
        <v>56</v>
      </c>
      <c r="AR1969" s="12" t="s">
        <v>58</v>
      </c>
      <c r="AS1969" s="12" t="s">
        <v>62</v>
      </c>
      <c r="AT1969" s="12"/>
      <c r="AU1969" s="45" t="s">
        <v>2614</v>
      </c>
      <c r="AV1969" s="15"/>
      <c r="AW1969" s="12" t="str">
        <f>B1969&amp;C1969&amp;L1969&amp;M1969&amp;O1969&amp;U1969&amp;AL1969&amp;AM1969</f>
        <v>United StatesKennedy Space Center MPAChilomycterus schoepfiisize0.9300000114Douglass2018</v>
      </c>
    </row>
    <row r="1970" spans="1:49" ht="14.5" x14ac:dyDescent="0.35">
      <c r="A1970" s="12">
        <v>1969</v>
      </c>
      <c r="B1970" s="15" t="s">
        <v>75</v>
      </c>
      <c r="C1970" s="12" t="s">
        <v>2597</v>
      </c>
      <c r="D1970" s="12" t="s">
        <v>1016</v>
      </c>
      <c r="E1970" s="12" t="s">
        <v>68</v>
      </c>
      <c r="F1970" s="13" t="s">
        <v>274</v>
      </c>
      <c r="G1970" s="13" t="s">
        <v>51</v>
      </c>
      <c r="H1970" s="13" t="s">
        <v>108</v>
      </c>
      <c r="I1970" s="13" t="s">
        <v>53</v>
      </c>
      <c r="J1970" s="17">
        <v>30</v>
      </c>
      <c r="K1970" s="14"/>
      <c r="L1970" s="14" t="s">
        <v>1031</v>
      </c>
      <c r="M1970" s="14"/>
      <c r="N1970" s="14" t="s">
        <v>85</v>
      </c>
      <c r="O1970" s="17" t="s">
        <v>104</v>
      </c>
      <c r="P1970" s="14" t="s">
        <v>1018</v>
      </c>
      <c r="Q1970" s="14"/>
      <c r="R1970" s="14"/>
      <c r="S1970" s="14">
        <v>10.52632</v>
      </c>
      <c r="T1970" s="14">
        <v>18.070180000000001</v>
      </c>
      <c r="U1970" s="19">
        <f t="shared" si="135"/>
        <v>1.7166664133334346</v>
      </c>
      <c r="V1970" s="41">
        <f t="shared" si="134"/>
        <v>71.666641333343463</v>
      </c>
      <c r="W1970" s="14"/>
      <c r="X1970" s="14" t="s">
        <v>56</v>
      </c>
      <c r="Z1970" s="14" t="s">
        <v>58</v>
      </c>
      <c r="AA1970" s="14" t="s">
        <v>58</v>
      </c>
      <c r="AB1970" s="14" t="s">
        <v>57</v>
      </c>
      <c r="AC1970" s="14">
        <v>2005</v>
      </c>
      <c r="AD1970" s="14">
        <v>4</v>
      </c>
      <c r="AE1970" s="14"/>
      <c r="AF1970" s="14"/>
      <c r="AG1970" s="17">
        <v>1962</v>
      </c>
      <c r="AH1970" s="14">
        <f t="shared" si="132"/>
        <v>43</v>
      </c>
      <c r="AI1970" s="17">
        <f t="shared" si="133"/>
        <v>47</v>
      </c>
      <c r="AJ1970" s="14"/>
      <c r="AK1970" s="14" t="s">
        <v>56</v>
      </c>
      <c r="AL1970" s="12" t="s">
        <v>1019</v>
      </c>
      <c r="AM1970" s="14">
        <v>2018</v>
      </c>
      <c r="AN1970" s="12" t="s">
        <v>860</v>
      </c>
      <c r="AO1970" s="12" t="s">
        <v>56</v>
      </c>
      <c r="AP1970" s="12"/>
      <c r="AQ1970" s="12" t="s">
        <v>56</v>
      </c>
      <c r="AR1970" s="12" t="s">
        <v>58</v>
      </c>
      <c r="AS1970" s="12" t="s">
        <v>62</v>
      </c>
      <c r="AT1970" s="12"/>
      <c r="AU1970" s="45" t="s">
        <v>2615</v>
      </c>
      <c r="AV1970" s="15"/>
      <c r="AW1970" s="12" t="str">
        <f>B1970&amp;C1970&amp;L1970&amp;M1970&amp;O1970&amp;U1970&amp;AL1970&amp;AM1970</f>
        <v>United StatesKennedy Space Center MPAOrthopristis chrysopterasize1.71666641333343Douglass2018</v>
      </c>
    </row>
    <row r="1971" spans="1:49" ht="14.5" x14ac:dyDescent="0.35">
      <c r="A1971" s="12">
        <v>1970</v>
      </c>
      <c r="B1971" s="15" t="s">
        <v>75</v>
      </c>
      <c r="C1971" s="15" t="s">
        <v>2597</v>
      </c>
      <c r="D1971" s="15" t="s">
        <v>1016</v>
      </c>
      <c r="E1971" s="15" t="s">
        <v>68</v>
      </c>
      <c r="F1971" s="16" t="s">
        <v>274</v>
      </c>
      <c r="G1971" s="16" t="s">
        <v>51</v>
      </c>
      <c r="H1971" s="16" t="s">
        <v>108</v>
      </c>
      <c r="I1971" s="16" t="s">
        <v>53</v>
      </c>
      <c r="J1971" s="17">
        <v>30</v>
      </c>
      <c r="K1971" s="17"/>
      <c r="L1971" s="17" t="s">
        <v>1032</v>
      </c>
      <c r="M1971" s="17"/>
      <c r="N1971" s="14" t="s">
        <v>85</v>
      </c>
      <c r="O1971" s="17" t="s">
        <v>104</v>
      </c>
      <c r="P1971" s="17" t="s">
        <v>1018</v>
      </c>
      <c r="Q1971" s="17"/>
      <c r="R1971" s="17"/>
      <c r="S1971" s="17">
        <v>6.3157889999999997</v>
      </c>
      <c r="T1971" s="17">
        <v>7.017544</v>
      </c>
      <c r="U1971" s="20">
        <f t="shared" si="135"/>
        <v>1.1111112166666746</v>
      </c>
      <c r="V1971" s="41">
        <f t="shared" si="134"/>
        <v>11.111121666667456</v>
      </c>
      <c r="W1971" s="17"/>
      <c r="X1971" s="17" t="s">
        <v>56</v>
      </c>
      <c r="Z1971" s="17" t="s">
        <v>58</v>
      </c>
      <c r="AA1971" s="17" t="s">
        <v>58</v>
      </c>
      <c r="AB1971" s="17" t="s">
        <v>57</v>
      </c>
      <c r="AC1971" s="17">
        <v>2005</v>
      </c>
      <c r="AD1971" s="17">
        <v>4</v>
      </c>
      <c r="AE1971" s="17"/>
      <c r="AF1971" s="17"/>
      <c r="AG1971" s="17">
        <v>1962</v>
      </c>
      <c r="AH1971" s="14">
        <f t="shared" si="132"/>
        <v>43</v>
      </c>
      <c r="AI1971" s="17">
        <f t="shared" si="133"/>
        <v>47</v>
      </c>
      <c r="AJ1971" s="17"/>
      <c r="AK1971" s="17" t="s">
        <v>56</v>
      </c>
      <c r="AL1971" s="15" t="s">
        <v>1019</v>
      </c>
      <c r="AM1971" s="17">
        <v>2018</v>
      </c>
      <c r="AN1971" s="12" t="s">
        <v>860</v>
      </c>
      <c r="AO1971" s="15" t="s">
        <v>56</v>
      </c>
      <c r="AP1971" s="15"/>
      <c r="AQ1971" s="15" t="s">
        <v>56</v>
      </c>
      <c r="AR1971" s="15" t="s">
        <v>58</v>
      </c>
      <c r="AS1971" s="15" t="s">
        <v>62</v>
      </c>
      <c r="AT1971" s="15"/>
      <c r="AU1971" s="45" t="s">
        <v>2616</v>
      </c>
      <c r="AV1971" s="15"/>
      <c r="AW1971" s="12" t="str">
        <f>B1971&amp;C1971&amp;L1971&amp;M1971&amp;O1971&amp;U1971&amp;AL1971&amp;AM1971</f>
        <v>United StatesKennedy Space Center MPAAchirus lineatussize1.11111121666667Douglass2018</v>
      </c>
    </row>
    <row r="1972" spans="1:49" ht="14.5" x14ac:dyDescent="0.35">
      <c r="A1972" s="12">
        <v>1971</v>
      </c>
      <c r="B1972" s="15" t="s">
        <v>75</v>
      </c>
      <c r="C1972" s="12" t="s">
        <v>2597</v>
      </c>
      <c r="D1972" s="12" t="s">
        <v>1016</v>
      </c>
      <c r="E1972" s="12" t="s">
        <v>68</v>
      </c>
      <c r="F1972" s="13" t="s">
        <v>274</v>
      </c>
      <c r="G1972" s="13" t="s">
        <v>51</v>
      </c>
      <c r="H1972" s="13" t="s">
        <v>108</v>
      </c>
      <c r="I1972" s="13" t="s">
        <v>53</v>
      </c>
      <c r="J1972" s="17">
        <v>30</v>
      </c>
      <c r="K1972" s="17"/>
      <c r="L1972" s="14" t="s">
        <v>1033</v>
      </c>
      <c r="M1972" s="14"/>
      <c r="N1972" s="14" t="s">
        <v>85</v>
      </c>
      <c r="O1972" s="17" t="s">
        <v>104</v>
      </c>
      <c r="P1972" s="14" t="s">
        <v>1018</v>
      </c>
      <c r="Q1972" s="14"/>
      <c r="R1972" s="14"/>
      <c r="S1972" s="14">
        <v>10.76863</v>
      </c>
      <c r="T1972" s="14">
        <v>14.736840000000001</v>
      </c>
      <c r="U1972" s="19">
        <f t="shared" si="135"/>
        <v>1.3684971997366426</v>
      </c>
      <c r="V1972" s="41">
        <f t="shared" si="134"/>
        <v>36.849719973664264</v>
      </c>
      <c r="W1972" s="14"/>
      <c r="X1972" s="14" t="s">
        <v>56</v>
      </c>
      <c r="Z1972" s="14" t="s">
        <v>58</v>
      </c>
      <c r="AA1972" s="14" t="s">
        <v>58</v>
      </c>
      <c r="AB1972" s="14" t="s">
        <v>57</v>
      </c>
      <c r="AC1972" s="14">
        <v>2005</v>
      </c>
      <c r="AD1972" s="14">
        <v>4</v>
      </c>
      <c r="AE1972" s="14"/>
      <c r="AF1972" s="14"/>
      <c r="AG1972" s="14">
        <v>1962</v>
      </c>
      <c r="AH1972" s="14">
        <f t="shared" si="132"/>
        <v>43</v>
      </c>
      <c r="AI1972" s="17">
        <f t="shared" si="133"/>
        <v>47</v>
      </c>
      <c r="AJ1972" s="14"/>
      <c r="AK1972" s="14" t="s">
        <v>56</v>
      </c>
      <c r="AL1972" s="12" t="s">
        <v>1019</v>
      </c>
      <c r="AM1972" s="14">
        <v>2018</v>
      </c>
      <c r="AN1972" s="12" t="s">
        <v>860</v>
      </c>
      <c r="AO1972" s="12" t="s">
        <v>56</v>
      </c>
      <c r="AP1972" s="12"/>
      <c r="AQ1972" s="12" t="s">
        <v>56</v>
      </c>
      <c r="AR1972" s="12" t="s">
        <v>58</v>
      </c>
      <c r="AS1972" s="12" t="s">
        <v>62</v>
      </c>
      <c r="AT1972" s="12"/>
      <c r="AU1972" s="45" t="s">
        <v>2617</v>
      </c>
      <c r="AV1972" s="15"/>
      <c r="AW1972" s="12" t="str">
        <f>B1972&amp;C1972&amp;L1972&amp;M1972&amp;O1972&amp;U1972&amp;AL1972&amp;AM1972</f>
        <v>United StatesKennedy Space Center MPALeiostomus xanthurussize1.36849719973664Douglass2018</v>
      </c>
    </row>
    <row r="1973" spans="1:49" ht="14.5" x14ac:dyDescent="0.35">
      <c r="A1973" s="12">
        <v>1972</v>
      </c>
      <c r="B1973" s="15" t="s">
        <v>75</v>
      </c>
      <c r="C1973" s="12" t="s">
        <v>2597</v>
      </c>
      <c r="D1973" s="12" t="s">
        <v>1016</v>
      </c>
      <c r="E1973" s="12" t="s">
        <v>68</v>
      </c>
      <c r="F1973" s="13" t="s">
        <v>274</v>
      </c>
      <c r="G1973" s="13" t="s">
        <v>51</v>
      </c>
      <c r="H1973" s="13" t="s">
        <v>108</v>
      </c>
      <c r="I1973" s="13" t="s">
        <v>53</v>
      </c>
      <c r="J1973" s="17">
        <v>30</v>
      </c>
      <c r="K1973" s="14"/>
      <c r="L1973" s="14" t="s">
        <v>1034</v>
      </c>
      <c r="M1973" s="14"/>
      <c r="N1973" s="14" t="s">
        <v>85</v>
      </c>
      <c r="O1973" s="17" t="s">
        <v>104</v>
      </c>
      <c r="P1973" s="14" t="s">
        <v>1018</v>
      </c>
      <c r="Q1973" s="14"/>
      <c r="R1973" s="14"/>
      <c r="S1973" s="14">
        <v>17.894739999999999</v>
      </c>
      <c r="T1973" s="14">
        <v>23.68421</v>
      </c>
      <c r="U1973" s="19">
        <f t="shared" si="135"/>
        <v>1.3235291487889738</v>
      </c>
      <c r="V1973" s="41">
        <f t="shared" si="134"/>
        <v>32.35291487889738</v>
      </c>
      <c r="W1973" s="14"/>
      <c r="X1973" s="14" t="s">
        <v>56</v>
      </c>
      <c r="Z1973" s="14" t="s">
        <v>58</v>
      </c>
      <c r="AA1973" s="14" t="s">
        <v>58</v>
      </c>
      <c r="AB1973" s="14" t="s">
        <v>57</v>
      </c>
      <c r="AC1973" s="14">
        <v>2005</v>
      </c>
      <c r="AD1973" s="14">
        <v>4</v>
      </c>
      <c r="AE1973" s="14"/>
      <c r="AF1973" s="14"/>
      <c r="AG1973" s="14">
        <v>1962</v>
      </c>
      <c r="AH1973" s="14">
        <f t="shared" si="132"/>
        <v>43</v>
      </c>
      <c r="AI1973" s="17">
        <f t="shared" si="133"/>
        <v>47</v>
      </c>
      <c r="AJ1973" s="14"/>
      <c r="AK1973" s="14" t="s">
        <v>56</v>
      </c>
      <c r="AL1973" s="12" t="s">
        <v>1019</v>
      </c>
      <c r="AM1973" s="14">
        <v>2018</v>
      </c>
      <c r="AN1973" s="12" t="s">
        <v>860</v>
      </c>
      <c r="AO1973" s="12" t="s">
        <v>56</v>
      </c>
      <c r="AP1973" s="12"/>
      <c r="AQ1973" s="12" t="s">
        <v>56</v>
      </c>
      <c r="AR1973" s="12" t="s">
        <v>58</v>
      </c>
      <c r="AS1973" s="12" t="s">
        <v>62</v>
      </c>
      <c r="AT1973" s="12"/>
      <c r="AU1973" s="45" t="s">
        <v>2618</v>
      </c>
      <c r="AV1973" s="15"/>
      <c r="AW1973" s="12" t="str">
        <f>B1973&amp;C1973&amp;L1973&amp;M1973&amp;O1973&amp;U1973&amp;AL1973&amp;AM1973</f>
        <v>United StatesKennedy Space Center MPACynoscion nebulosussize1.32352914878897Douglass2018</v>
      </c>
    </row>
    <row r="1974" spans="1:49" ht="14.5" x14ac:dyDescent="0.35">
      <c r="A1974" s="12">
        <v>1973</v>
      </c>
      <c r="B1974" s="15" t="s">
        <v>75</v>
      </c>
      <c r="C1974" s="15" t="s">
        <v>2597</v>
      </c>
      <c r="D1974" s="12" t="s">
        <v>1016</v>
      </c>
      <c r="E1974" s="15" t="s">
        <v>68</v>
      </c>
      <c r="F1974" s="16" t="s">
        <v>274</v>
      </c>
      <c r="G1974" s="16" t="s">
        <v>51</v>
      </c>
      <c r="H1974" s="16" t="s">
        <v>108</v>
      </c>
      <c r="I1974" s="16" t="s">
        <v>53</v>
      </c>
      <c r="J1974" s="17">
        <v>30</v>
      </c>
      <c r="K1974" s="17"/>
      <c r="L1974" s="17" t="s">
        <v>1035</v>
      </c>
      <c r="M1974" s="17"/>
      <c r="N1974" s="17" t="s">
        <v>120</v>
      </c>
      <c r="O1974" s="17" t="s">
        <v>104</v>
      </c>
      <c r="P1974" s="17" t="s">
        <v>1018</v>
      </c>
      <c r="Q1974" s="17"/>
      <c r="R1974" s="17"/>
      <c r="S1974" s="17">
        <v>12.2807</v>
      </c>
      <c r="T1974" s="17">
        <v>13.50877</v>
      </c>
      <c r="U1974" s="20">
        <f t="shared" si="135"/>
        <v>1.1000000000000001</v>
      </c>
      <c r="V1974" s="41">
        <f t="shared" si="134"/>
        <v>10.000000000000009</v>
      </c>
      <c r="W1974" s="17"/>
      <c r="X1974" s="17" t="s">
        <v>56</v>
      </c>
      <c r="Z1974" s="17" t="s">
        <v>58</v>
      </c>
      <c r="AA1974" s="17" t="s">
        <v>58</v>
      </c>
      <c r="AB1974" s="17" t="s">
        <v>57</v>
      </c>
      <c r="AC1974" s="17">
        <v>2005</v>
      </c>
      <c r="AD1974" s="17">
        <v>4</v>
      </c>
      <c r="AE1974" s="17"/>
      <c r="AF1974" s="17"/>
      <c r="AG1974" s="17">
        <v>1962</v>
      </c>
      <c r="AH1974" s="14">
        <f t="shared" si="132"/>
        <v>43</v>
      </c>
      <c r="AI1974" s="17">
        <f t="shared" si="133"/>
        <v>47</v>
      </c>
      <c r="AJ1974" s="17"/>
      <c r="AK1974" s="17" t="s">
        <v>56</v>
      </c>
      <c r="AL1974" s="15" t="s">
        <v>1019</v>
      </c>
      <c r="AM1974" s="17">
        <v>2018</v>
      </c>
      <c r="AN1974" s="15" t="s">
        <v>860</v>
      </c>
      <c r="AO1974" s="15" t="s">
        <v>56</v>
      </c>
      <c r="AP1974" s="15"/>
      <c r="AQ1974" s="15" t="s">
        <v>56</v>
      </c>
      <c r="AR1974" s="15" t="s">
        <v>58</v>
      </c>
      <c r="AS1974" s="15" t="s">
        <v>62</v>
      </c>
      <c r="AT1974" s="15"/>
      <c r="AU1974" s="45" t="s">
        <v>2619</v>
      </c>
      <c r="AV1974" s="15"/>
      <c r="AW1974" s="12" t="str">
        <f>B1974&amp;C1974&amp;L1974&amp;M1974&amp;O1974&amp;U1974&amp;AL1974&amp;AM1974</f>
        <v>United StatesKennedy Space Center MPABrevoortiasize1.1Douglass2018</v>
      </c>
    </row>
    <row r="1975" spans="1:49" ht="14.5" x14ac:dyDescent="0.35">
      <c r="A1975" s="12">
        <v>1974</v>
      </c>
      <c r="B1975" s="12" t="s">
        <v>75</v>
      </c>
      <c r="C1975" s="15" t="s">
        <v>2597</v>
      </c>
      <c r="D1975" s="12" t="s">
        <v>1016</v>
      </c>
      <c r="E1975" s="12" t="s">
        <v>68</v>
      </c>
      <c r="F1975" s="13" t="s">
        <v>274</v>
      </c>
      <c r="G1975" s="13" t="s">
        <v>51</v>
      </c>
      <c r="H1975" s="13" t="s">
        <v>108</v>
      </c>
      <c r="I1975" s="13" t="s">
        <v>53</v>
      </c>
      <c r="J1975" s="17">
        <v>30</v>
      </c>
      <c r="K1975" s="14"/>
      <c r="L1975" s="14" t="s">
        <v>1036</v>
      </c>
      <c r="M1975" s="14"/>
      <c r="N1975" s="14" t="s">
        <v>85</v>
      </c>
      <c r="O1975" s="17" t="s">
        <v>104</v>
      </c>
      <c r="P1975" s="14" t="s">
        <v>1018</v>
      </c>
      <c r="Q1975" s="14"/>
      <c r="R1975" s="14"/>
      <c r="S1975" s="14">
        <v>16.140350000000002</v>
      </c>
      <c r="T1975" s="14">
        <v>16.31579</v>
      </c>
      <c r="U1975" s="19">
        <f t="shared" si="135"/>
        <v>1.010869652764655</v>
      </c>
      <c r="V1975" s="41">
        <f t="shared" si="134"/>
        <v>1.0869652764655013</v>
      </c>
      <c r="W1975" s="14"/>
      <c r="X1975" s="14" t="s">
        <v>56</v>
      </c>
      <c r="Z1975" s="14" t="s">
        <v>58</v>
      </c>
      <c r="AA1975" s="14" t="s">
        <v>58</v>
      </c>
      <c r="AB1975" s="14" t="s">
        <v>57</v>
      </c>
      <c r="AC1975" s="14">
        <v>2005</v>
      </c>
      <c r="AD1975" s="14">
        <v>4</v>
      </c>
      <c r="AE1975" s="14"/>
      <c r="AF1975" s="14"/>
      <c r="AG1975" s="14">
        <v>1962</v>
      </c>
      <c r="AH1975" s="14">
        <f t="shared" si="132"/>
        <v>43</v>
      </c>
      <c r="AI1975" s="17">
        <f t="shared" si="133"/>
        <v>47</v>
      </c>
      <c r="AJ1975" s="14"/>
      <c r="AK1975" s="14" t="s">
        <v>56</v>
      </c>
      <c r="AL1975" s="12" t="s">
        <v>1019</v>
      </c>
      <c r="AM1975" s="14">
        <v>2018</v>
      </c>
      <c r="AN1975" s="12" t="s">
        <v>860</v>
      </c>
      <c r="AO1975" s="12" t="s">
        <v>56</v>
      </c>
      <c r="AP1975" s="12"/>
      <c r="AQ1975" s="12" t="s">
        <v>56</v>
      </c>
      <c r="AR1975" s="12" t="s">
        <v>58</v>
      </c>
      <c r="AS1975" s="12" t="s">
        <v>62</v>
      </c>
      <c r="AT1975" s="12"/>
      <c r="AU1975" s="45" t="s">
        <v>2620</v>
      </c>
      <c r="AV1975" s="15"/>
      <c r="AW1975" s="12" t="str">
        <f>B1975&amp;C1975&amp;L1975&amp;M1975&amp;O1975&amp;U1975&amp;AL1975&amp;AM1975</f>
        <v>United StatesKennedy Space Center MPAOligoplites saurussize1.01086965276466Douglass2018</v>
      </c>
    </row>
    <row r="1976" spans="1:49" ht="14.5" x14ac:dyDescent="0.35">
      <c r="A1976" s="12">
        <v>1975</v>
      </c>
      <c r="B1976" s="12" t="s">
        <v>75</v>
      </c>
      <c r="C1976" s="15" t="s">
        <v>2597</v>
      </c>
      <c r="D1976" s="12" t="s">
        <v>1016</v>
      </c>
      <c r="E1976" s="12" t="s">
        <v>68</v>
      </c>
      <c r="F1976" s="13" t="s">
        <v>274</v>
      </c>
      <c r="G1976" s="13" t="s">
        <v>51</v>
      </c>
      <c r="H1976" s="13" t="s">
        <v>108</v>
      </c>
      <c r="I1976" s="13" t="s">
        <v>53</v>
      </c>
      <c r="J1976" s="17">
        <v>30</v>
      </c>
      <c r="K1976" s="14"/>
      <c r="L1976" s="14" t="s">
        <v>1037</v>
      </c>
      <c r="M1976" s="14"/>
      <c r="N1976" s="14" t="s">
        <v>85</v>
      </c>
      <c r="O1976" s="17" t="s">
        <v>104</v>
      </c>
      <c r="P1976" s="14" t="s">
        <v>1018</v>
      </c>
      <c r="Q1976" s="14"/>
      <c r="R1976" s="14"/>
      <c r="S1976" s="14">
        <v>12.98246</v>
      </c>
      <c r="T1976" s="14">
        <v>15.087719999999999</v>
      </c>
      <c r="U1976" s="19">
        <f t="shared" si="135"/>
        <v>1.162161870708633</v>
      </c>
      <c r="V1976" s="41">
        <f t="shared" si="134"/>
        <v>16.216187070863299</v>
      </c>
      <c r="W1976" s="14"/>
      <c r="X1976" s="14" t="s">
        <v>56</v>
      </c>
      <c r="Z1976" s="14" t="s">
        <v>58</v>
      </c>
      <c r="AA1976" s="14" t="s">
        <v>58</v>
      </c>
      <c r="AB1976" s="14" t="s">
        <v>57</v>
      </c>
      <c r="AC1976" s="14">
        <v>2005</v>
      </c>
      <c r="AD1976" s="14">
        <v>4</v>
      </c>
      <c r="AE1976" s="14"/>
      <c r="AF1976" s="14"/>
      <c r="AG1976" s="14">
        <v>1962</v>
      </c>
      <c r="AH1976" s="14">
        <f t="shared" si="132"/>
        <v>43</v>
      </c>
      <c r="AI1976" s="17">
        <f t="shared" si="133"/>
        <v>47</v>
      </c>
      <c r="AJ1976" s="14"/>
      <c r="AK1976" s="14" t="s">
        <v>56</v>
      </c>
      <c r="AL1976" s="12" t="s">
        <v>1019</v>
      </c>
      <c r="AM1976" s="14">
        <v>2018</v>
      </c>
      <c r="AN1976" s="12" t="s">
        <v>860</v>
      </c>
      <c r="AO1976" s="12" t="s">
        <v>56</v>
      </c>
      <c r="AP1976" s="12"/>
      <c r="AQ1976" s="12" t="s">
        <v>56</v>
      </c>
      <c r="AR1976" s="12" t="s">
        <v>58</v>
      </c>
      <c r="AS1976" s="12" t="s">
        <v>62</v>
      </c>
      <c r="AT1976" s="12"/>
      <c r="AU1976" s="45" t="s">
        <v>2621</v>
      </c>
      <c r="AV1976" s="15"/>
      <c r="AW1976" s="12" t="str">
        <f>B1976&amp;C1976&amp;L1976&amp;M1976&amp;O1976&amp;U1976&amp;AL1976&amp;AM1976</f>
        <v>United StatesKennedy Space Center MPACallinectes sapidussize1.16216187070863Douglass2018</v>
      </c>
    </row>
    <row r="1977" spans="1:49" ht="14.5" x14ac:dyDescent="0.35">
      <c r="A1977" s="12">
        <v>1976</v>
      </c>
      <c r="B1977" s="12" t="s">
        <v>75</v>
      </c>
      <c r="C1977" s="15" t="s">
        <v>2597</v>
      </c>
      <c r="D1977" s="12" t="s">
        <v>1016</v>
      </c>
      <c r="E1977" s="12" t="s">
        <v>68</v>
      </c>
      <c r="F1977" s="13" t="s">
        <v>274</v>
      </c>
      <c r="G1977" s="13" t="s">
        <v>51</v>
      </c>
      <c r="H1977" s="13" t="s">
        <v>108</v>
      </c>
      <c r="I1977" s="13" t="s">
        <v>53</v>
      </c>
      <c r="J1977" s="17">
        <v>30</v>
      </c>
      <c r="K1977" s="14"/>
      <c r="L1977" s="14" t="s">
        <v>1038</v>
      </c>
      <c r="M1977" s="14"/>
      <c r="N1977" s="14" t="s">
        <v>85</v>
      </c>
      <c r="O1977" s="17" t="s">
        <v>104</v>
      </c>
      <c r="P1977" s="14" t="s">
        <v>1018</v>
      </c>
      <c r="Q1977" s="14"/>
      <c r="R1977" s="14"/>
      <c r="S1977" s="14">
        <v>9.2982460000000007</v>
      </c>
      <c r="T1977" s="14">
        <v>9.2982460000000007</v>
      </c>
      <c r="U1977" s="19">
        <f t="shared" si="135"/>
        <v>1</v>
      </c>
      <c r="V1977" s="41">
        <f t="shared" si="134"/>
        <v>0</v>
      </c>
      <c r="W1977" s="14"/>
      <c r="X1977" s="14" t="s">
        <v>56</v>
      </c>
      <c r="Z1977" s="14" t="s">
        <v>58</v>
      </c>
      <c r="AA1977" s="14" t="s">
        <v>58</v>
      </c>
      <c r="AB1977" s="14" t="s">
        <v>57</v>
      </c>
      <c r="AC1977" s="14">
        <v>2005</v>
      </c>
      <c r="AD1977" s="14">
        <v>4</v>
      </c>
      <c r="AE1977" s="14"/>
      <c r="AF1977" s="14"/>
      <c r="AG1977" s="14">
        <v>1962</v>
      </c>
      <c r="AH1977" s="14">
        <f t="shared" si="132"/>
        <v>43</v>
      </c>
      <c r="AI1977" s="17">
        <f t="shared" si="133"/>
        <v>47</v>
      </c>
      <c r="AJ1977" s="14"/>
      <c r="AK1977" s="14" t="s">
        <v>56</v>
      </c>
      <c r="AL1977" s="12" t="s">
        <v>1019</v>
      </c>
      <c r="AM1977" s="14">
        <v>2018</v>
      </c>
      <c r="AN1977" s="12" t="s">
        <v>860</v>
      </c>
      <c r="AO1977" s="12" t="s">
        <v>56</v>
      </c>
      <c r="AP1977" s="12"/>
      <c r="AQ1977" s="12" t="s">
        <v>56</v>
      </c>
      <c r="AR1977" s="12" t="s">
        <v>58</v>
      </c>
      <c r="AS1977" s="12" t="s">
        <v>62</v>
      </c>
      <c r="AT1977" s="12"/>
      <c r="AU1977" s="45" t="s">
        <v>2622</v>
      </c>
      <c r="AV1977" s="15"/>
      <c r="AW1977" s="12" t="str">
        <f>B1977&amp;C1977&amp;L1977&amp;M1977&amp;O1977&amp;U1977&amp;AL1977&amp;AM1977</f>
        <v>United StatesKennedy Space Center MPAEucinostomus gulasize1Douglass2018</v>
      </c>
    </row>
    <row r="1978" spans="1:49" ht="14.5" x14ac:dyDescent="0.35">
      <c r="A1978" s="12">
        <v>1977</v>
      </c>
      <c r="B1978" s="12" t="s">
        <v>75</v>
      </c>
      <c r="C1978" s="15" t="s">
        <v>2597</v>
      </c>
      <c r="D1978" s="12" t="s">
        <v>1016</v>
      </c>
      <c r="E1978" s="12" t="s">
        <v>68</v>
      </c>
      <c r="F1978" s="13" t="s">
        <v>274</v>
      </c>
      <c r="G1978" s="13" t="s">
        <v>51</v>
      </c>
      <c r="H1978" s="13" t="s">
        <v>108</v>
      </c>
      <c r="I1978" s="13" t="s">
        <v>53</v>
      </c>
      <c r="J1978" s="17">
        <v>30</v>
      </c>
      <c r="K1978" s="14"/>
      <c r="L1978" s="14" t="s">
        <v>1039</v>
      </c>
      <c r="M1978" s="14"/>
      <c r="N1978" s="14" t="s">
        <v>85</v>
      </c>
      <c r="O1978" s="17" t="s">
        <v>104</v>
      </c>
      <c r="P1978" s="14" t="s">
        <v>1018</v>
      </c>
      <c r="Q1978" s="14"/>
      <c r="R1978" s="14"/>
      <c r="S1978" s="14">
        <v>14.21053</v>
      </c>
      <c r="T1978" s="14">
        <v>12.98246</v>
      </c>
      <c r="U1978" s="19">
        <f t="shared" si="135"/>
        <v>0.91358028166437133</v>
      </c>
      <c r="V1978" s="41">
        <f t="shared" si="134"/>
        <v>-8.6419718335628666</v>
      </c>
      <c r="W1978" s="14"/>
      <c r="X1978" s="14" t="s">
        <v>56</v>
      </c>
      <c r="Z1978" s="14" t="s">
        <v>58</v>
      </c>
      <c r="AA1978" s="14" t="s">
        <v>58</v>
      </c>
      <c r="AB1978" s="14" t="s">
        <v>57</v>
      </c>
      <c r="AC1978" s="14">
        <v>2005</v>
      </c>
      <c r="AD1978" s="14">
        <v>4</v>
      </c>
      <c r="AE1978" s="14"/>
      <c r="AF1978" s="14"/>
      <c r="AG1978" s="14">
        <v>1962</v>
      </c>
      <c r="AH1978" s="14">
        <f t="shared" si="132"/>
        <v>43</v>
      </c>
      <c r="AI1978" s="17">
        <f t="shared" si="133"/>
        <v>47</v>
      </c>
      <c r="AJ1978" s="14"/>
      <c r="AK1978" s="14" t="s">
        <v>56</v>
      </c>
      <c r="AL1978" s="12" t="s">
        <v>1019</v>
      </c>
      <c r="AM1978" s="14">
        <v>2018</v>
      </c>
      <c r="AN1978" s="12" t="s">
        <v>860</v>
      </c>
      <c r="AO1978" s="12" t="s">
        <v>56</v>
      </c>
      <c r="AP1978" s="12"/>
      <c r="AQ1978" s="12" t="s">
        <v>56</v>
      </c>
      <c r="AR1978" s="12" t="s">
        <v>58</v>
      </c>
      <c r="AS1978" s="12" t="s">
        <v>62</v>
      </c>
      <c r="AT1978" s="12"/>
      <c r="AU1978" s="45" t="s">
        <v>2623</v>
      </c>
      <c r="AV1978" s="15"/>
      <c r="AW1978" s="12" t="str">
        <f>B1978&amp;C1978&amp;L1978&amp;M1978&amp;O1978&amp;U1978&amp;AL1978&amp;AM1978</f>
        <v>United StatesKennedy Space Center MPAOpisthonema oglinumsize0.913580281664371Douglass2018</v>
      </c>
    </row>
    <row r="1979" spans="1:49" ht="14.5" x14ac:dyDescent="0.35">
      <c r="A1979" s="12">
        <v>1978</v>
      </c>
      <c r="B1979" s="15" t="s">
        <v>75</v>
      </c>
      <c r="C1979" s="15" t="s">
        <v>2597</v>
      </c>
      <c r="D1979" s="12" t="s">
        <v>1016</v>
      </c>
      <c r="E1979" s="15" t="s">
        <v>68</v>
      </c>
      <c r="F1979" s="16" t="s">
        <v>274</v>
      </c>
      <c r="G1979" s="16" t="s">
        <v>51</v>
      </c>
      <c r="H1979" s="16" t="s">
        <v>108</v>
      </c>
      <c r="I1979" s="16" t="s">
        <v>53</v>
      </c>
      <c r="J1979" s="17">
        <v>30</v>
      </c>
      <c r="K1979" s="17"/>
      <c r="L1979" s="17" t="s">
        <v>1040</v>
      </c>
      <c r="M1979" s="17"/>
      <c r="N1979" s="14" t="s">
        <v>85</v>
      </c>
      <c r="O1979" s="17" t="s">
        <v>104</v>
      </c>
      <c r="P1979" s="17" t="s">
        <v>1018</v>
      </c>
      <c r="Q1979" s="17"/>
      <c r="R1979" s="17"/>
      <c r="S1979" s="17">
        <v>29.298249999999999</v>
      </c>
      <c r="T1979" s="17">
        <v>28.947369999999999</v>
      </c>
      <c r="U1979" s="20">
        <f t="shared" si="135"/>
        <v>0.98802385808026072</v>
      </c>
      <c r="V1979" s="41">
        <f t="shared" si="134"/>
        <v>-1.197614191973928</v>
      </c>
      <c r="W1979" s="17"/>
      <c r="X1979" s="17" t="s">
        <v>56</v>
      </c>
      <c r="Z1979" s="17" t="s">
        <v>58</v>
      </c>
      <c r="AA1979" s="17" t="s">
        <v>58</v>
      </c>
      <c r="AB1979" s="17" t="s">
        <v>57</v>
      </c>
      <c r="AC1979" s="17">
        <v>2005</v>
      </c>
      <c r="AD1979" s="17">
        <v>4</v>
      </c>
      <c r="AE1979" s="17"/>
      <c r="AF1979" s="17"/>
      <c r="AG1979" s="17">
        <v>1962</v>
      </c>
      <c r="AH1979" s="14">
        <f t="shared" si="132"/>
        <v>43</v>
      </c>
      <c r="AI1979" s="17">
        <f t="shared" si="133"/>
        <v>47</v>
      </c>
      <c r="AJ1979" s="17"/>
      <c r="AK1979" s="17" t="s">
        <v>56</v>
      </c>
      <c r="AL1979" s="15" t="s">
        <v>1019</v>
      </c>
      <c r="AM1979" s="17">
        <v>2018</v>
      </c>
      <c r="AN1979" s="15" t="s">
        <v>860</v>
      </c>
      <c r="AO1979" s="15" t="s">
        <v>56</v>
      </c>
      <c r="AP1979" s="15"/>
      <c r="AQ1979" s="15" t="s">
        <v>56</v>
      </c>
      <c r="AR1979" s="15" t="s">
        <v>58</v>
      </c>
      <c r="AS1979" s="15" t="s">
        <v>62</v>
      </c>
      <c r="AT1979" s="15"/>
      <c r="AU1979" s="45" t="s">
        <v>2624</v>
      </c>
      <c r="AV1979" s="15"/>
      <c r="AW1979" s="12" t="str">
        <f>B1979&amp;C1979&amp;L1979&amp;M1979&amp;O1979&amp;U1979&amp;AL1979&amp;AM1979</f>
        <v>United StatesKennedy Space Center MPAAriopsis felissize0.988023858080261Douglass2018</v>
      </c>
    </row>
    <row r="1980" spans="1:49" ht="14.5" x14ac:dyDescent="0.35">
      <c r="A1980" s="12">
        <v>1979</v>
      </c>
      <c r="B1980" s="12" t="s">
        <v>75</v>
      </c>
      <c r="C1980" s="15" t="s">
        <v>2597</v>
      </c>
      <c r="D1980" s="12" t="s">
        <v>1016</v>
      </c>
      <c r="E1980" s="12" t="s">
        <v>68</v>
      </c>
      <c r="F1980" s="13" t="s">
        <v>274</v>
      </c>
      <c r="G1980" s="13" t="s">
        <v>51</v>
      </c>
      <c r="H1980" s="13" t="s">
        <v>108</v>
      </c>
      <c r="I1980" s="13" t="s">
        <v>53</v>
      </c>
      <c r="J1980" s="17">
        <v>30</v>
      </c>
      <c r="K1980" s="17"/>
      <c r="L1980" s="14" t="s">
        <v>1041</v>
      </c>
      <c r="M1980" s="14"/>
      <c r="N1980" s="14" t="s">
        <v>85</v>
      </c>
      <c r="O1980" s="17" t="s">
        <v>104</v>
      </c>
      <c r="P1980" s="14" t="s">
        <v>1018</v>
      </c>
      <c r="Q1980" s="14"/>
      <c r="R1980" s="14"/>
      <c r="S1980" s="14">
        <v>20.175439999999998</v>
      </c>
      <c r="T1980" s="14">
        <v>21.052630000000001</v>
      </c>
      <c r="U1980" s="19">
        <f t="shared" si="135"/>
        <v>1.0434781100189141</v>
      </c>
      <c r="V1980" s="41">
        <f t="shared" si="134"/>
        <v>4.3478110018914107</v>
      </c>
      <c r="W1980" s="14"/>
      <c r="X1980" s="14" t="s">
        <v>56</v>
      </c>
      <c r="Z1980" s="14" t="s">
        <v>58</v>
      </c>
      <c r="AA1980" s="14" t="s">
        <v>58</v>
      </c>
      <c r="AB1980" s="14" t="s">
        <v>57</v>
      </c>
      <c r="AC1980" s="14">
        <v>2005</v>
      </c>
      <c r="AD1980" s="14">
        <v>4</v>
      </c>
      <c r="AE1980" s="14"/>
      <c r="AF1980" s="14"/>
      <c r="AG1980" s="14">
        <v>1962</v>
      </c>
      <c r="AH1980" s="14">
        <f t="shared" si="132"/>
        <v>43</v>
      </c>
      <c r="AI1980" s="17">
        <f t="shared" si="133"/>
        <v>47</v>
      </c>
      <c r="AJ1980" s="14"/>
      <c r="AK1980" s="14" t="s">
        <v>56</v>
      </c>
      <c r="AL1980" s="12" t="s">
        <v>1019</v>
      </c>
      <c r="AM1980" s="14">
        <v>2018</v>
      </c>
      <c r="AN1980" s="12" t="s">
        <v>860</v>
      </c>
      <c r="AO1980" s="12" t="s">
        <v>56</v>
      </c>
      <c r="AP1980" s="12"/>
      <c r="AQ1980" s="12" t="s">
        <v>56</v>
      </c>
      <c r="AR1980" s="12" t="s">
        <v>58</v>
      </c>
      <c r="AS1980" s="12" t="s">
        <v>62</v>
      </c>
      <c r="AT1980" s="12"/>
      <c r="AU1980" s="45" t="s">
        <v>2625</v>
      </c>
      <c r="AV1980" s="15"/>
      <c r="AW1980" s="12" t="str">
        <f>B1980&amp;C1980&amp;L1980&amp;M1980&amp;O1980&amp;U1980&amp;AL1980&amp;AM1980</f>
        <v>United StatesKennedy Space Center MPAMentricirrhus americanussize1.04347811001891Douglass2018</v>
      </c>
    </row>
    <row r="1981" spans="1:49" ht="14.5" x14ac:dyDescent="0.35">
      <c r="A1981" s="12">
        <v>1980</v>
      </c>
      <c r="B1981" s="15" t="s">
        <v>75</v>
      </c>
      <c r="C1981" s="15" t="s">
        <v>2597</v>
      </c>
      <c r="D1981" s="12" t="s">
        <v>1016</v>
      </c>
      <c r="E1981" s="15" t="s">
        <v>68</v>
      </c>
      <c r="F1981" s="16" t="s">
        <v>274</v>
      </c>
      <c r="G1981" s="16" t="s">
        <v>51</v>
      </c>
      <c r="H1981" s="16" t="s">
        <v>108</v>
      </c>
      <c r="I1981" s="16" t="s">
        <v>53</v>
      </c>
      <c r="J1981" s="17">
        <v>30</v>
      </c>
      <c r="K1981" s="17"/>
      <c r="L1981" s="17" t="s">
        <v>1042</v>
      </c>
      <c r="M1981" s="17"/>
      <c r="N1981" s="14" t="s">
        <v>85</v>
      </c>
      <c r="O1981" s="17" t="s">
        <v>104</v>
      </c>
      <c r="P1981" s="17" t="s">
        <v>1018</v>
      </c>
      <c r="Q1981" s="17"/>
      <c r="R1981" s="17"/>
      <c r="S1981" s="17">
        <v>10.52632</v>
      </c>
      <c r="T1981" s="17">
        <v>10.17544</v>
      </c>
      <c r="U1981" s="20">
        <f t="shared" si="135"/>
        <v>0.96666641333343462</v>
      </c>
      <c r="V1981" s="41">
        <f t="shared" si="134"/>
        <v>-3.3333586666565385</v>
      </c>
      <c r="W1981" s="17"/>
      <c r="X1981" s="17" t="s">
        <v>56</v>
      </c>
      <c r="Z1981" s="17" t="s">
        <v>58</v>
      </c>
      <c r="AA1981" s="17" t="s">
        <v>58</v>
      </c>
      <c r="AB1981" s="17" t="s">
        <v>57</v>
      </c>
      <c r="AC1981" s="17">
        <v>2005</v>
      </c>
      <c r="AD1981" s="17">
        <v>4</v>
      </c>
      <c r="AE1981" s="17"/>
      <c r="AF1981" s="17"/>
      <c r="AG1981" s="17">
        <v>1962</v>
      </c>
      <c r="AH1981" s="14">
        <f t="shared" si="132"/>
        <v>43</v>
      </c>
      <c r="AI1981" s="17">
        <f t="shared" si="133"/>
        <v>47</v>
      </c>
      <c r="AJ1981" s="17"/>
      <c r="AK1981" s="17" t="s">
        <v>56</v>
      </c>
      <c r="AL1981" s="15" t="s">
        <v>1019</v>
      </c>
      <c r="AM1981" s="17">
        <v>2018</v>
      </c>
      <c r="AN1981" s="15" t="s">
        <v>860</v>
      </c>
      <c r="AO1981" s="15" t="s">
        <v>56</v>
      </c>
      <c r="AP1981" s="15"/>
      <c r="AQ1981" s="15" t="s">
        <v>56</v>
      </c>
      <c r="AR1981" s="15" t="s">
        <v>58</v>
      </c>
      <c r="AS1981" s="15" t="s">
        <v>62</v>
      </c>
      <c r="AT1981" s="15"/>
      <c r="AU1981" s="45" t="s">
        <v>2626</v>
      </c>
      <c r="AV1981" s="15"/>
      <c r="AW1981" s="12" t="str">
        <f>B1981&amp;C1981&amp;L1981&amp;M1981&amp;O1981&amp;U1981&amp;AL1981&amp;AM1981</f>
        <v>United StatesKennedy Space Center MPAEucinostomus harengulussize0.966666413333435Douglass2018</v>
      </c>
    </row>
    <row r="1982" spans="1:49" ht="14.5" x14ac:dyDescent="0.35">
      <c r="A1982" s="12">
        <v>1981</v>
      </c>
      <c r="B1982" s="12" t="s">
        <v>75</v>
      </c>
      <c r="C1982" s="15" t="s">
        <v>2597</v>
      </c>
      <c r="D1982" s="12" t="s">
        <v>1016</v>
      </c>
      <c r="E1982" s="12" t="s">
        <v>68</v>
      </c>
      <c r="F1982" s="13" t="s">
        <v>274</v>
      </c>
      <c r="G1982" s="13" t="s">
        <v>51</v>
      </c>
      <c r="H1982" s="13" t="s">
        <v>108</v>
      </c>
      <c r="I1982" s="13" t="s">
        <v>53</v>
      </c>
      <c r="J1982" s="17">
        <v>30</v>
      </c>
      <c r="K1982" s="14"/>
      <c r="L1982" s="14" t="s">
        <v>1043</v>
      </c>
      <c r="M1982" s="14"/>
      <c r="N1982" s="14" t="s">
        <v>85</v>
      </c>
      <c r="O1982" s="17" t="s">
        <v>104</v>
      </c>
      <c r="P1982" s="14" t="s">
        <v>1018</v>
      </c>
      <c r="Q1982" s="14"/>
      <c r="R1982" s="14"/>
      <c r="S1982" s="14">
        <v>12.105259999999999</v>
      </c>
      <c r="T1982" s="14">
        <v>11.403510000000001</v>
      </c>
      <c r="U1982" s="19">
        <f t="shared" si="135"/>
        <v>0.94202933270330425</v>
      </c>
      <c r="V1982" s="41">
        <f t="shared" si="134"/>
        <v>-5.7970667296695755</v>
      </c>
      <c r="W1982" s="14"/>
      <c r="X1982" s="14" t="s">
        <v>56</v>
      </c>
      <c r="Z1982" s="14" t="s">
        <v>58</v>
      </c>
      <c r="AA1982" s="14" t="s">
        <v>58</v>
      </c>
      <c r="AB1982" s="14" t="s">
        <v>57</v>
      </c>
      <c r="AC1982" s="14">
        <v>2005</v>
      </c>
      <c r="AD1982" s="14">
        <v>4</v>
      </c>
      <c r="AE1982" s="14"/>
      <c r="AF1982" s="14"/>
      <c r="AG1982" s="14">
        <v>1962</v>
      </c>
      <c r="AH1982" s="14">
        <f t="shared" si="132"/>
        <v>43</v>
      </c>
      <c r="AI1982" s="17">
        <f t="shared" si="133"/>
        <v>47</v>
      </c>
      <c r="AJ1982" s="14"/>
      <c r="AK1982" s="14" t="s">
        <v>56</v>
      </c>
      <c r="AL1982" s="12" t="s">
        <v>1019</v>
      </c>
      <c r="AM1982" s="14">
        <v>2018</v>
      </c>
      <c r="AN1982" s="12" t="s">
        <v>860</v>
      </c>
      <c r="AO1982" s="12" t="s">
        <v>56</v>
      </c>
      <c r="AP1982" s="12"/>
      <c r="AQ1982" s="12" t="s">
        <v>56</v>
      </c>
      <c r="AR1982" s="12" t="s">
        <v>58</v>
      </c>
      <c r="AS1982" s="12" t="s">
        <v>62</v>
      </c>
      <c r="AT1982" s="12"/>
      <c r="AU1982" s="45" t="s">
        <v>2627</v>
      </c>
      <c r="AV1982" s="15"/>
      <c r="AW1982" s="12" t="str">
        <f>B1982&amp;C1982&amp;L1982&amp;M1982&amp;O1982&amp;U1982&amp;AL1982&amp;AM1982</f>
        <v>United StatesKennedy Space Center MPABairdiella chrysourasize0.942029332703304Douglass2018</v>
      </c>
    </row>
    <row r="1983" spans="1:49" ht="14.5" x14ac:dyDescent="0.35">
      <c r="A1983" s="12">
        <v>1982</v>
      </c>
      <c r="B1983" s="15" t="s">
        <v>75</v>
      </c>
      <c r="C1983" s="15" t="s">
        <v>2597</v>
      </c>
      <c r="D1983" s="12" t="s">
        <v>1016</v>
      </c>
      <c r="E1983" s="15" t="s">
        <v>68</v>
      </c>
      <c r="F1983" s="16" t="s">
        <v>274</v>
      </c>
      <c r="G1983" s="16" t="s">
        <v>51</v>
      </c>
      <c r="H1983" s="16" t="s">
        <v>108</v>
      </c>
      <c r="I1983" s="16" t="s">
        <v>53</v>
      </c>
      <c r="J1983" s="17">
        <v>30</v>
      </c>
      <c r="K1983" s="17"/>
      <c r="L1983" s="17" t="s">
        <v>1044</v>
      </c>
      <c r="M1983" s="17"/>
      <c r="N1983" s="14" t="s">
        <v>85</v>
      </c>
      <c r="O1983" s="17" t="s">
        <v>104</v>
      </c>
      <c r="P1983" s="17" t="s">
        <v>1018</v>
      </c>
      <c r="Q1983" s="17"/>
      <c r="R1983" s="17"/>
      <c r="S1983" s="17">
        <v>11.754390000000001</v>
      </c>
      <c r="T1983" s="17">
        <v>14.385960000000001</v>
      </c>
      <c r="U1983" s="20">
        <f t="shared" si="135"/>
        <v>1.2238797589666499</v>
      </c>
      <c r="V1983" s="41">
        <f t="shared" si="134"/>
        <v>22.38797589666499</v>
      </c>
      <c r="W1983" s="17"/>
      <c r="X1983" s="17" t="s">
        <v>56</v>
      </c>
      <c r="Z1983" s="17" t="s">
        <v>58</v>
      </c>
      <c r="AA1983" s="17" t="s">
        <v>58</v>
      </c>
      <c r="AB1983" s="17" t="s">
        <v>57</v>
      </c>
      <c r="AC1983" s="17">
        <v>2005</v>
      </c>
      <c r="AD1983" s="17">
        <v>4</v>
      </c>
      <c r="AE1983" s="17"/>
      <c r="AF1983" s="17"/>
      <c r="AG1983" s="17">
        <v>1962</v>
      </c>
      <c r="AH1983" s="14">
        <f t="shared" si="132"/>
        <v>43</v>
      </c>
      <c r="AI1983" s="17">
        <f t="shared" si="133"/>
        <v>47</v>
      </c>
      <c r="AJ1983" s="17"/>
      <c r="AK1983" s="17" t="s">
        <v>56</v>
      </c>
      <c r="AL1983" s="15" t="s">
        <v>1019</v>
      </c>
      <c r="AM1983" s="17">
        <v>2018</v>
      </c>
      <c r="AN1983" s="15" t="s">
        <v>860</v>
      </c>
      <c r="AO1983" s="15" t="s">
        <v>56</v>
      </c>
      <c r="AP1983" s="15"/>
      <c r="AQ1983" s="15" t="s">
        <v>56</v>
      </c>
      <c r="AR1983" s="15" t="s">
        <v>58</v>
      </c>
      <c r="AS1983" s="15" t="s">
        <v>62</v>
      </c>
      <c r="AT1983" s="15"/>
      <c r="AU1983" s="45" t="s">
        <v>2628</v>
      </c>
      <c r="AV1983" s="15"/>
      <c r="AW1983" s="12" t="str">
        <f>B1983&amp;C1983&amp;L1983&amp;M1983&amp;O1983&amp;U1983&amp;AL1983&amp;AM1983</f>
        <v>United StatesKennedy Space Center MPADiapterus auratussize1.22387975896665Douglass2018</v>
      </c>
    </row>
    <row r="1984" spans="1:49" ht="14.5" x14ac:dyDescent="0.35">
      <c r="A1984" s="12">
        <v>1983</v>
      </c>
      <c r="B1984" s="12" t="s">
        <v>75</v>
      </c>
      <c r="C1984" s="59" t="s">
        <v>76</v>
      </c>
      <c r="D1984" s="50" t="s">
        <v>77</v>
      </c>
      <c r="E1984" s="12" t="s">
        <v>68</v>
      </c>
      <c r="F1984" s="13" t="s">
        <v>50</v>
      </c>
      <c r="G1984" s="13" t="s">
        <v>51</v>
      </c>
      <c r="H1984" s="13" t="s">
        <v>78</v>
      </c>
      <c r="I1984" s="13" t="s">
        <v>53</v>
      </c>
      <c r="J1984" s="17"/>
      <c r="K1984" s="47">
        <v>30</v>
      </c>
      <c r="L1984" s="14" t="s">
        <v>84</v>
      </c>
      <c r="M1984" s="14"/>
      <c r="N1984" s="14" t="s">
        <v>85</v>
      </c>
      <c r="O1984" s="17" t="s">
        <v>86</v>
      </c>
      <c r="P1984" s="14"/>
      <c r="Q1984" s="14"/>
      <c r="R1984" s="14"/>
      <c r="S1984" s="14">
        <v>15.21739</v>
      </c>
      <c r="T1984" s="14">
        <v>48.913040000000002</v>
      </c>
      <c r="U1984" s="19">
        <f t="shared" si="135"/>
        <v>3.2142857612244939</v>
      </c>
      <c r="V1984" s="41">
        <f t="shared" si="134"/>
        <v>221.42857612244939</v>
      </c>
      <c r="W1984" s="14"/>
      <c r="X1984" s="14" t="s">
        <v>56</v>
      </c>
      <c r="Z1984" s="14" t="s">
        <v>56</v>
      </c>
      <c r="AA1984" s="14"/>
      <c r="AB1984" s="14" t="s">
        <v>57</v>
      </c>
      <c r="AC1984" s="14">
        <v>2016</v>
      </c>
      <c r="AD1984" s="14">
        <v>0</v>
      </c>
      <c r="AE1984" s="14"/>
      <c r="AF1984" s="14"/>
      <c r="AG1984" s="14">
        <v>2003</v>
      </c>
      <c r="AH1984" s="14">
        <f t="shared" ref="AH1984:AH2047" si="136">IF(OR(AG1984="NA",AC1984="NA"),"NA",IF(OR(AC1984="",AG1984=""), "", AC1984-AG1984))</f>
        <v>13</v>
      </c>
      <c r="AI1984" s="17">
        <f t="shared" ref="AI1984:AI2047" si="137">IF(AH1984="NA", "NA",IF(OR(AH1984="",AND(AD1984="",AE1984="")), "",AH1984+AD1984+AE1984/12))</f>
        <v>13</v>
      </c>
      <c r="AJ1984" s="14"/>
      <c r="AK1984" s="14" t="s">
        <v>56</v>
      </c>
      <c r="AL1984" s="12" t="s">
        <v>87</v>
      </c>
      <c r="AM1984" s="14">
        <v>2019</v>
      </c>
      <c r="AN1984" s="12" t="s">
        <v>88</v>
      </c>
      <c r="AO1984" s="12" t="s">
        <v>56</v>
      </c>
      <c r="AP1984" s="12"/>
      <c r="AQ1984" s="12" t="s">
        <v>56</v>
      </c>
      <c r="AR1984" s="12" t="s">
        <v>58</v>
      </c>
      <c r="AS1984" s="12" t="s">
        <v>62</v>
      </c>
      <c r="AT1984" s="12"/>
      <c r="AU1984" s="45"/>
      <c r="AV1984" s="15"/>
      <c r="AW1984" s="12" t="str">
        <f>B1984&amp;C1984&amp;L1984&amp;M1984&amp;O1984&amp;U1984&amp;AL1984&amp;AM1984</f>
        <v>United StatesAnacapa Island State Marine Reserve (new)Paralabrax clathratusdensity3.21428576122449Davis2019</v>
      </c>
    </row>
    <row r="1985" spans="1:49" ht="14.5" x14ac:dyDescent="0.35">
      <c r="A1985" s="12">
        <v>1984</v>
      </c>
      <c r="B1985" s="12" t="s">
        <v>75</v>
      </c>
      <c r="C1985" s="15" t="s">
        <v>2719</v>
      </c>
      <c r="D1985" s="50" t="s">
        <v>77</v>
      </c>
      <c r="E1985" s="12" t="s">
        <v>68</v>
      </c>
      <c r="F1985" s="13" t="s">
        <v>50</v>
      </c>
      <c r="G1985" s="13" t="s">
        <v>51</v>
      </c>
      <c r="H1985" s="13" t="s">
        <v>78</v>
      </c>
      <c r="I1985" s="13" t="s">
        <v>53</v>
      </c>
      <c r="J1985" s="17"/>
      <c r="K1985" s="17">
        <v>25</v>
      </c>
      <c r="L1985" s="14" t="s">
        <v>84</v>
      </c>
      <c r="M1985" s="14"/>
      <c r="N1985" s="14" t="s">
        <v>85</v>
      </c>
      <c r="O1985" s="17" t="s">
        <v>86</v>
      </c>
      <c r="P1985" s="14"/>
      <c r="Q1985" s="14"/>
      <c r="R1985" s="14"/>
      <c r="S1985" s="14">
        <v>10.86957</v>
      </c>
      <c r="T1985" s="14">
        <v>61.956519999999998</v>
      </c>
      <c r="U1985" s="19">
        <f t="shared" si="135"/>
        <v>5.6999973320011739</v>
      </c>
      <c r="V1985" s="41">
        <f t="shared" si="134"/>
        <v>469.99973320011736</v>
      </c>
      <c r="W1985" s="14"/>
      <c r="X1985" s="14" t="s">
        <v>56</v>
      </c>
      <c r="Z1985" s="14" t="s">
        <v>56</v>
      </c>
      <c r="AA1985" s="14"/>
      <c r="AB1985" s="14" t="s">
        <v>57</v>
      </c>
      <c r="AC1985" s="14">
        <v>2016</v>
      </c>
      <c r="AD1985" s="14">
        <v>0</v>
      </c>
      <c r="AE1985" s="14"/>
      <c r="AF1985" s="14"/>
      <c r="AG1985" s="14">
        <v>2003</v>
      </c>
      <c r="AH1985" s="14">
        <f t="shared" si="136"/>
        <v>13</v>
      </c>
      <c r="AI1985" s="17">
        <f t="shared" si="137"/>
        <v>13</v>
      </c>
      <c r="AJ1985" s="14"/>
      <c r="AK1985" s="14" t="s">
        <v>56</v>
      </c>
      <c r="AL1985" s="12" t="s">
        <v>87</v>
      </c>
      <c r="AM1985" s="14">
        <v>2019</v>
      </c>
      <c r="AN1985" s="12" t="s">
        <v>88</v>
      </c>
      <c r="AO1985" s="12" t="s">
        <v>56</v>
      </c>
      <c r="AP1985" s="12"/>
      <c r="AQ1985" s="12" t="s">
        <v>56</v>
      </c>
      <c r="AR1985" s="12" t="s">
        <v>58</v>
      </c>
      <c r="AS1985" s="12" t="s">
        <v>62</v>
      </c>
      <c r="AT1985" s="12"/>
      <c r="AU1985" s="45"/>
      <c r="AV1985" s="15"/>
      <c r="AW1985" s="12" t="str">
        <f>B1985&amp;C1985&amp;L1985&amp;M1985&amp;O1985&amp;U1985&amp;AL1985&amp;AM1985</f>
        <v>United StatesScorpion State Marine ReserveParalabrax clathratusdensity5.69999733200117Davis2019</v>
      </c>
    </row>
    <row r="1986" spans="1:49" ht="14.5" x14ac:dyDescent="0.35">
      <c r="A1986" s="12">
        <v>1985</v>
      </c>
      <c r="B1986" s="12" t="s">
        <v>75</v>
      </c>
      <c r="C1986" s="15" t="s">
        <v>1249</v>
      </c>
      <c r="D1986" s="12" t="s">
        <v>584</v>
      </c>
      <c r="E1986" s="12" t="s">
        <v>68</v>
      </c>
      <c r="F1986" s="13" t="s">
        <v>50</v>
      </c>
      <c r="G1986" s="13" t="s">
        <v>51</v>
      </c>
      <c r="H1986" s="13" t="s">
        <v>78</v>
      </c>
      <c r="I1986" s="13" t="s">
        <v>53</v>
      </c>
      <c r="J1986" s="17"/>
      <c r="K1986" s="17">
        <v>4.2</v>
      </c>
      <c r="L1986" s="14" t="s">
        <v>84</v>
      </c>
      <c r="M1986" s="14"/>
      <c r="N1986" s="14" t="s">
        <v>85</v>
      </c>
      <c r="O1986" s="14" t="s">
        <v>86</v>
      </c>
      <c r="P1986" s="14"/>
      <c r="Q1986" s="14"/>
      <c r="R1986" s="14"/>
      <c r="S1986" s="14">
        <v>306.52170000000001</v>
      </c>
      <c r="T1986" s="14">
        <v>204.34780000000001</v>
      </c>
      <c r="U1986" s="19">
        <f t="shared" si="135"/>
        <v>0.66666666666666663</v>
      </c>
      <c r="V1986" s="41">
        <f t="shared" ref="V1986:V2049" si="138">IFERROR(IF(U1986 = "", "",(U1986-1)*100),"N/A")</f>
        <v>-33.333333333333336</v>
      </c>
      <c r="W1986" s="14"/>
      <c r="X1986" s="14" t="s">
        <v>56</v>
      </c>
      <c r="Z1986" s="14" t="s">
        <v>56</v>
      </c>
      <c r="AA1986" s="14"/>
      <c r="AB1986" s="14" t="s">
        <v>57</v>
      </c>
      <c r="AC1986" s="14">
        <v>2016</v>
      </c>
      <c r="AD1986" s="14">
        <v>0</v>
      </c>
      <c r="AE1986" s="14"/>
      <c r="AF1986" s="14"/>
      <c r="AG1986" s="14">
        <v>2012</v>
      </c>
      <c r="AH1986" s="14">
        <f t="shared" si="136"/>
        <v>4</v>
      </c>
      <c r="AI1986" s="17">
        <f t="shared" si="137"/>
        <v>4</v>
      </c>
      <c r="AJ1986" s="14"/>
      <c r="AK1986" s="14" t="s">
        <v>56</v>
      </c>
      <c r="AL1986" s="12" t="s">
        <v>87</v>
      </c>
      <c r="AM1986" s="14">
        <v>2019</v>
      </c>
      <c r="AN1986" s="12" t="s">
        <v>88</v>
      </c>
      <c r="AO1986" s="12" t="s">
        <v>56</v>
      </c>
      <c r="AP1986" s="12"/>
      <c r="AQ1986" s="12" t="s">
        <v>56</v>
      </c>
      <c r="AR1986" s="12" t="s">
        <v>58</v>
      </c>
      <c r="AS1986" s="12" t="s">
        <v>62</v>
      </c>
      <c r="AT1986" s="12"/>
      <c r="AU1986" s="45"/>
      <c r="AV1986" s="15"/>
      <c r="AW1986" s="12" t="str">
        <f>B1986&amp;C1986&amp;L1986&amp;M1986&amp;O1986&amp;U1986&amp;AL1986&amp;AM1986</f>
        <v>United StatesLong Point marine reserveParalabrax clathratusdensity0.666666666666667Davis2019</v>
      </c>
    </row>
    <row r="1987" spans="1:49" ht="14.5" x14ac:dyDescent="0.35">
      <c r="A1987" s="12">
        <v>1986</v>
      </c>
      <c r="B1987" s="12" t="s">
        <v>75</v>
      </c>
      <c r="C1987" s="59" t="s">
        <v>76</v>
      </c>
      <c r="D1987" s="50" t="s">
        <v>77</v>
      </c>
      <c r="E1987" s="12" t="s">
        <v>68</v>
      </c>
      <c r="F1987" s="13" t="s">
        <v>50</v>
      </c>
      <c r="G1987" s="13" t="s">
        <v>51</v>
      </c>
      <c r="H1987" s="13" t="s">
        <v>78</v>
      </c>
      <c r="I1987" s="13" t="s">
        <v>53</v>
      </c>
      <c r="J1987" s="17"/>
      <c r="K1987" s="47">
        <v>30</v>
      </c>
      <c r="L1987" s="14" t="s">
        <v>84</v>
      </c>
      <c r="M1987" s="14"/>
      <c r="N1987" s="14" t="s">
        <v>85</v>
      </c>
      <c r="O1987" s="17" t="s">
        <v>70</v>
      </c>
      <c r="P1987" s="14"/>
      <c r="Q1987" s="14"/>
      <c r="R1987" s="14"/>
      <c r="S1987" s="14">
        <v>0.254386</v>
      </c>
      <c r="T1987" s="14">
        <v>1.6754389999999999</v>
      </c>
      <c r="U1987" s="19">
        <f t="shared" si="135"/>
        <v>6.5862075743161963</v>
      </c>
      <c r="V1987" s="41">
        <f t="shared" si="138"/>
        <v>558.62075743161961</v>
      </c>
      <c r="W1987" s="14"/>
      <c r="X1987" s="14" t="s">
        <v>56</v>
      </c>
      <c r="Z1987" s="14" t="s">
        <v>56</v>
      </c>
      <c r="AA1987" s="14"/>
      <c r="AB1987" s="14" t="s">
        <v>57</v>
      </c>
      <c r="AC1987" s="14">
        <v>2016</v>
      </c>
      <c r="AD1987" s="14">
        <v>0</v>
      </c>
      <c r="AE1987" s="14"/>
      <c r="AF1987" s="14"/>
      <c r="AG1987" s="14">
        <v>2003</v>
      </c>
      <c r="AH1987" s="14">
        <f t="shared" si="136"/>
        <v>13</v>
      </c>
      <c r="AI1987" s="17">
        <f t="shared" si="137"/>
        <v>13</v>
      </c>
      <c r="AJ1987" s="14"/>
      <c r="AK1987" s="14" t="s">
        <v>56</v>
      </c>
      <c r="AL1987" s="12" t="s">
        <v>87</v>
      </c>
      <c r="AM1987" s="14">
        <v>2019</v>
      </c>
      <c r="AN1987" s="12" t="s">
        <v>88</v>
      </c>
      <c r="AO1987" s="12" t="s">
        <v>56</v>
      </c>
      <c r="AP1987" s="12"/>
      <c r="AQ1987" s="12" t="s">
        <v>56</v>
      </c>
      <c r="AR1987" s="12" t="s">
        <v>58</v>
      </c>
      <c r="AS1987" s="12" t="s">
        <v>62</v>
      </c>
      <c r="AT1987" s="12"/>
      <c r="AU1987" s="45"/>
      <c r="AV1987" s="15"/>
      <c r="AW1987" s="12" t="str">
        <f>B1987&amp;C1987&amp;L1987&amp;M1987&amp;O1987&amp;U1987&amp;AL1987&amp;AM1987</f>
        <v>United StatesAnacapa Island State Marine Reserve (new)Paralabrax clathratusbiomassden6.5862075743162Davis2019</v>
      </c>
    </row>
    <row r="1988" spans="1:49" ht="14.5" x14ac:dyDescent="0.35">
      <c r="A1988" s="12">
        <v>1987</v>
      </c>
      <c r="B1988" s="12" t="s">
        <v>75</v>
      </c>
      <c r="C1988" s="15" t="s">
        <v>2719</v>
      </c>
      <c r="D1988" s="50" t="s">
        <v>77</v>
      </c>
      <c r="E1988" s="15" t="s">
        <v>68</v>
      </c>
      <c r="F1988" s="13" t="s">
        <v>50</v>
      </c>
      <c r="G1988" s="13" t="s">
        <v>51</v>
      </c>
      <c r="H1988" s="16" t="s">
        <v>78</v>
      </c>
      <c r="I1988" s="16" t="s">
        <v>53</v>
      </c>
      <c r="J1988" s="17"/>
      <c r="K1988" s="17">
        <v>25</v>
      </c>
      <c r="L1988" s="17" t="s">
        <v>84</v>
      </c>
      <c r="M1988" s="17"/>
      <c r="N1988" s="14" t="s">
        <v>85</v>
      </c>
      <c r="O1988" s="17" t="s">
        <v>70</v>
      </c>
      <c r="P1988" s="17"/>
      <c r="Q1988" s="17"/>
      <c r="R1988" s="17"/>
      <c r="S1988" s="17">
        <v>0.236842</v>
      </c>
      <c r="T1988" s="17">
        <v>1.4122809999999999</v>
      </c>
      <c r="U1988" s="20">
        <f t="shared" si="135"/>
        <v>5.9629668724297211</v>
      </c>
      <c r="V1988" s="41">
        <f t="shared" si="138"/>
        <v>496.2966872429721</v>
      </c>
      <c r="W1988" s="17"/>
      <c r="X1988" s="17" t="s">
        <v>56</v>
      </c>
      <c r="Y1988" s="17"/>
      <c r="Z1988" s="17" t="s">
        <v>56</v>
      </c>
      <c r="AA1988" s="17"/>
      <c r="AB1988" s="17" t="s">
        <v>57</v>
      </c>
      <c r="AC1988" s="17">
        <v>2016</v>
      </c>
      <c r="AD1988" s="17">
        <v>0</v>
      </c>
      <c r="AE1988" s="17"/>
      <c r="AF1988" s="17"/>
      <c r="AG1988" s="17">
        <v>2003</v>
      </c>
      <c r="AH1988" s="14">
        <f t="shared" si="136"/>
        <v>13</v>
      </c>
      <c r="AI1988" s="17">
        <f t="shared" si="137"/>
        <v>13</v>
      </c>
      <c r="AJ1988" s="17"/>
      <c r="AK1988" s="17" t="s">
        <v>56</v>
      </c>
      <c r="AL1988" s="15" t="s">
        <v>87</v>
      </c>
      <c r="AM1988" s="17">
        <v>2019</v>
      </c>
      <c r="AN1988" s="15" t="s">
        <v>88</v>
      </c>
      <c r="AO1988" s="15" t="s">
        <v>56</v>
      </c>
      <c r="AP1988" s="15"/>
      <c r="AQ1988" s="15" t="s">
        <v>56</v>
      </c>
      <c r="AR1988" s="15" t="s">
        <v>58</v>
      </c>
      <c r="AS1988" s="15" t="s">
        <v>62</v>
      </c>
      <c r="AT1988" s="15"/>
      <c r="AU1988" s="45"/>
      <c r="AV1988" s="15"/>
      <c r="AW1988" s="12" t="str">
        <f>B1988&amp;C1988&amp;L1988&amp;M1988&amp;O1988&amp;U1988&amp;AL1988&amp;AM1988</f>
        <v>United StatesScorpion State Marine ReserveParalabrax clathratusbiomassden5.96296687242972Davis2019</v>
      </c>
    </row>
    <row r="1989" spans="1:49" ht="14.5" x14ac:dyDescent="0.35">
      <c r="A1989" s="12">
        <v>1988</v>
      </c>
      <c r="B1989" s="15" t="s">
        <v>75</v>
      </c>
      <c r="C1989" s="15" t="s">
        <v>1249</v>
      </c>
      <c r="D1989" s="12" t="s">
        <v>584</v>
      </c>
      <c r="E1989" s="15" t="s">
        <v>68</v>
      </c>
      <c r="F1989" s="13" t="s">
        <v>50</v>
      </c>
      <c r="G1989" s="13" t="s">
        <v>51</v>
      </c>
      <c r="H1989" s="16" t="s">
        <v>78</v>
      </c>
      <c r="I1989" s="16" t="s">
        <v>53</v>
      </c>
      <c r="J1989" s="17"/>
      <c r="K1989" s="17">
        <v>4.2</v>
      </c>
      <c r="L1989" s="17" t="s">
        <v>84</v>
      </c>
      <c r="M1989" s="17"/>
      <c r="N1989" s="14" t="s">
        <v>85</v>
      </c>
      <c r="O1989" s="17" t="s">
        <v>70</v>
      </c>
      <c r="P1989" s="17"/>
      <c r="Q1989" s="17"/>
      <c r="R1989" s="17"/>
      <c r="S1989" s="17">
        <v>0.80701800000000001</v>
      </c>
      <c r="T1989" s="17">
        <v>1.561404</v>
      </c>
      <c r="U1989" s="20">
        <f t="shared" si="135"/>
        <v>1.9347821238187997</v>
      </c>
      <c r="V1989" s="41">
        <f t="shared" si="138"/>
        <v>93.47821238187997</v>
      </c>
      <c r="W1989" s="17"/>
      <c r="X1989" s="17" t="s">
        <v>56</v>
      </c>
      <c r="Y1989" s="17"/>
      <c r="Z1989" s="17" t="s">
        <v>56</v>
      </c>
      <c r="AA1989" s="17"/>
      <c r="AB1989" s="17" t="s">
        <v>57</v>
      </c>
      <c r="AC1989" s="17">
        <v>2016</v>
      </c>
      <c r="AD1989" s="17">
        <v>0</v>
      </c>
      <c r="AE1989" s="17"/>
      <c r="AF1989" s="17"/>
      <c r="AG1989" s="17">
        <v>2012</v>
      </c>
      <c r="AH1989" s="14">
        <f t="shared" si="136"/>
        <v>4</v>
      </c>
      <c r="AI1989" s="17">
        <f t="shared" si="137"/>
        <v>4</v>
      </c>
      <c r="AJ1989" s="17"/>
      <c r="AK1989" s="17" t="s">
        <v>56</v>
      </c>
      <c r="AL1989" s="15" t="s">
        <v>87</v>
      </c>
      <c r="AM1989" s="17">
        <v>2019</v>
      </c>
      <c r="AN1989" s="15" t="s">
        <v>88</v>
      </c>
      <c r="AO1989" s="15" t="s">
        <v>56</v>
      </c>
      <c r="AP1989" s="15"/>
      <c r="AQ1989" s="15" t="s">
        <v>56</v>
      </c>
      <c r="AR1989" s="15" t="s">
        <v>58</v>
      </c>
      <c r="AS1989" s="15" t="s">
        <v>62</v>
      </c>
      <c r="AT1989" s="15"/>
      <c r="AU1989" s="45"/>
      <c r="AV1989" s="15"/>
      <c r="AW1989" s="12" t="str">
        <f>B1989&amp;C1989&amp;L1989&amp;M1989&amp;O1989&amp;U1989&amp;AL1989&amp;AM1989</f>
        <v>United StatesLong Point marine reserveParalabrax clathratusbiomassden1.9347821238188Davis2019</v>
      </c>
    </row>
    <row r="1990" spans="1:49" ht="14.5" x14ac:dyDescent="0.35">
      <c r="A1990" s="12">
        <v>1989</v>
      </c>
      <c r="B1990" s="15" t="s">
        <v>75</v>
      </c>
      <c r="C1990" s="15" t="s">
        <v>583</v>
      </c>
      <c r="D1990" s="12" t="s">
        <v>584</v>
      </c>
      <c r="E1990" s="15" t="s">
        <v>68</v>
      </c>
      <c r="F1990" s="13" t="s">
        <v>50</v>
      </c>
      <c r="G1990" s="13" t="s">
        <v>51</v>
      </c>
      <c r="H1990" s="16" t="s">
        <v>78</v>
      </c>
      <c r="I1990" s="16" t="s">
        <v>53</v>
      </c>
      <c r="J1990" s="17">
        <f>(0.13+0.18)/2</f>
        <v>0.155</v>
      </c>
      <c r="K1990" s="17"/>
      <c r="L1990" s="17" t="s">
        <v>84</v>
      </c>
      <c r="M1990" s="17"/>
      <c r="N1990" s="14" t="s">
        <v>85</v>
      </c>
      <c r="O1990" s="17" t="s">
        <v>70</v>
      </c>
      <c r="P1990" s="17"/>
      <c r="Q1990" s="17"/>
      <c r="R1990" s="17"/>
      <c r="S1990" s="17">
        <v>0.19800000000000001</v>
      </c>
      <c r="T1990" s="17">
        <v>2.2799999999999998</v>
      </c>
      <c r="U1990" s="20">
        <f t="shared" si="135"/>
        <v>11.515151515151514</v>
      </c>
      <c r="V1990" s="41">
        <f t="shared" si="138"/>
        <v>1051.5151515151513</v>
      </c>
      <c r="W1990" s="17"/>
      <c r="X1990" s="17" t="s">
        <v>56</v>
      </c>
      <c r="Y1990" s="17"/>
      <c r="Z1990" s="17" t="s">
        <v>56</v>
      </c>
      <c r="AA1990" s="17"/>
      <c r="AB1990" s="17" t="s">
        <v>57</v>
      </c>
      <c r="AC1990" s="17">
        <v>2016</v>
      </c>
      <c r="AD1990" s="17">
        <v>0</v>
      </c>
      <c r="AE1990" s="17"/>
      <c r="AF1990" s="17"/>
      <c r="AG1990" s="17">
        <v>1988</v>
      </c>
      <c r="AH1990" s="14">
        <f t="shared" si="136"/>
        <v>28</v>
      </c>
      <c r="AI1990" s="17">
        <f t="shared" si="137"/>
        <v>28</v>
      </c>
      <c r="AJ1990" s="17"/>
      <c r="AK1990" s="17" t="s">
        <v>56</v>
      </c>
      <c r="AL1990" s="15" t="s">
        <v>87</v>
      </c>
      <c r="AM1990" s="17">
        <v>2020</v>
      </c>
      <c r="AN1990" s="15" t="s">
        <v>88</v>
      </c>
      <c r="AO1990" s="15" t="s">
        <v>56</v>
      </c>
      <c r="AP1990" s="15"/>
      <c r="AQ1990" s="15" t="s">
        <v>56</v>
      </c>
      <c r="AR1990" s="15" t="s">
        <v>58</v>
      </c>
      <c r="AS1990" s="15" t="s">
        <v>163</v>
      </c>
      <c r="AT1990" s="15"/>
      <c r="AU1990" s="45" t="s">
        <v>2653</v>
      </c>
      <c r="AV1990" s="15"/>
      <c r="AW1990" s="12" t="str">
        <f>B1990&amp;C1990&amp;L1990&amp;M1990&amp;O1990&amp;U1990&amp;AL1990&amp;AM1990</f>
        <v>United StatesCatalina Marine Science Center Marine Life RefugeParalabrax clathratusbiomassden11.5151515151515Davis2020</v>
      </c>
    </row>
    <row r="1991" spans="1:49" ht="14.5" x14ac:dyDescent="0.35">
      <c r="A1991" s="12">
        <v>1990</v>
      </c>
      <c r="B1991" s="15" t="s">
        <v>75</v>
      </c>
      <c r="C1991" s="15" t="s">
        <v>583</v>
      </c>
      <c r="D1991" s="12" t="s">
        <v>584</v>
      </c>
      <c r="E1991" s="15" t="s">
        <v>68</v>
      </c>
      <c r="F1991" s="13" t="s">
        <v>50</v>
      </c>
      <c r="G1991" s="13" t="s">
        <v>51</v>
      </c>
      <c r="H1991" s="16" t="s">
        <v>78</v>
      </c>
      <c r="I1991" s="16" t="s">
        <v>53</v>
      </c>
      <c r="J1991" s="17">
        <f>(0.13+0.18)/2</f>
        <v>0.155</v>
      </c>
      <c r="K1991" s="17"/>
      <c r="L1991" s="17" t="s">
        <v>84</v>
      </c>
      <c r="M1991" s="17"/>
      <c r="N1991" s="14" t="s">
        <v>85</v>
      </c>
      <c r="O1991" s="17" t="s">
        <v>86</v>
      </c>
      <c r="P1991" s="17"/>
      <c r="Q1991" s="17"/>
      <c r="R1991" s="17"/>
      <c r="S1991" s="17">
        <v>9.8000000000000007</v>
      </c>
      <c r="T1991" s="17">
        <v>62.3</v>
      </c>
      <c r="U1991" s="20">
        <f t="shared" si="135"/>
        <v>6.3571428571428568</v>
      </c>
      <c r="V1991" s="41">
        <f t="shared" si="138"/>
        <v>535.71428571428567</v>
      </c>
      <c r="W1991" s="17"/>
      <c r="X1991" s="17" t="s">
        <v>56</v>
      </c>
      <c r="Y1991" s="17"/>
      <c r="Z1991" s="17" t="s">
        <v>56</v>
      </c>
      <c r="AA1991" s="17"/>
      <c r="AB1991" s="17" t="s">
        <v>57</v>
      </c>
      <c r="AC1991" s="17">
        <v>2016</v>
      </c>
      <c r="AD1991" s="17">
        <v>0</v>
      </c>
      <c r="AE1991" s="17"/>
      <c r="AF1991" s="17"/>
      <c r="AG1991" s="17">
        <v>1988</v>
      </c>
      <c r="AH1991" s="14">
        <f t="shared" si="136"/>
        <v>28</v>
      </c>
      <c r="AI1991" s="17">
        <f t="shared" si="137"/>
        <v>28</v>
      </c>
      <c r="AJ1991" s="17"/>
      <c r="AK1991" s="17" t="s">
        <v>56</v>
      </c>
      <c r="AL1991" s="15" t="s">
        <v>87</v>
      </c>
      <c r="AM1991" s="17">
        <v>2021</v>
      </c>
      <c r="AN1991" s="15" t="s">
        <v>88</v>
      </c>
      <c r="AO1991" s="15" t="s">
        <v>56</v>
      </c>
      <c r="AP1991" s="15"/>
      <c r="AQ1991" s="15" t="s">
        <v>56</v>
      </c>
      <c r="AR1991" s="15" t="s">
        <v>58</v>
      </c>
      <c r="AS1991" s="15" t="s">
        <v>163</v>
      </c>
      <c r="AT1991" s="15"/>
      <c r="AU1991" s="45" t="s">
        <v>2654</v>
      </c>
      <c r="AV1991" s="15"/>
      <c r="AW1991" s="12" t="str">
        <f>B1991&amp;C1991&amp;L1991&amp;M1991&amp;O1991&amp;U1991&amp;AL1991&amp;AM1991</f>
        <v>United StatesCatalina Marine Science Center Marine Life RefugeParalabrax clathratusdensity6.35714285714286Davis2021</v>
      </c>
    </row>
    <row r="1992" spans="1:49" ht="14.5" x14ac:dyDescent="0.35">
      <c r="A1992" s="12">
        <v>1991</v>
      </c>
      <c r="B1992" s="12" t="s">
        <v>299</v>
      </c>
      <c r="C1992" s="15" t="s">
        <v>915</v>
      </c>
      <c r="D1992" s="15" t="s">
        <v>300</v>
      </c>
      <c r="E1992" s="15" t="s">
        <v>916</v>
      </c>
      <c r="F1992" s="13" t="s">
        <v>50</v>
      </c>
      <c r="G1992" s="13" t="s">
        <v>51</v>
      </c>
      <c r="H1992" s="16" t="s">
        <v>108</v>
      </c>
      <c r="I1992" s="16" t="s">
        <v>156</v>
      </c>
      <c r="J1992" s="17" t="s">
        <v>509</v>
      </c>
      <c r="K1992" s="17"/>
      <c r="L1992" s="17" t="s">
        <v>917</v>
      </c>
      <c r="M1992" s="17"/>
      <c r="N1992" s="14" t="s">
        <v>85</v>
      </c>
      <c r="O1992" s="17" t="s">
        <v>70</v>
      </c>
      <c r="P1992" s="17"/>
      <c r="Q1992" s="17"/>
      <c r="R1992" s="17"/>
      <c r="S1992" s="17">
        <v>12.2</v>
      </c>
      <c r="T1992" s="17">
        <v>12.8</v>
      </c>
      <c r="U1992" s="20">
        <f t="shared" si="135"/>
        <v>1.0491803278688525</v>
      </c>
      <c r="V1992" s="41">
        <f t="shared" si="138"/>
        <v>4.9180327868852514</v>
      </c>
      <c r="W1992" s="17"/>
      <c r="X1992" s="17" t="s">
        <v>58</v>
      </c>
      <c r="Y1992" s="17">
        <v>250</v>
      </c>
      <c r="Z1992" s="17" t="s">
        <v>58</v>
      </c>
      <c r="AA1992" s="17"/>
      <c r="AB1992" s="17" t="s">
        <v>57</v>
      </c>
      <c r="AC1992" s="17">
        <v>2009</v>
      </c>
      <c r="AD1992" s="17">
        <v>4</v>
      </c>
      <c r="AE1992" s="17"/>
      <c r="AF1992" s="17"/>
      <c r="AG1992" s="17" t="s">
        <v>509</v>
      </c>
      <c r="AH1992" s="14" t="str">
        <f t="shared" si="136"/>
        <v>NA</v>
      </c>
      <c r="AI1992" s="17" t="str">
        <f t="shared" si="137"/>
        <v>NA</v>
      </c>
      <c r="AJ1992" s="17"/>
      <c r="AK1992" s="17" t="s">
        <v>56</v>
      </c>
      <c r="AL1992" s="15" t="s">
        <v>918</v>
      </c>
      <c r="AM1992" s="17">
        <v>2017</v>
      </c>
      <c r="AN1992" s="12" t="s">
        <v>183</v>
      </c>
      <c r="AO1992" s="15" t="s">
        <v>56</v>
      </c>
      <c r="AP1992" s="15"/>
      <c r="AQ1992" s="15" t="s">
        <v>56</v>
      </c>
      <c r="AR1992" s="15" t="s">
        <v>58</v>
      </c>
      <c r="AS1992" s="15" t="s">
        <v>62</v>
      </c>
      <c r="AT1992" s="15"/>
      <c r="AU1992" s="45" t="s">
        <v>919</v>
      </c>
      <c r="AV1992" s="15"/>
      <c r="AW1992" s="12" t="str">
        <f>B1992&amp;C1992&amp;L1992&amp;M1992&amp;O1992&amp;U1992&amp;AL1992&amp;AM1992</f>
        <v>BelizeHalf Moon Caye National Monument, Hol Chan Marine Reserve, Bacalar Chico Marine Reserve, and Sapodilla Cayes Marine Reserve fully protected areasSparisoma viridebiomassden1.04918032786885Cox2017</v>
      </c>
    </row>
    <row r="1993" spans="1:49" ht="14.5" x14ac:dyDescent="0.35">
      <c r="A1993" s="12">
        <v>1992</v>
      </c>
      <c r="B1993" s="12" t="s">
        <v>299</v>
      </c>
      <c r="C1993" s="15" t="s">
        <v>915</v>
      </c>
      <c r="D1993" s="15" t="s">
        <v>300</v>
      </c>
      <c r="E1993" s="12" t="s">
        <v>916</v>
      </c>
      <c r="F1993" s="13" t="s">
        <v>50</v>
      </c>
      <c r="G1993" s="13" t="s">
        <v>51</v>
      </c>
      <c r="H1993" s="13" t="s">
        <v>108</v>
      </c>
      <c r="I1993" s="13" t="s">
        <v>156</v>
      </c>
      <c r="J1993" s="17" t="s">
        <v>509</v>
      </c>
      <c r="K1993" s="17"/>
      <c r="L1993" s="14" t="s">
        <v>920</v>
      </c>
      <c r="M1993" s="14"/>
      <c r="N1993" s="14" t="s">
        <v>85</v>
      </c>
      <c r="O1993" s="17" t="s">
        <v>70</v>
      </c>
      <c r="P1993" s="14"/>
      <c r="Q1993" s="14"/>
      <c r="R1993" s="14"/>
      <c r="S1993" s="14">
        <v>7.3</v>
      </c>
      <c r="T1993" s="14">
        <v>5.8</v>
      </c>
      <c r="U1993" s="19">
        <f t="shared" si="135"/>
        <v>0.79452054794520544</v>
      </c>
      <c r="V1993" s="41">
        <f t="shared" si="138"/>
        <v>-20.547945205479458</v>
      </c>
      <c r="W1993" s="14"/>
      <c r="X1993" s="14" t="s">
        <v>58</v>
      </c>
      <c r="Y1993" s="14">
        <v>250</v>
      </c>
      <c r="Z1993" s="14" t="s">
        <v>58</v>
      </c>
      <c r="AA1993" s="14"/>
      <c r="AB1993" s="14" t="s">
        <v>57</v>
      </c>
      <c r="AC1993" s="14">
        <v>2009</v>
      </c>
      <c r="AD1993" s="14">
        <v>4</v>
      </c>
      <c r="AE1993" s="14"/>
      <c r="AF1993" s="14"/>
      <c r="AG1993" s="14" t="s">
        <v>509</v>
      </c>
      <c r="AH1993" s="14" t="str">
        <f t="shared" si="136"/>
        <v>NA</v>
      </c>
      <c r="AI1993" s="17" t="str">
        <f t="shared" si="137"/>
        <v>NA</v>
      </c>
      <c r="AJ1993" s="14"/>
      <c r="AK1993" s="14" t="s">
        <v>56</v>
      </c>
      <c r="AL1993" s="12" t="s">
        <v>918</v>
      </c>
      <c r="AM1993" s="14">
        <v>2017</v>
      </c>
      <c r="AN1993" s="12" t="s">
        <v>183</v>
      </c>
      <c r="AO1993" s="12" t="s">
        <v>56</v>
      </c>
      <c r="AP1993" s="12"/>
      <c r="AQ1993" s="12" t="s">
        <v>56</v>
      </c>
      <c r="AR1993" s="12" t="s">
        <v>58</v>
      </c>
      <c r="AS1993" s="12" t="s">
        <v>62</v>
      </c>
      <c r="AT1993" s="12"/>
      <c r="AU1993" s="45" t="s">
        <v>919</v>
      </c>
      <c r="AV1993" s="15"/>
      <c r="AW1993" s="12" t="str">
        <f>B1993&amp;C1993&amp;L1993&amp;M1993&amp;O1993&amp;U1993&amp;AL1993&amp;AM1993</f>
        <v>BelizeHalf Moon Caye National Monument, Hol Chan Marine Reserve, Bacalar Chico Marine Reserve, and Sapodilla Cayes Marine Reserve fully protected areasSparisoma aurofrenatumbiomassden0.794520547945205Cox2017</v>
      </c>
    </row>
    <row r="1994" spans="1:49" ht="14.5" x14ac:dyDescent="0.35">
      <c r="A1994" s="12">
        <v>1993</v>
      </c>
      <c r="B1994" s="12" t="s">
        <v>299</v>
      </c>
      <c r="C1994" s="15" t="s">
        <v>915</v>
      </c>
      <c r="D1994" s="15" t="s">
        <v>300</v>
      </c>
      <c r="E1994" s="15" t="s">
        <v>916</v>
      </c>
      <c r="F1994" s="13" t="s">
        <v>50</v>
      </c>
      <c r="G1994" s="13" t="s">
        <v>51</v>
      </c>
      <c r="H1994" s="16" t="s">
        <v>108</v>
      </c>
      <c r="I1994" s="16" t="s">
        <v>156</v>
      </c>
      <c r="J1994" s="17" t="s">
        <v>509</v>
      </c>
      <c r="K1994" s="17"/>
      <c r="L1994" s="17" t="s">
        <v>921</v>
      </c>
      <c r="M1994" s="17"/>
      <c r="N1994" s="14" t="s">
        <v>85</v>
      </c>
      <c r="O1994" s="17" t="s">
        <v>70</v>
      </c>
      <c r="P1994" s="17"/>
      <c r="Q1994" s="17"/>
      <c r="R1994" s="17"/>
      <c r="S1994" s="17">
        <v>1.7</v>
      </c>
      <c r="T1994" s="17">
        <v>0.9</v>
      </c>
      <c r="U1994" s="20">
        <f t="shared" si="135"/>
        <v>0.52941176470588236</v>
      </c>
      <c r="V1994" s="41">
        <f t="shared" si="138"/>
        <v>-47.058823529411761</v>
      </c>
      <c r="W1994" s="17"/>
      <c r="X1994" s="17" t="s">
        <v>58</v>
      </c>
      <c r="Y1994" s="14">
        <v>250</v>
      </c>
      <c r="Z1994" s="17" t="s">
        <v>58</v>
      </c>
      <c r="AA1994" s="17"/>
      <c r="AB1994" s="17" t="s">
        <v>57</v>
      </c>
      <c r="AC1994" s="17">
        <v>2009</v>
      </c>
      <c r="AD1994" s="17">
        <v>4</v>
      </c>
      <c r="AE1994" s="17"/>
      <c r="AF1994" s="17"/>
      <c r="AG1994" s="17" t="s">
        <v>509</v>
      </c>
      <c r="AH1994" s="14" t="str">
        <f t="shared" si="136"/>
        <v>NA</v>
      </c>
      <c r="AI1994" s="17" t="str">
        <f t="shared" si="137"/>
        <v>NA</v>
      </c>
      <c r="AJ1994" s="17"/>
      <c r="AK1994" s="17" t="s">
        <v>56</v>
      </c>
      <c r="AL1994" s="15" t="s">
        <v>918</v>
      </c>
      <c r="AM1994" s="17">
        <v>2017</v>
      </c>
      <c r="AN1994" s="15" t="s">
        <v>183</v>
      </c>
      <c r="AO1994" s="15" t="s">
        <v>56</v>
      </c>
      <c r="AP1994" s="15"/>
      <c r="AQ1994" s="15" t="s">
        <v>56</v>
      </c>
      <c r="AR1994" s="15" t="s">
        <v>58</v>
      </c>
      <c r="AS1994" s="15" t="s">
        <v>62</v>
      </c>
      <c r="AT1994" s="15"/>
      <c r="AU1994" s="45" t="s">
        <v>919</v>
      </c>
      <c r="AV1994" s="15"/>
      <c r="AW1994" s="12" t="str">
        <f>B1994&amp;C1994&amp;L1994&amp;M1994&amp;O1994&amp;U1994&amp;AL1994&amp;AM1994</f>
        <v>BelizeHalf Moon Caye National Monument, Hol Chan Marine Reserve, Bacalar Chico Marine Reserve, and Sapodilla Cayes Marine Reserve fully protected areasSparisoma chrysopterumbiomassden0.529411764705882Cox2017</v>
      </c>
    </row>
    <row r="1995" spans="1:49" ht="14.5" x14ac:dyDescent="0.35">
      <c r="A1995" s="12">
        <v>1994</v>
      </c>
      <c r="B1995" s="15" t="s">
        <v>299</v>
      </c>
      <c r="C1995" s="15" t="s">
        <v>915</v>
      </c>
      <c r="D1995" s="15" t="s">
        <v>300</v>
      </c>
      <c r="E1995" s="15" t="s">
        <v>916</v>
      </c>
      <c r="F1995" s="13" t="s">
        <v>50</v>
      </c>
      <c r="G1995" s="13" t="s">
        <v>51</v>
      </c>
      <c r="H1995" s="16" t="s">
        <v>108</v>
      </c>
      <c r="I1995" s="16" t="s">
        <v>156</v>
      </c>
      <c r="J1995" s="17" t="s">
        <v>509</v>
      </c>
      <c r="K1995" s="17"/>
      <c r="L1995" s="17" t="s">
        <v>922</v>
      </c>
      <c r="M1995" s="17"/>
      <c r="N1995" s="14" t="s">
        <v>85</v>
      </c>
      <c r="O1995" s="17" t="s">
        <v>70</v>
      </c>
      <c r="P1995" s="17"/>
      <c r="Q1995" s="17"/>
      <c r="R1995" s="17"/>
      <c r="S1995" s="17">
        <v>2.5</v>
      </c>
      <c r="T1995" s="17">
        <v>1.6</v>
      </c>
      <c r="U1995" s="20">
        <f t="shared" si="135"/>
        <v>0.64</v>
      </c>
      <c r="V1995" s="41">
        <f t="shared" si="138"/>
        <v>-36</v>
      </c>
      <c r="W1995" s="17"/>
      <c r="X1995" s="17" t="s">
        <v>58</v>
      </c>
      <c r="Y1995" s="14">
        <v>250</v>
      </c>
      <c r="Z1995" s="17" t="s">
        <v>58</v>
      </c>
      <c r="AA1995" s="17"/>
      <c r="AB1995" s="17" t="s">
        <v>57</v>
      </c>
      <c r="AC1995" s="17">
        <v>2009</v>
      </c>
      <c r="AD1995" s="17">
        <v>4</v>
      </c>
      <c r="AE1995" s="17"/>
      <c r="AF1995" s="17"/>
      <c r="AG1995" s="17" t="s">
        <v>509</v>
      </c>
      <c r="AH1995" s="14" t="str">
        <f t="shared" si="136"/>
        <v>NA</v>
      </c>
      <c r="AI1995" s="17" t="str">
        <f t="shared" si="137"/>
        <v>NA</v>
      </c>
      <c r="AJ1995" s="17"/>
      <c r="AK1995" s="17" t="s">
        <v>56</v>
      </c>
      <c r="AL1995" s="15" t="s">
        <v>918</v>
      </c>
      <c r="AM1995" s="17">
        <v>2017</v>
      </c>
      <c r="AN1995" s="15" t="s">
        <v>183</v>
      </c>
      <c r="AO1995" s="15" t="s">
        <v>56</v>
      </c>
      <c r="AP1995" s="15"/>
      <c r="AQ1995" s="15" t="s">
        <v>56</v>
      </c>
      <c r="AR1995" s="15" t="s">
        <v>58</v>
      </c>
      <c r="AS1995" s="15" t="s">
        <v>62</v>
      </c>
      <c r="AT1995" s="15"/>
      <c r="AU1995" s="45" t="s">
        <v>919</v>
      </c>
      <c r="AV1995" s="15"/>
      <c r="AW1995" s="12" t="str">
        <f>B1995&amp;C1995&amp;L1995&amp;M1995&amp;O1995&amp;U1995&amp;AL1995&amp;AM1995</f>
        <v>BelizeHalf Moon Caye National Monument, Hol Chan Marine Reserve, Bacalar Chico Marine Reserve, and Sapodilla Cayes Marine Reserve fully protected areasSparisoma rubripinnebiomassden0.64Cox2017</v>
      </c>
    </row>
    <row r="1996" spans="1:49" ht="14.5" x14ac:dyDescent="0.35">
      <c r="A1996" s="12">
        <v>1995</v>
      </c>
      <c r="B1996" s="15" t="s">
        <v>299</v>
      </c>
      <c r="C1996" s="15" t="s">
        <v>915</v>
      </c>
      <c r="D1996" s="15" t="s">
        <v>300</v>
      </c>
      <c r="E1996" s="15" t="s">
        <v>916</v>
      </c>
      <c r="F1996" s="16" t="s">
        <v>50</v>
      </c>
      <c r="G1996" s="16" t="s">
        <v>51</v>
      </c>
      <c r="H1996" s="16" t="s">
        <v>108</v>
      </c>
      <c r="I1996" s="16" t="s">
        <v>156</v>
      </c>
      <c r="J1996" s="17" t="s">
        <v>509</v>
      </c>
      <c r="K1996" s="17"/>
      <c r="L1996" s="17" t="s">
        <v>923</v>
      </c>
      <c r="M1996" s="17"/>
      <c r="N1996" s="14" t="s">
        <v>85</v>
      </c>
      <c r="O1996" s="17" t="s">
        <v>70</v>
      </c>
      <c r="P1996" s="17"/>
      <c r="Q1996" s="17"/>
      <c r="R1996" s="17"/>
      <c r="S1996" s="17">
        <v>6.2</v>
      </c>
      <c r="T1996" s="17">
        <v>5.9</v>
      </c>
      <c r="U1996" s="20">
        <f t="shared" si="135"/>
        <v>0.95161290322580649</v>
      </c>
      <c r="V1996" s="41">
        <f t="shared" si="138"/>
        <v>-4.8387096774193505</v>
      </c>
      <c r="W1996" s="17"/>
      <c r="X1996" s="17" t="s">
        <v>58</v>
      </c>
      <c r="Y1996" s="17">
        <v>250</v>
      </c>
      <c r="Z1996" s="17" t="s">
        <v>58</v>
      </c>
      <c r="AA1996" s="17"/>
      <c r="AB1996" s="17" t="s">
        <v>57</v>
      </c>
      <c r="AC1996" s="17">
        <v>2009</v>
      </c>
      <c r="AD1996" s="17">
        <v>4</v>
      </c>
      <c r="AE1996" s="17"/>
      <c r="AF1996" s="17"/>
      <c r="AG1996" s="17" t="s">
        <v>509</v>
      </c>
      <c r="AH1996" s="14" t="str">
        <f t="shared" si="136"/>
        <v>NA</v>
      </c>
      <c r="AI1996" s="17" t="str">
        <f t="shared" si="137"/>
        <v>NA</v>
      </c>
      <c r="AJ1996" s="17"/>
      <c r="AK1996" s="17" t="s">
        <v>56</v>
      </c>
      <c r="AL1996" s="15" t="s">
        <v>918</v>
      </c>
      <c r="AM1996" s="17">
        <v>2017</v>
      </c>
      <c r="AN1996" s="15" t="s">
        <v>183</v>
      </c>
      <c r="AO1996" s="15" t="s">
        <v>56</v>
      </c>
      <c r="AP1996" s="15"/>
      <c r="AQ1996" s="15" t="s">
        <v>56</v>
      </c>
      <c r="AR1996" s="15" t="s">
        <v>58</v>
      </c>
      <c r="AS1996" s="15" t="s">
        <v>62</v>
      </c>
      <c r="AT1996" s="15"/>
      <c r="AU1996" s="45" t="s">
        <v>919</v>
      </c>
      <c r="AV1996" s="15"/>
      <c r="AW1996" s="12" t="str">
        <f>B1996&amp;C1996&amp;L1996&amp;M1996&amp;O1996&amp;U1996&amp;AL1996&amp;AM1996</f>
        <v>BelizeHalf Moon Caye National Monument, Hol Chan Marine Reserve, Bacalar Chico Marine Reserve, and Sapodilla Cayes Marine Reserve fully protected areasScarus isertibiomassden0.951612903225806Cox2017</v>
      </c>
    </row>
    <row r="1997" spans="1:49" ht="14.5" x14ac:dyDescent="0.35">
      <c r="A1997" s="12">
        <v>1996</v>
      </c>
      <c r="B1997" s="15" t="s">
        <v>299</v>
      </c>
      <c r="C1997" s="15" t="s">
        <v>915</v>
      </c>
      <c r="D1997" s="15" t="s">
        <v>300</v>
      </c>
      <c r="E1997" s="15" t="s">
        <v>916</v>
      </c>
      <c r="F1997" s="16" t="s">
        <v>50</v>
      </c>
      <c r="G1997" s="16" t="s">
        <v>51</v>
      </c>
      <c r="H1997" s="16" t="s">
        <v>108</v>
      </c>
      <c r="I1997" s="16" t="s">
        <v>156</v>
      </c>
      <c r="J1997" s="17" t="s">
        <v>509</v>
      </c>
      <c r="K1997" s="17"/>
      <c r="L1997" s="17" t="s">
        <v>924</v>
      </c>
      <c r="M1997" s="17"/>
      <c r="N1997" s="14" t="s">
        <v>85</v>
      </c>
      <c r="O1997" s="17" t="s">
        <v>70</v>
      </c>
      <c r="P1997" s="17"/>
      <c r="Q1997" s="17"/>
      <c r="R1997" s="17"/>
      <c r="S1997" s="17">
        <v>1.7</v>
      </c>
      <c r="T1997" s="17">
        <v>1.4</v>
      </c>
      <c r="U1997" s="20">
        <f t="shared" si="135"/>
        <v>0.82352941176470584</v>
      </c>
      <c r="V1997" s="41">
        <f t="shared" si="138"/>
        <v>-17.647058823529417</v>
      </c>
      <c r="W1997" s="17"/>
      <c r="X1997" s="17" t="s">
        <v>58</v>
      </c>
      <c r="Y1997" s="17">
        <v>250</v>
      </c>
      <c r="Z1997" s="17" t="s">
        <v>58</v>
      </c>
      <c r="AA1997" s="17"/>
      <c r="AB1997" s="17" t="s">
        <v>57</v>
      </c>
      <c r="AC1997" s="17">
        <v>2009</v>
      </c>
      <c r="AD1997" s="17">
        <v>4</v>
      </c>
      <c r="AE1997" s="17"/>
      <c r="AF1997" s="17"/>
      <c r="AG1997" s="17" t="s">
        <v>509</v>
      </c>
      <c r="AH1997" s="14" t="str">
        <f t="shared" si="136"/>
        <v>NA</v>
      </c>
      <c r="AI1997" s="17" t="str">
        <f t="shared" si="137"/>
        <v>NA</v>
      </c>
      <c r="AJ1997" s="17"/>
      <c r="AK1997" s="17" t="s">
        <v>56</v>
      </c>
      <c r="AL1997" s="15" t="s">
        <v>918</v>
      </c>
      <c r="AM1997" s="17">
        <v>2017</v>
      </c>
      <c r="AN1997" s="15" t="s">
        <v>183</v>
      </c>
      <c r="AO1997" s="15" t="s">
        <v>56</v>
      </c>
      <c r="AP1997" s="15"/>
      <c r="AQ1997" s="15" t="s">
        <v>56</v>
      </c>
      <c r="AR1997" s="15" t="s">
        <v>58</v>
      </c>
      <c r="AS1997" s="15" t="s">
        <v>62</v>
      </c>
      <c r="AT1997" s="15"/>
      <c r="AU1997" s="45" t="s">
        <v>919</v>
      </c>
      <c r="AV1997" s="15"/>
      <c r="AW1997" s="12" t="str">
        <f>B1997&amp;C1997&amp;L1997&amp;M1997&amp;O1997&amp;U1997&amp;AL1997&amp;AM1997</f>
        <v>BelizeHalf Moon Caye National Monument, Hol Chan Marine Reserve, Bacalar Chico Marine Reserve, and Sapodilla Cayes Marine Reserve fully protected areasScarus taeniopterusbiomassden0.823529411764706Cox2017</v>
      </c>
    </row>
    <row r="1998" spans="1:49" ht="14.5" x14ac:dyDescent="0.35">
      <c r="A1998" s="12">
        <v>1997</v>
      </c>
      <c r="B1998" s="15" t="s">
        <v>299</v>
      </c>
      <c r="C1998" s="15" t="s">
        <v>915</v>
      </c>
      <c r="D1998" s="15" t="s">
        <v>300</v>
      </c>
      <c r="E1998" s="15" t="s">
        <v>916</v>
      </c>
      <c r="F1998" s="16" t="s">
        <v>50</v>
      </c>
      <c r="G1998" s="16" t="s">
        <v>51</v>
      </c>
      <c r="H1998" s="16" t="s">
        <v>108</v>
      </c>
      <c r="I1998" s="16" t="s">
        <v>156</v>
      </c>
      <c r="J1998" s="17" t="s">
        <v>509</v>
      </c>
      <c r="K1998" s="17"/>
      <c r="L1998" s="17" t="s">
        <v>925</v>
      </c>
      <c r="M1998" s="17"/>
      <c r="N1998" s="14" t="s">
        <v>85</v>
      </c>
      <c r="O1998" s="17" t="s">
        <v>70</v>
      </c>
      <c r="P1998" s="17"/>
      <c r="Q1998" s="17"/>
      <c r="R1998" s="17"/>
      <c r="S1998" s="17">
        <v>0</v>
      </c>
      <c r="T1998" s="17">
        <v>7.6</v>
      </c>
      <c r="U1998" s="20" t="str">
        <f t="shared" si="135"/>
        <v>N/A</v>
      </c>
      <c r="V1998" s="41" t="str">
        <f t="shared" si="138"/>
        <v>N/A</v>
      </c>
      <c r="W1998" s="17"/>
      <c r="X1998" s="17" t="s">
        <v>58</v>
      </c>
      <c r="Y1998" s="17">
        <v>250</v>
      </c>
      <c r="Z1998" s="17" t="s">
        <v>58</v>
      </c>
      <c r="AA1998" s="17"/>
      <c r="AB1998" s="17" t="s">
        <v>57</v>
      </c>
      <c r="AC1998" s="17">
        <v>2009</v>
      </c>
      <c r="AD1998" s="17">
        <v>4</v>
      </c>
      <c r="AE1998" s="17"/>
      <c r="AF1998" s="17"/>
      <c r="AG1998" s="17" t="s">
        <v>509</v>
      </c>
      <c r="AH1998" s="14" t="str">
        <f t="shared" si="136"/>
        <v>NA</v>
      </c>
      <c r="AI1998" s="17" t="str">
        <f t="shared" si="137"/>
        <v>NA</v>
      </c>
      <c r="AJ1998" s="17"/>
      <c r="AK1998" s="17" t="s">
        <v>56</v>
      </c>
      <c r="AL1998" s="15" t="s">
        <v>918</v>
      </c>
      <c r="AM1998" s="17">
        <v>2017</v>
      </c>
      <c r="AN1998" s="15" t="s">
        <v>183</v>
      </c>
      <c r="AO1998" s="15" t="s">
        <v>56</v>
      </c>
      <c r="AP1998" s="15"/>
      <c r="AQ1998" s="15" t="s">
        <v>56</v>
      </c>
      <c r="AR1998" s="15" t="s">
        <v>58</v>
      </c>
      <c r="AS1998" s="15" t="s">
        <v>62</v>
      </c>
      <c r="AT1998" s="15"/>
      <c r="AU1998" s="45" t="s">
        <v>919</v>
      </c>
      <c r="AV1998" s="15"/>
      <c r="AW1998" s="12" t="str">
        <f>B1998&amp;C1998&amp;L1998&amp;M1998&amp;O1998&amp;U1998&amp;AL1998&amp;AM1998</f>
        <v>BelizeHalf Moon Caye National Monument, Hol Chan Marine Reserve, Bacalar Chico Marine Reserve, and Sapodilla Cayes Marine Reserve fully protected areasCarcharhinus pereziibiomassdenN/ACox2017</v>
      </c>
    </row>
    <row r="1999" spans="1:49" ht="14.5" x14ac:dyDescent="0.35">
      <c r="A1999" s="12">
        <v>1998</v>
      </c>
      <c r="B1999" s="15" t="s">
        <v>299</v>
      </c>
      <c r="C1999" s="15" t="s">
        <v>915</v>
      </c>
      <c r="D1999" s="15" t="s">
        <v>300</v>
      </c>
      <c r="E1999" s="15" t="s">
        <v>916</v>
      </c>
      <c r="F1999" s="16" t="s">
        <v>50</v>
      </c>
      <c r="G1999" s="16" t="s">
        <v>51</v>
      </c>
      <c r="H1999" s="16" t="s">
        <v>108</v>
      </c>
      <c r="I1999" s="16" t="s">
        <v>156</v>
      </c>
      <c r="J1999" s="17" t="s">
        <v>509</v>
      </c>
      <c r="K1999" s="17"/>
      <c r="L1999" s="17" t="s">
        <v>926</v>
      </c>
      <c r="M1999" s="17"/>
      <c r="N1999" s="14" t="s">
        <v>85</v>
      </c>
      <c r="O1999" s="17" t="s">
        <v>70</v>
      </c>
      <c r="P1999" s="17"/>
      <c r="Q1999" s="17"/>
      <c r="R1999" s="17"/>
      <c r="S1999" s="17">
        <v>2.1</v>
      </c>
      <c r="T1999" s="17">
        <v>1.4</v>
      </c>
      <c r="U1999" s="20">
        <f t="shared" si="135"/>
        <v>0.66666666666666663</v>
      </c>
      <c r="V1999" s="41">
        <f t="shared" si="138"/>
        <v>-33.333333333333336</v>
      </c>
      <c r="W1999" s="17"/>
      <c r="X1999" s="17" t="s">
        <v>58</v>
      </c>
      <c r="Y1999" s="17">
        <v>250</v>
      </c>
      <c r="Z1999" s="17" t="s">
        <v>58</v>
      </c>
      <c r="AA1999" s="17"/>
      <c r="AB1999" s="17" t="s">
        <v>57</v>
      </c>
      <c r="AC1999" s="17">
        <v>2009</v>
      </c>
      <c r="AD1999" s="17">
        <v>4</v>
      </c>
      <c r="AE1999" s="17"/>
      <c r="AF1999" s="17"/>
      <c r="AG1999" s="17" t="s">
        <v>509</v>
      </c>
      <c r="AH1999" s="14" t="str">
        <f t="shared" si="136"/>
        <v>NA</v>
      </c>
      <c r="AI1999" s="17" t="str">
        <f t="shared" si="137"/>
        <v>NA</v>
      </c>
      <c r="AJ1999" s="17"/>
      <c r="AK1999" s="17" t="s">
        <v>56</v>
      </c>
      <c r="AL1999" s="15" t="s">
        <v>918</v>
      </c>
      <c r="AM1999" s="17">
        <v>2017</v>
      </c>
      <c r="AN1999" s="15" t="s">
        <v>183</v>
      </c>
      <c r="AO1999" s="15" t="s">
        <v>56</v>
      </c>
      <c r="AP1999" s="15"/>
      <c r="AQ1999" s="15" t="s">
        <v>56</v>
      </c>
      <c r="AR1999" s="15" t="s">
        <v>58</v>
      </c>
      <c r="AS1999" s="15" t="s">
        <v>62</v>
      </c>
      <c r="AT1999" s="15"/>
      <c r="AU1999" s="45" t="s">
        <v>919</v>
      </c>
      <c r="AV1999" s="15"/>
      <c r="AW1999" s="12" t="str">
        <f>B1999&amp;C1999&amp;L1999&amp;M1999&amp;O1999&amp;U1999&amp;AL1999&amp;AM1999</f>
        <v>BelizeHalf Moon Caye National Monument, Hol Chan Marine Reserve, Bacalar Chico Marine Reserve, and Sapodilla Cayes Marine Reserve fully protected areasGinglymostoma cirratumbiomassden0.666666666666667Cox2017</v>
      </c>
    </row>
    <row r="2000" spans="1:49" ht="14.5" x14ac:dyDescent="0.35">
      <c r="A2000" s="12">
        <v>1999</v>
      </c>
      <c r="B2000" s="15" t="s">
        <v>299</v>
      </c>
      <c r="C2000" s="15" t="s">
        <v>915</v>
      </c>
      <c r="D2000" s="15" t="s">
        <v>300</v>
      </c>
      <c r="E2000" s="15" t="s">
        <v>916</v>
      </c>
      <c r="F2000" s="16" t="s">
        <v>50</v>
      </c>
      <c r="G2000" s="16" t="s">
        <v>51</v>
      </c>
      <c r="H2000" s="16" t="s">
        <v>108</v>
      </c>
      <c r="I2000" s="16" t="s">
        <v>156</v>
      </c>
      <c r="J2000" s="17" t="s">
        <v>509</v>
      </c>
      <c r="K2000" s="17"/>
      <c r="L2000" s="17" t="s">
        <v>830</v>
      </c>
      <c r="M2000" s="14" t="s">
        <v>2780</v>
      </c>
      <c r="N2000" s="14" t="s">
        <v>85</v>
      </c>
      <c r="O2000" s="17" t="s">
        <v>70</v>
      </c>
      <c r="P2000" s="17"/>
      <c r="Q2000" s="17"/>
      <c r="R2000" s="17"/>
      <c r="S2000" s="17">
        <v>0.2</v>
      </c>
      <c r="T2000" s="17">
        <v>0.5</v>
      </c>
      <c r="U2000" s="20">
        <f t="shared" si="135"/>
        <v>2.5</v>
      </c>
      <c r="V2000" s="41">
        <f t="shared" si="138"/>
        <v>150</v>
      </c>
      <c r="W2000" s="17"/>
      <c r="X2000" s="17" t="s">
        <v>58</v>
      </c>
      <c r="Y2000" s="14">
        <v>250</v>
      </c>
      <c r="Z2000" s="17" t="s">
        <v>58</v>
      </c>
      <c r="AA2000" s="17"/>
      <c r="AB2000" s="17" t="s">
        <v>57</v>
      </c>
      <c r="AC2000" s="17">
        <v>2009</v>
      </c>
      <c r="AD2000" s="17">
        <v>4</v>
      </c>
      <c r="AE2000" s="17"/>
      <c r="AF2000" s="17"/>
      <c r="AG2000" s="17" t="s">
        <v>509</v>
      </c>
      <c r="AH2000" s="14" t="str">
        <f t="shared" si="136"/>
        <v>NA</v>
      </c>
      <c r="AI2000" s="17" t="str">
        <f t="shared" si="137"/>
        <v>NA</v>
      </c>
      <c r="AJ2000" s="17"/>
      <c r="AK2000" s="17" t="s">
        <v>56</v>
      </c>
      <c r="AL2000" s="15" t="s">
        <v>918</v>
      </c>
      <c r="AM2000" s="17">
        <v>2017</v>
      </c>
      <c r="AN2000" s="15" t="s">
        <v>183</v>
      </c>
      <c r="AO2000" s="15" t="s">
        <v>56</v>
      </c>
      <c r="AP2000" s="15"/>
      <c r="AQ2000" s="15" t="s">
        <v>56</v>
      </c>
      <c r="AR2000" s="15" t="s">
        <v>58</v>
      </c>
      <c r="AS2000" s="15" t="s">
        <v>62</v>
      </c>
      <c r="AT2000" s="15"/>
      <c r="AU2000" s="45" t="s">
        <v>919</v>
      </c>
      <c r="AV2000" s="15"/>
      <c r="AW2000" s="12" t="str">
        <f>B2000&amp;C2000&amp;L2000&amp;M2000&amp;O2000&amp;U2000&amp;AL2000&amp;AM2000</f>
        <v>BelizeHalf Moon Caye National Monument, Hol Chan Marine Reserve, Bacalar Chico Marine Reserve, and Sapodilla Cayes Marine Reserve fully protected areasSphyraena barracudagreat barradcudabiomassden2.5Cox2017</v>
      </c>
    </row>
    <row r="2001" spans="1:49" ht="14.5" x14ac:dyDescent="0.35">
      <c r="A2001" s="12">
        <v>2000</v>
      </c>
      <c r="B2001" s="15" t="s">
        <v>299</v>
      </c>
      <c r="C2001" s="15" t="s">
        <v>915</v>
      </c>
      <c r="D2001" s="15" t="s">
        <v>300</v>
      </c>
      <c r="E2001" s="15" t="s">
        <v>916</v>
      </c>
      <c r="F2001" s="13" t="s">
        <v>50</v>
      </c>
      <c r="G2001" s="13" t="s">
        <v>51</v>
      </c>
      <c r="H2001" s="16" t="s">
        <v>108</v>
      </c>
      <c r="I2001" s="16" t="s">
        <v>156</v>
      </c>
      <c r="J2001" s="17" t="s">
        <v>509</v>
      </c>
      <c r="K2001" s="17"/>
      <c r="L2001" s="17"/>
      <c r="M2001" s="17" t="s">
        <v>291</v>
      </c>
      <c r="N2001" s="53" t="s">
        <v>98</v>
      </c>
      <c r="O2001" s="17" t="s">
        <v>101</v>
      </c>
      <c r="P2001" s="17"/>
      <c r="Q2001" s="17"/>
      <c r="R2001" s="17"/>
      <c r="S2001" s="17">
        <v>45.3</v>
      </c>
      <c r="T2001" s="17">
        <v>48.5</v>
      </c>
      <c r="U2001" s="20">
        <f t="shared" si="135"/>
        <v>1.0706401766004416</v>
      </c>
      <c r="V2001" s="41">
        <f t="shared" si="138"/>
        <v>7.064017660044164</v>
      </c>
      <c r="W2001" s="17"/>
      <c r="X2001" s="17" t="s">
        <v>58</v>
      </c>
      <c r="Y2001" s="14">
        <v>250</v>
      </c>
      <c r="Z2001" s="17" t="s">
        <v>58</v>
      </c>
      <c r="AA2001" s="17"/>
      <c r="AB2001" s="17" t="s">
        <v>57</v>
      </c>
      <c r="AC2001" s="17">
        <v>2009</v>
      </c>
      <c r="AD2001" s="17">
        <v>4</v>
      </c>
      <c r="AE2001" s="17"/>
      <c r="AF2001" s="17"/>
      <c r="AG2001" s="17" t="s">
        <v>509</v>
      </c>
      <c r="AH2001" s="14" t="str">
        <f t="shared" si="136"/>
        <v>NA</v>
      </c>
      <c r="AI2001" s="17" t="str">
        <f t="shared" si="137"/>
        <v>NA</v>
      </c>
      <c r="AJ2001" s="17"/>
      <c r="AK2001" s="17" t="s">
        <v>56</v>
      </c>
      <c r="AL2001" s="15" t="s">
        <v>918</v>
      </c>
      <c r="AM2001" s="17">
        <v>2017</v>
      </c>
      <c r="AN2001" s="15" t="s">
        <v>183</v>
      </c>
      <c r="AO2001" s="15" t="s">
        <v>56</v>
      </c>
      <c r="AP2001" s="15"/>
      <c r="AQ2001" s="15" t="s">
        <v>56</v>
      </c>
      <c r="AR2001" s="15" t="s">
        <v>58</v>
      </c>
      <c r="AS2001" s="15" t="s">
        <v>62</v>
      </c>
      <c r="AT2001" s="15"/>
      <c r="AU2001" s="45" t="s">
        <v>919</v>
      </c>
      <c r="AV2001" s="15"/>
      <c r="AW2001" s="12" t="str">
        <f>B2001&amp;C2001&amp;L2001&amp;M2001&amp;O2001&amp;U2001&amp;AL2001&amp;AM2001</f>
        <v>BelizeHalf Moon Caye National Monument, Hol Chan Marine Reserve, Bacalar Chico Marine Reserve, and Sapodilla Cayes Marine Reserve fully protected areasMacroalgaecover1.07064017660044Cox2017</v>
      </c>
    </row>
    <row r="2002" spans="1:49" ht="14.5" x14ac:dyDescent="0.35">
      <c r="A2002" s="12">
        <v>2001</v>
      </c>
      <c r="B2002" s="15" t="s">
        <v>299</v>
      </c>
      <c r="C2002" s="15" t="s">
        <v>915</v>
      </c>
      <c r="D2002" s="15" t="s">
        <v>300</v>
      </c>
      <c r="E2002" s="15" t="s">
        <v>916</v>
      </c>
      <c r="F2002" s="16" t="s">
        <v>50</v>
      </c>
      <c r="G2002" s="16" t="s">
        <v>51</v>
      </c>
      <c r="H2002" s="16" t="s">
        <v>108</v>
      </c>
      <c r="I2002" s="16" t="s">
        <v>156</v>
      </c>
      <c r="J2002" s="17" t="s">
        <v>509</v>
      </c>
      <c r="K2002" s="17"/>
      <c r="L2002" s="17" t="s">
        <v>927</v>
      </c>
      <c r="M2002" s="17"/>
      <c r="N2002" s="17" t="s">
        <v>120</v>
      </c>
      <c r="O2002" s="17" t="s">
        <v>101</v>
      </c>
      <c r="P2002" s="17"/>
      <c r="Q2002" s="17"/>
      <c r="R2002" s="17"/>
      <c r="S2002" s="17">
        <v>23.5</v>
      </c>
      <c r="T2002" s="17">
        <v>27.3</v>
      </c>
      <c r="U2002" s="20">
        <f t="shared" si="135"/>
        <v>1.1617021276595745</v>
      </c>
      <c r="V2002" s="41">
        <f t="shared" si="138"/>
        <v>16.170212765957448</v>
      </c>
      <c r="W2002" s="17"/>
      <c r="X2002" s="17" t="s">
        <v>58</v>
      </c>
      <c r="Y2002" s="14">
        <v>250</v>
      </c>
      <c r="Z2002" s="17" t="s">
        <v>58</v>
      </c>
      <c r="AA2002" s="17"/>
      <c r="AB2002" s="17" t="s">
        <v>57</v>
      </c>
      <c r="AC2002" s="17">
        <v>2009</v>
      </c>
      <c r="AD2002" s="17">
        <v>4</v>
      </c>
      <c r="AE2002" s="17"/>
      <c r="AF2002" s="17"/>
      <c r="AG2002" s="17" t="s">
        <v>509</v>
      </c>
      <c r="AH2002" s="14" t="str">
        <f t="shared" si="136"/>
        <v>NA</v>
      </c>
      <c r="AI2002" s="17" t="str">
        <f t="shared" si="137"/>
        <v>NA</v>
      </c>
      <c r="AJ2002" s="17"/>
      <c r="AK2002" s="17" t="s">
        <v>56</v>
      </c>
      <c r="AL2002" s="15" t="s">
        <v>918</v>
      </c>
      <c r="AM2002" s="17">
        <v>2017</v>
      </c>
      <c r="AN2002" s="15" t="s">
        <v>183</v>
      </c>
      <c r="AO2002" s="15" t="s">
        <v>56</v>
      </c>
      <c r="AP2002" s="15"/>
      <c r="AQ2002" s="15" t="s">
        <v>56</v>
      </c>
      <c r="AR2002" s="15" t="s">
        <v>58</v>
      </c>
      <c r="AS2002" s="15" t="s">
        <v>62</v>
      </c>
      <c r="AT2002" s="15"/>
      <c r="AU2002" s="45" t="s">
        <v>919</v>
      </c>
      <c r="AV2002" s="15"/>
      <c r="AW2002" s="12" t="str">
        <f>B2002&amp;C2002&amp;L2002&amp;M2002&amp;O2002&amp;U2002&amp;AL2002&amp;AM2002</f>
        <v>BelizeHalf Moon Caye National Monument, Hol Chan Marine Reserve, Bacalar Chico Marine Reserve, and Sapodilla Cayes Marine Reserve fully protected areasLobophoracover1.16170212765957Cox2017</v>
      </c>
    </row>
    <row r="2003" spans="1:49" ht="14.5" x14ac:dyDescent="0.35">
      <c r="A2003" s="12">
        <v>2002</v>
      </c>
      <c r="B2003" s="15" t="s">
        <v>299</v>
      </c>
      <c r="C2003" s="15" t="s">
        <v>915</v>
      </c>
      <c r="D2003" s="15" t="s">
        <v>300</v>
      </c>
      <c r="E2003" s="15" t="s">
        <v>916</v>
      </c>
      <c r="F2003" s="13" t="s">
        <v>50</v>
      </c>
      <c r="G2003" s="13" t="s">
        <v>51</v>
      </c>
      <c r="H2003" s="16" t="s">
        <v>108</v>
      </c>
      <c r="I2003" s="16" t="s">
        <v>156</v>
      </c>
      <c r="J2003" s="17" t="s">
        <v>509</v>
      </c>
      <c r="K2003" s="17"/>
      <c r="L2003" s="17" t="s">
        <v>623</v>
      </c>
      <c r="M2003" s="17"/>
      <c r="N2003" s="17" t="s">
        <v>120</v>
      </c>
      <c r="O2003" s="17" t="s">
        <v>101</v>
      </c>
      <c r="P2003" s="17"/>
      <c r="Q2003" s="17"/>
      <c r="R2003" s="17"/>
      <c r="S2003" s="17">
        <v>10.5</v>
      </c>
      <c r="T2003" s="17">
        <v>12.7</v>
      </c>
      <c r="U2003" s="20">
        <f t="shared" ref="U2003:U2066" si="139">IFERROR(IF(AND(Q2003="",R2003="",S2003="",T2003=""),"",IF(AND(Q2003&lt;&gt;"",R2003&lt;&gt;"",S2003&lt;&gt;"",T2003&lt;&gt;""),(T2003/R2003)/(S2003/Q2003),IF(AND(Q2003&lt;&gt;"",R2003&lt;&gt;""),R2003/Q2003,IF(AND(S2003&lt;&gt;"",T2003&lt;&gt;""),T2003/S2003,IF(AND(Q2003&lt;&gt;"",S2003&lt;&gt;""),Q2003/S2003,IF(AND(R2003&lt;&gt;"",T2003&lt;&gt;""),T2003/R2003)))))), "N/A")</f>
        <v>1.2095238095238094</v>
      </c>
      <c r="V2003" s="41">
        <f t="shared" si="138"/>
        <v>20.952380952380945</v>
      </c>
      <c r="W2003" s="17"/>
      <c r="X2003" s="17" t="s">
        <v>58</v>
      </c>
      <c r="Y2003" s="14">
        <v>250</v>
      </c>
      <c r="Z2003" s="17" t="s">
        <v>58</v>
      </c>
      <c r="AA2003" s="17"/>
      <c r="AB2003" s="17" t="s">
        <v>57</v>
      </c>
      <c r="AC2003" s="17">
        <v>2009</v>
      </c>
      <c r="AD2003" s="17">
        <v>4</v>
      </c>
      <c r="AE2003" s="17"/>
      <c r="AF2003" s="17"/>
      <c r="AG2003" s="17" t="s">
        <v>509</v>
      </c>
      <c r="AH2003" s="14" t="str">
        <f t="shared" si="136"/>
        <v>NA</v>
      </c>
      <c r="AI2003" s="17" t="str">
        <f t="shared" si="137"/>
        <v>NA</v>
      </c>
      <c r="AJ2003" s="17"/>
      <c r="AK2003" s="17" t="s">
        <v>56</v>
      </c>
      <c r="AL2003" s="15" t="s">
        <v>918</v>
      </c>
      <c r="AM2003" s="17">
        <v>2017</v>
      </c>
      <c r="AN2003" s="15" t="s">
        <v>183</v>
      </c>
      <c r="AO2003" s="15" t="s">
        <v>56</v>
      </c>
      <c r="AP2003" s="15"/>
      <c r="AQ2003" s="15" t="s">
        <v>56</v>
      </c>
      <c r="AR2003" s="15" t="s">
        <v>58</v>
      </c>
      <c r="AS2003" s="15" t="s">
        <v>62</v>
      </c>
      <c r="AT2003" s="15"/>
      <c r="AU2003" s="45" t="s">
        <v>919</v>
      </c>
      <c r="AV2003" s="15"/>
      <c r="AW2003" s="12" t="str">
        <f>B2003&amp;C2003&amp;L2003&amp;M2003&amp;O2003&amp;U2003&amp;AL2003&amp;AM2003</f>
        <v>BelizeHalf Moon Caye National Monument, Hol Chan Marine Reserve, Bacalar Chico Marine Reserve, and Sapodilla Cayes Marine Reserve fully protected areasDictyotacover1.20952380952381Cox2017</v>
      </c>
    </row>
    <row r="2004" spans="1:49" ht="14.5" x14ac:dyDescent="0.35">
      <c r="A2004" s="12">
        <v>2003</v>
      </c>
      <c r="B2004" s="12" t="s">
        <v>299</v>
      </c>
      <c r="C2004" s="15" t="s">
        <v>915</v>
      </c>
      <c r="D2004" s="15" t="s">
        <v>300</v>
      </c>
      <c r="E2004" s="12" t="s">
        <v>916</v>
      </c>
      <c r="F2004" s="13" t="s">
        <v>50</v>
      </c>
      <c r="G2004" s="13" t="s">
        <v>51</v>
      </c>
      <c r="H2004" s="13" t="s">
        <v>108</v>
      </c>
      <c r="I2004" s="13" t="s">
        <v>156</v>
      </c>
      <c r="J2004" s="17" t="s">
        <v>509</v>
      </c>
      <c r="K2004" s="17"/>
      <c r="L2004" s="14" t="s">
        <v>928</v>
      </c>
      <c r="M2004" s="14"/>
      <c r="N2004" s="14" t="s">
        <v>120</v>
      </c>
      <c r="O2004" s="17" t="s">
        <v>101</v>
      </c>
      <c r="P2004" s="14"/>
      <c r="Q2004" s="14"/>
      <c r="R2004" s="14"/>
      <c r="S2004" s="14">
        <v>7.6</v>
      </c>
      <c r="T2004" s="14">
        <v>7.4</v>
      </c>
      <c r="U2004" s="19">
        <f t="shared" si="139"/>
        <v>0.97368421052631593</v>
      </c>
      <c r="V2004" s="41">
        <f t="shared" si="138"/>
        <v>-2.631578947368407</v>
      </c>
      <c r="W2004" s="14"/>
      <c r="X2004" s="14" t="s">
        <v>58</v>
      </c>
      <c r="Y2004" s="14">
        <v>250</v>
      </c>
      <c r="Z2004" s="17" t="s">
        <v>58</v>
      </c>
      <c r="AA2004" s="14"/>
      <c r="AB2004" s="14" t="s">
        <v>57</v>
      </c>
      <c r="AC2004" s="14">
        <v>2009</v>
      </c>
      <c r="AD2004" s="14">
        <v>4</v>
      </c>
      <c r="AE2004" s="14"/>
      <c r="AF2004" s="14"/>
      <c r="AG2004" s="14" t="s">
        <v>509</v>
      </c>
      <c r="AH2004" s="14" t="str">
        <f t="shared" si="136"/>
        <v>NA</v>
      </c>
      <c r="AI2004" s="17" t="str">
        <f t="shared" si="137"/>
        <v>NA</v>
      </c>
      <c r="AJ2004" s="14"/>
      <c r="AK2004" s="14" t="s">
        <v>56</v>
      </c>
      <c r="AL2004" s="12" t="s">
        <v>918</v>
      </c>
      <c r="AM2004" s="14">
        <v>2017</v>
      </c>
      <c r="AN2004" s="12" t="s">
        <v>183</v>
      </c>
      <c r="AO2004" s="12" t="s">
        <v>56</v>
      </c>
      <c r="AP2004" s="12"/>
      <c r="AQ2004" s="12" t="s">
        <v>56</v>
      </c>
      <c r="AR2004" s="12" t="s">
        <v>58</v>
      </c>
      <c r="AS2004" s="12" t="s">
        <v>62</v>
      </c>
      <c r="AT2004" s="12"/>
      <c r="AU2004" s="45" t="s">
        <v>919</v>
      </c>
      <c r="AV2004" s="15"/>
      <c r="AW2004" s="12" t="str">
        <f>B2004&amp;C2004&amp;L2004&amp;M2004&amp;O2004&amp;U2004&amp;AL2004&amp;AM2004</f>
        <v>BelizeHalf Moon Caye National Monument, Hol Chan Marine Reserve, Bacalar Chico Marine Reserve, and Sapodilla Cayes Marine Reserve fully protected areasHalimedacover0.973684210526316Cox2017</v>
      </c>
    </row>
    <row r="2005" spans="1:49" ht="14.5" x14ac:dyDescent="0.35">
      <c r="A2005" s="12">
        <v>2004</v>
      </c>
      <c r="B2005" s="12" t="s">
        <v>299</v>
      </c>
      <c r="C2005" s="15" t="s">
        <v>915</v>
      </c>
      <c r="D2005" s="15" t="s">
        <v>300</v>
      </c>
      <c r="E2005" s="12" t="s">
        <v>916</v>
      </c>
      <c r="F2005" s="13" t="s">
        <v>50</v>
      </c>
      <c r="G2005" s="13" t="s">
        <v>51</v>
      </c>
      <c r="H2005" s="13" t="s">
        <v>108</v>
      </c>
      <c r="I2005" s="13" t="s">
        <v>156</v>
      </c>
      <c r="J2005" s="17" t="s">
        <v>509</v>
      </c>
      <c r="K2005" s="14"/>
      <c r="L2005" s="14" t="s">
        <v>1316</v>
      </c>
      <c r="M2005" s="14"/>
      <c r="N2005" s="14" t="s">
        <v>120</v>
      </c>
      <c r="O2005" s="17" t="s">
        <v>101</v>
      </c>
      <c r="P2005" s="14"/>
      <c r="Q2005" s="14"/>
      <c r="R2005" s="14"/>
      <c r="S2005" s="14">
        <v>1.6</v>
      </c>
      <c r="T2005" s="14">
        <v>3.7</v>
      </c>
      <c r="U2005" s="19">
        <f t="shared" si="139"/>
        <v>2.3125</v>
      </c>
      <c r="V2005" s="41">
        <f t="shared" si="138"/>
        <v>131.25</v>
      </c>
      <c r="W2005" s="14"/>
      <c r="X2005" s="14" t="s">
        <v>58</v>
      </c>
      <c r="Y2005" s="14">
        <v>250</v>
      </c>
      <c r="Z2005" s="17" t="s">
        <v>58</v>
      </c>
      <c r="AA2005" s="14"/>
      <c r="AB2005" s="14" t="s">
        <v>57</v>
      </c>
      <c r="AC2005" s="14">
        <v>2009</v>
      </c>
      <c r="AD2005" s="14">
        <v>4</v>
      </c>
      <c r="AE2005" s="14"/>
      <c r="AF2005" s="14"/>
      <c r="AG2005" s="14" t="s">
        <v>509</v>
      </c>
      <c r="AH2005" s="14" t="str">
        <f t="shared" si="136"/>
        <v>NA</v>
      </c>
      <c r="AI2005" s="17" t="str">
        <f t="shared" si="137"/>
        <v>NA</v>
      </c>
      <c r="AJ2005" s="14"/>
      <c r="AK2005" s="14" t="s">
        <v>56</v>
      </c>
      <c r="AL2005" s="12" t="s">
        <v>918</v>
      </c>
      <c r="AM2005" s="14">
        <v>2017</v>
      </c>
      <c r="AN2005" s="12" t="s">
        <v>183</v>
      </c>
      <c r="AO2005" s="12" t="s">
        <v>56</v>
      </c>
      <c r="AP2005" s="12"/>
      <c r="AQ2005" s="12" t="s">
        <v>56</v>
      </c>
      <c r="AR2005" s="12" t="s">
        <v>58</v>
      </c>
      <c r="AS2005" s="12" t="s">
        <v>62</v>
      </c>
      <c r="AT2005" s="12"/>
      <c r="AU2005" s="45" t="s">
        <v>919</v>
      </c>
      <c r="AV2005" s="15"/>
      <c r="AW2005" s="12" t="str">
        <f>B2005&amp;C2005&amp;L2005&amp;M2005&amp;O2005&amp;U2005&amp;AL2005&amp;AM2005</f>
        <v>BelizeHalf Moon Caye National Monument, Hol Chan Marine Reserve, Bacalar Chico Marine Reserve, and Sapodilla Cayes Marine Reserve fully protected areasSargassum spp.cover2.3125Cox2017</v>
      </c>
    </row>
    <row r="2006" spans="1:49" ht="14.5" x14ac:dyDescent="0.35">
      <c r="A2006" s="12">
        <v>2005</v>
      </c>
      <c r="B2006" s="15" t="s">
        <v>299</v>
      </c>
      <c r="C2006" s="15" t="s">
        <v>915</v>
      </c>
      <c r="D2006" s="15" t="s">
        <v>300</v>
      </c>
      <c r="E2006" s="15" t="s">
        <v>916</v>
      </c>
      <c r="F2006" s="13" t="s">
        <v>50</v>
      </c>
      <c r="G2006" s="13" t="s">
        <v>51</v>
      </c>
      <c r="H2006" s="16" t="s">
        <v>108</v>
      </c>
      <c r="I2006" s="16" t="s">
        <v>156</v>
      </c>
      <c r="J2006" s="17" t="s">
        <v>509</v>
      </c>
      <c r="K2006" s="17"/>
      <c r="L2006" s="17"/>
      <c r="M2006" s="17" t="s">
        <v>468</v>
      </c>
      <c r="N2006" s="14" t="s">
        <v>1070</v>
      </c>
      <c r="O2006" s="17" t="s">
        <v>101</v>
      </c>
      <c r="P2006" s="17"/>
      <c r="Q2006" s="17"/>
      <c r="R2006" s="17"/>
      <c r="S2006" s="17">
        <v>20.5</v>
      </c>
      <c r="T2006" s="17">
        <v>16.600000000000001</v>
      </c>
      <c r="U2006" s="20">
        <f t="shared" si="139"/>
        <v>0.80975609756097566</v>
      </c>
      <c r="V2006" s="41">
        <f t="shared" si="138"/>
        <v>-19.024390243902435</v>
      </c>
      <c r="W2006" s="17"/>
      <c r="X2006" s="17" t="s">
        <v>58</v>
      </c>
      <c r="Y2006" s="14">
        <v>250</v>
      </c>
      <c r="Z2006" s="17" t="s">
        <v>58</v>
      </c>
      <c r="AA2006" s="17"/>
      <c r="AB2006" s="17" t="s">
        <v>57</v>
      </c>
      <c r="AC2006" s="17">
        <v>2009</v>
      </c>
      <c r="AD2006" s="17">
        <v>4</v>
      </c>
      <c r="AE2006" s="17"/>
      <c r="AF2006" s="17"/>
      <c r="AG2006" s="17" t="s">
        <v>509</v>
      </c>
      <c r="AH2006" s="14" t="str">
        <f t="shared" si="136"/>
        <v>NA</v>
      </c>
      <c r="AI2006" s="17" t="str">
        <f t="shared" si="137"/>
        <v>NA</v>
      </c>
      <c r="AJ2006" s="17"/>
      <c r="AK2006" s="17" t="s">
        <v>56</v>
      </c>
      <c r="AL2006" s="15" t="s">
        <v>918</v>
      </c>
      <c r="AM2006" s="17">
        <v>2017</v>
      </c>
      <c r="AN2006" s="15" t="s">
        <v>183</v>
      </c>
      <c r="AO2006" s="15" t="s">
        <v>56</v>
      </c>
      <c r="AP2006" s="15"/>
      <c r="AQ2006" s="15" t="s">
        <v>56</v>
      </c>
      <c r="AR2006" s="15" t="s">
        <v>58</v>
      </c>
      <c r="AS2006" s="15" t="s">
        <v>62</v>
      </c>
      <c r="AT2006" s="15"/>
      <c r="AU2006" s="45" t="s">
        <v>919</v>
      </c>
      <c r="AV2006" s="15"/>
      <c r="AW2006" s="12" t="str">
        <f>B2006&amp;C2006&amp;L2006&amp;M2006&amp;O2006&amp;U2006&amp;AL2006&amp;AM2006</f>
        <v>BelizeHalf Moon Caye National Monument, Hol Chan Marine Reserve, Bacalar Chico Marine Reserve, and Sapodilla Cayes Marine Reserve fully protected areasCoralcover0.809756097560976Cox2017</v>
      </c>
    </row>
    <row r="2007" spans="1:49" ht="14.5" x14ac:dyDescent="0.35">
      <c r="A2007" s="12">
        <v>2006</v>
      </c>
      <c r="B2007" s="15" t="s">
        <v>299</v>
      </c>
      <c r="C2007" s="15" t="s">
        <v>915</v>
      </c>
      <c r="D2007" s="15" t="s">
        <v>300</v>
      </c>
      <c r="E2007" s="15" t="s">
        <v>916</v>
      </c>
      <c r="F2007" s="13" t="s">
        <v>50</v>
      </c>
      <c r="G2007" s="13" t="s">
        <v>51</v>
      </c>
      <c r="H2007" s="16" t="s">
        <v>108</v>
      </c>
      <c r="I2007" s="16" t="s">
        <v>156</v>
      </c>
      <c r="J2007" s="17" t="s">
        <v>509</v>
      </c>
      <c r="K2007" s="17"/>
      <c r="L2007" s="17" t="s">
        <v>929</v>
      </c>
      <c r="M2007" s="17"/>
      <c r="N2007" s="17" t="s">
        <v>120</v>
      </c>
      <c r="O2007" s="17" t="s">
        <v>101</v>
      </c>
      <c r="P2007" s="17"/>
      <c r="Q2007" s="17"/>
      <c r="R2007" s="17"/>
      <c r="S2007" s="17">
        <v>6.5</v>
      </c>
      <c r="T2007" s="17">
        <v>5</v>
      </c>
      <c r="U2007" s="20">
        <f t="shared" si="139"/>
        <v>0.76923076923076927</v>
      </c>
      <c r="V2007" s="41">
        <f t="shared" si="138"/>
        <v>-23.076923076923073</v>
      </c>
      <c r="W2007" s="17"/>
      <c r="X2007" s="17" t="s">
        <v>58</v>
      </c>
      <c r="Y2007" s="14">
        <v>250</v>
      </c>
      <c r="Z2007" s="17" t="s">
        <v>58</v>
      </c>
      <c r="AA2007" s="17"/>
      <c r="AB2007" s="17" t="s">
        <v>57</v>
      </c>
      <c r="AC2007" s="17">
        <v>2009</v>
      </c>
      <c r="AD2007" s="17">
        <v>4</v>
      </c>
      <c r="AE2007" s="17"/>
      <c r="AF2007" s="17"/>
      <c r="AG2007" s="17" t="s">
        <v>509</v>
      </c>
      <c r="AH2007" s="14" t="str">
        <f t="shared" si="136"/>
        <v>NA</v>
      </c>
      <c r="AI2007" s="17" t="str">
        <f t="shared" si="137"/>
        <v>NA</v>
      </c>
      <c r="AJ2007" s="17"/>
      <c r="AK2007" s="17" t="s">
        <v>56</v>
      </c>
      <c r="AL2007" s="15" t="s">
        <v>918</v>
      </c>
      <c r="AM2007" s="17">
        <v>2017</v>
      </c>
      <c r="AN2007" s="15" t="s">
        <v>183</v>
      </c>
      <c r="AO2007" s="15" t="s">
        <v>56</v>
      </c>
      <c r="AP2007" s="15"/>
      <c r="AQ2007" s="15" t="s">
        <v>56</v>
      </c>
      <c r="AR2007" s="15" t="s">
        <v>58</v>
      </c>
      <c r="AS2007" s="15" t="s">
        <v>62</v>
      </c>
      <c r="AT2007" s="15"/>
      <c r="AU2007" s="45" t="s">
        <v>919</v>
      </c>
      <c r="AV2007" s="15"/>
      <c r="AW2007" s="12" t="str">
        <f>B2007&amp;C2007&amp;L2007&amp;M2007&amp;O2007&amp;U2007&amp;AL2007&amp;AM2007</f>
        <v>BelizeHalf Moon Caye National Monument, Hol Chan Marine Reserve, Bacalar Chico Marine Reserve, and Sapodilla Cayes Marine Reserve fully protected areasAgariciacover0.769230769230769Cox2017</v>
      </c>
    </row>
    <row r="2008" spans="1:49" ht="14.5" x14ac:dyDescent="0.35">
      <c r="A2008" s="12">
        <v>2007</v>
      </c>
      <c r="B2008" s="15" t="s">
        <v>299</v>
      </c>
      <c r="C2008" s="15" t="s">
        <v>915</v>
      </c>
      <c r="D2008" s="15" t="s">
        <v>300</v>
      </c>
      <c r="E2008" s="15" t="s">
        <v>916</v>
      </c>
      <c r="F2008" s="13" t="s">
        <v>50</v>
      </c>
      <c r="G2008" s="13" t="s">
        <v>51</v>
      </c>
      <c r="H2008" s="16" t="s">
        <v>108</v>
      </c>
      <c r="I2008" s="16" t="s">
        <v>156</v>
      </c>
      <c r="J2008" s="17" t="s">
        <v>509</v>
      </c>
      <c r="K2008" s="17"/>
      <c r="L2008" s="17" t="s">
        <v>930</v>
      </c>
      <c r="M2008" s="17" t="s">
        <v>619</v>
      </c>
      <c r="N2008" s="17" t="s">
        <v>170</v>
      </c>
      <c r="O2008" s="17" t="s">
        <v>101</v>
      </c>
      <c r="P2008" s="17"/>
      <c r="Q2008" s="17"/>
      <c r="R2008" s="17"/>
      <c r="S2008" s="17">
        <v>4</v>
      </c>
      <c r="T2008" s="17">
        <v>3.7</v>
      </c>
      <c r="U2008" s="20">
        <f t="shared" si="139"/>
        <v>0.92500000000000004</v>
      </c>
      <c r="V2008" s="41">
        <f t="shared" si="138"/>
        <v>-7.4999999999999956</v>
      </c>
      <c r="W2008" s="17"/>
      <c r="X2008" s="17" t="s">
        <v>58</v>
      </c>
      <c r="Y2008" s="14">
        <v>250</v>
      </c>
      <c r="Z2008" s="17" t="s">
        <v>58</v>
      </c>
      <c r="AA2008" s="17"/>
      <c r="AB2008" s="17" t="s">
        <v>57</v>
      </c>
      <c r="AC2008" s="17">
        <v>2009</v>
      </c>
      <c r="AD2008" s="17">
        <v>4</v>
      </c>
      <c r="AE2008" s="17"/>
      <c r="AF2008" s="17"/>
      <c r="AG2008" s="17" t="s">
        <v>509</v>
      </c>
      <c r="AH2008" s="14" t="str">
        <f t="shared" si="136"/>
        <v>NA</v>
      </c>
      <c r="AI2008" s="17" t="str">
        <f t="shared" si="137"/>
        <v>NA</v>
      </c>
      <c r="AJ2008" s="17"/>
      <c r="AK2008" s="17" t="s">
        <v>56</v>
      </c>
      <c r="AL2008" s="15" t="s">
        <v>918</v>
      </c>
      <c r="AM2008" s="17">
        <v>2017</v>
      </c>
      <c r="AN2008" s="15" t="s">
        <v>183</v>
      </c>
      <c r="AO2008" s="15" t="s">
        <v>56</v>
      </c>
      <c r="AP2008" s="15"/>
      <c r="AQ2008" s="15" t="s">
        <v>56</v>
      </c>
      <c r="AR2008" s="15" t="s">
        <v>58</v>
      </c>
      <c r="AS2008" s="15" t="s">
        <v>62</v>
      </c>
      <c r="AT2008" s="15"/>
      <c r="AU2008" s="45" t="s">
        <v>919</v>
      </c>
      <c r="AV2008" s="15"/>
      <c r="AW2008" s="12" t="str">
        <f>B2008&amp;C2008&amp;L2008&amp;M2008&amp;O2008&amp;U2008&amp;AL2008&amp;AM2008</f>
        <v>BelizeHalf Moon Caye National Monument, Hol Chan Marine Reserve, Bacalar Chico Marine Reserve, and Sapodilla Cayes Marine Reserve fully protected areasPoritidaePoritescover0.925Cox2017</v>
      </c>
    </row>
    <row r="2009" spans="1:49" ht="14.5" x14ac:dyDescent="0.35">
      <c r="A2009" s="12">
        <v>2008</v>
      </c>
      <c r="B2009" s="15" t="s">
        <v>299</v>
      </c>
      <c r="C2009" s="15" t="s">
        <v>915</v>
      </c>
      <c r="D2009" s="15" t="s">
        <v>300</v>
      </c>
      <c r="E2009" s="15" t="s">
        <v>916</v>
      </c>
      <c r="F2009" s="13" t="s">
        <v>50</v>
      </c>
      <c r="G2009" s="13" t="s">
        <v>51</v>
      </c>
      <c r="H2009" s="16" t="s">
        <v>108</v>
      </c>
      <c r="I2009" s="16" t="s">
        <v>156</v>
      </c>
      <c r="J2009" s="17" t="s">
        <v>509</v>
      </c>
      <c r="K2009" s="17"/>
      <c r="L2009" s="17" t="s">
        <v>931</v>
      </c>
      <c r="M2009" s="17"/>
      <c r="N2009" s="17" t="s">
        <v>120</v>
      </c>
      <c r="O2009" s="17" t="s">
        <v>101</v>
      </c>
      <c r="P2009" s="17"/>
      <c r="Q2009" s="17"/>
      <c r="R2009" s="17"/>
      <c r="S2009" s="17">
        <v>4.9000000000000004</v>
      </c>
      <c r="T2009" s="17">
        <v>3.9</v>
      </c>
      <c r="U2009" s="20">
        <f t="shared" si="139"/>
        <v>0.79591836734693866</v>
      </c>
      <c r="V2009" s="41">
        <f t="shared" si="138"/>
        <v>-20.408163265306133</v>
      </c>
      <c r="W2009" s="17"/>
      <c r="X2009" s="17" t="s">
        <v>58</v>
      </c>
      <c r="Y2009" s="14">
        <v>250</v>
      </c>
      <c r="Z2009" s="17" t="s">
        <v>58</v>
      </c>
      <c r="AA2009" s="17"/>
      <c r="AB2009" s="17" t="s">
        <v>57</v>
      </c>
      <c r="AC2009" s="17">
        <v>2009</v>
      </c>
      <c r="AD2009" s="17">
        <v>4</v>
      </c>
      <c r="AE2009" s="17"/>
      <c r="AF2009" s="17"/>
      <c r="AG2009" s="17" t="s">
        <v>509</v>
      </c>
      <c r="AH2009" s="14" t="str">
        <f t="shared" si="136"/>
        <v>NA</v>
      </c>
      <c r="AI2009" s="17" t="str">
        <f t="shared" si="137"/>
        <v>NA</v>
      </c>
      <c r="AJ2009" s="17"/>
      <c r="AK2009" s="17" t="s">
        <v>56</v>
      </c>
      <c r="AL2009" s="15" t="s">
        <v>918</v>
      </c>
      <c r="AM2009" s="17">
        <v>2017</v>
      </c>
      <c r="AN2009" s="15" t="s">
        <v>183</v>
      </c>
      <c r="AO2009" s="15" t="s">
        <v>56</v>
      </c>
      <c r="AP2009" s="15"/>
      <c r="AQ2009" s="15" t="s">
        <v>56</v>
      </c>
      <c r="AR2009" s="15" t="s">
        <v>58</v>
      </c>
      <c r="AS2009" s="15" t="s">
        <v>62</v>
      </c>
      <c r="AT2009" s="15"/>
      <c r="AU2009" s="45" t="s">
        <v>919</v>
      </c>
      <c r="AV2009" s="15"/>
      <c r="AW2009" s="12" t="str">
        <f>B2009&amp;C2009&amp;L2009&amp;M2009&amp;O2009&amp;U2009&amp;AL2009&amp;AM2009</f>
        <v>BelizeHalf Moon Caye National Monument, Hol Chan Marine Reserve, Bacalar Chico Marine Reserve, and Sapodilla Cayes Marine Reserve fully protected areasOrbicellacover0.795918367346939Cox2017</v>
      </c>
    </row>
    <row r="2010" spans="1:49" ht="14.5" x14ac:dyDescent="0.35">
      <c r="A2010" s="12">
        <v>2009</v>
      </c>
      <c r="B2010" s="12" t="s">
        <v>299</v>
      </c>
      <c r="C2010" s="15" t="s">
        <v>915</v>
      </c>
      <c r="D2010" s="15" t="s">
        <v>300</v>
      </c>
      <c r="E2010" s="12" t="s">
        <v>916</v>
      </c>
      <c r="F2010" s="13" t="s">
        <v>50</v>
      </c>
      <c r="G2010" s="13" t="s">
        <v>51</v>
      </c>
      <c r="H2010" s="13" t="s">
        <v>108</v>
      </c>
      <c r="I2010" s="13" t="s">
        <v>156</v>
      </c>
      <c r="J2010" s="17" t="s">
        <v>509</v>
      </c>
      <c r="K2010" s="14"/>
      <c r="L2010" s="14" t="s">
        <v>932</v>
      </c>
      <c r="M2010" s="14"/>
      <c r="N2010" s="14" t="s">
        <v>120</v>
      </c>
      <c r="O2010" s="17" t="s">
        <v>101</v>
      </c>
      <c r="P2010" s="14"/>
      <c r="Q2010" s="14"/>
      <c r="R2010" s="14"/>
      <c r="S2010" s="14">
        <v>2.4</v>
      </c>
      <c r="T2010" s="14">
        <v>1.8</v>
      </c>
      <c r="U2010" s="19">
        <f t="shared" si="139"/>
        <v>0.75</v>
      </c>
      <c r="V2010" s="41">
        <f t="shared" si="138"/>
        <v>-25</v>
      </c>
      <c r="W2010" s="14"/>
      <c r="X2010" s="14" t="s">
        <v>58</v>
      </c>
      <c r="Y2010" s="14">
        <v>250</v>
      </c>
      <c r="Z2010" s="14" t="s">
        <v>58</v>
      </c>
      <c r="AA2010" s="14"/>
      <c r="AB2010" s="14" t="s">
        <v>57</v>
      </c>
      <c r="AC2010" s="14">
        <v>2009</v>
      </c>
      <c r="AD2010" s="14">
        <v>4</v>
      </c>
      <c r="AE2010" s="14"/>
      <c r="AF2010" s="14"/>
      <c r="AG2010" s="14" t="s">
        <v>509</v>
      </c>
      <c r="AH2010" s="14" t="str">
        <f t="shared" si="136"/>
        <v>NA</v>
      </c>
      <c r="AI2010" s="17" t="str">
        <f t="shared" si="137"/>
        <v>NA</v>
      </c>
      <c r="AJ2010" s="14"/>
      <c r="AK2010" s="14" t="s">
        <v>56</v>
      </c>
      <c r="AL2010" s="12" t="s">
        <v>918</v>
      </c>
      <c r="AM2010" s="14">
        <v>2017</v>
      </c>
      <c r="AN2010" s="12" t="s">
        <v>183</v>
      </c>
      <c r="AO2010" s="12" t="s">
        <v>56</v>
      </c>
      <c r="AP2010" s="12"/>
      <c r="AQ2010" s="12" t="s">
        <v>56</v>
      </c>
      <c r="AR2010" s="12" t="s">
        <v>58</v>
      </c>
      <c r="AS2010" s="12" t="s">
        <v>62</v>
      </c>
      <c r="AT2010" s="12"/>
      <c r="AU2010" s="45" t="s">
        <v>919</v>
      </c>
      <c r="AV2010" s="15"/>
      <c r="AW2010" s="12" t="str">
        <f>B2010&amp;C2010&amp;L2010&amp;M2010&amp;O2010&amp;U2010&amp;AL2010&amp;AM2010</f>
        <v>BelizeHalf Moon Caye National Monument, Hol Chan Marine Reserve, Bacalar Chico Marine Reserve, and Sapodilla Cayes Marine Reserve fully protected areasSideastreacover0.75Cox2017</v>
      </c>
    </row>
    <row r="2011" spans="1:49" ht="14.5" x14ac:dyDescent="0.35">
      <c r="A2011" s="12">
        <v>2010</v>
      </c>
      <c r="B2011" s="12" t="s">
        <v>299</v>
      </c>
      <c r="C2011" s="15" t="s">
        <v>915</v>
      </c>
      <c r="D2011" s="15" t="s">
        <v>300</v>
      </c>
      <c r="E2011" s="12" t="s">
        <v>916</v>
      </c>
      <c r="F2011" s="13" t="s">
        <v>50</v>
      </c>
      <c r="G2011" s="13" t="s">
        <v>51</v>
      </c>
      <c r="H2011" s="13" t="s">
        <v>108</v>
      </c>
      <c r="I2011" s="13" t="s">
        <v>156</v>
      </c>
      <c r="J2011" s="17" t="s">
        <v>509</v>
      </c>
      <c r="K2011" s="14"/>
      <c r="L2011" s="14" t="s">
        <v>933</v>
      </c>
      <c r="M2011" s="14"/>
      <c r="N2011" s="14" t="s">
        <v>120</v>
      </c>
      <c r="O2011" s="17" t="s">
        <v>101</v>
      </c>
      <c r="P2011" s="14"/>
      <c r="Q2011" s="14"/>
      <c r="R2011" s="14"/>
      <c r="S2011" s="14">
        <v>2.5</v>
      </c>
      <c r="T2011" s="14">
        <v>1.6</v>
      </c>
      <c r="U2011" s="19">
        <f t="shared" si="139"/>
        <v>0.64</v>
      </c>
      <c r="V2011" s="41">
        <f t="shared" si="138"/>
        <v>-36</v>
      </c>
      <c r="W2011" s="14"/>
      <c r="X2011" s="14" t="s">
        <v>58</v>
      </c>
      <c r="Y2011" s="14">
        <v>250</v>
      </c>
      <c r="Z2011" s="14" t="s">
        <v>58</v>
      </c>
      <c r="AA2011" s="14"/>
      <c r="AB2011" s="14" t="s">
        <v>57</v>
      </c>
      <c r="AC2011" s="14">
        <v>2009</v>
      </c>
      <c r="AD2011" s="14">
        <v>4</v>
      </c>
      <c r="AE2011" s="14"/>
      <c r="AF2011" s="14"/>
      <c r="AG2011" s="14" t="s">
        <v>509</v>
      </c>
      <c r="AH2011" s="14" t="str">
        <f t="shared" si="136"/>
        <v>NA</v>
      </c>
      <c r="AI2011" s="17" t="str">
        <f t="shared" si="137"/>
        <v>NA</v>
      </c>
      <c r="AJ2011" s="14"/>
      <c r="AK2011" s="14" t="s">
        <v>56</v>
      </c>
      <c r="AL2011" s="12" t="s">
        <v>918</v>
      </c>
      <c r="AM2011" s="14">
        <v>2017</v>
      </c>
      <c r="AN2011" s="12" t="s">
        <v>183</v>
      </c>
      <c r="AO2011" s="12" t="s">
        <v>56</v>
      </c>
      <c r="AP2011" s="12"/>
      <c r="AQ2011" s="12" t="s">
        <v>56</v>
      </c>
      <c r="AR2011" s="12" t="s">
        <v>58</v>
      </c>
      <c r="AS2011" s="12" t="s">
        <v>62</v>
      </c>
      <c r="AT2011" s="12"/>
      <c r="AU2011" s="45" t="s">
        <v>919</v>
      </c>
      <c r="AV2011" s="15"/>
      <c r="AW2011" s="12" t="str">
        <f>B2011&amp;C2011&amp;L2011&amp;M2011&amp;O2011&amp;U2011&amp;AL2011&amp;AM2011</f>
        <v>BelizeHalf Moon Caye National Monument, Hol Chan Marine Reserve, Bacalar Chico Marine Reserve, and Sapodilla Cayes Marine Reserve fully protected areasDiploriacover0.64Cox2017</v>
      </c>
    </row>
    <row r="2012" spans="1:49" ht="14.5" x14ac:dyDescent="0.35">
      <c r="A2012" s="12">
        <v>2011</v>
      </c>
      <c r="B2012" s="12" t="s">
        <v>299</v>
      </c>
      <c r="C2012" s="15" t="s">
        <v>915</v>
      </c>
      <c r="D2012" s="15" t="s">
        <v>300</v>
      </c>
      <c r="E2012" s="12" t="s">
        <v>916</v>
      </c>
      <c r="F2012" s="13" t="s">
        <v>50</v>
      </c>
      <c r="G2012" s="13" t="s">
        <v>51</v>
      </c>
      <c r="H2012" s="13" t="s">
        <v>108</v>
      </c>
      <c r="I2012" s="13" t="s">
        <v>156</v>
      </c>
      <c r="J2012" s="17" t="s">
        <v>509</v>
      </c>
      <c r="K2012" s="17"/>
      <c r="L2012" s="14"/>
      <c r="M2012" s="14" t="s">
        <v>934</v>
      </c>
      <c r="N2012" s="53" t="s">
        <v>98</v>
      </c>
      <c r="O2012" s="17" t="s">
        <v>101</v>
      </c>
      <c r="P2012" s="14"/>
      <c r="Q2012" s="14"/>
      <c r="R2012" s="14"/>
      <c r="S2012" s="14">
        <v>11.4</v>
      </c>
      <c r="T2012" s="14">
        <v>9.1</v>
      </c>
      <c r="U2012" s="19">
        <f t="shared" si="139"/>
        <v>0.79824561403508765</v>
      </c>
      <c r="V2012" s="41">
        <f t="shared" si="138"/>
        <v>-20.175438596491237</v>
      </c>
      <c r="W2012" s="14"/>
      <c r="X2012" s="14" t="s">
        <v>58</v>
      </c>
      <c r="Y2012" s="14">
        <v>250</v>
      </c>
      <c r="Z2012" s="14" t="s">
        <v>58</v>
      </c>
      <c r="AA2012" s="14"/>
      <c r="AB2012" s="14" t="s">
        <v>57</v>
      </c>
      <c r="AC2012" s="14">
        <v>2009</v>
      </c>
      <c r="AD2012" s="14">
        <v>4</v>
      </c>
      <c r="AE2012" s="14"/>
      <c r="AF2012" s="14"/>
      <c r="AG2012" s="14" t="s">
        <v>509</v>
      </c>
      <c r="AH2012" s="14" t="str">
        <f t="shared" si="136"/>
        <v>NA</v>
      </c>
      <c r="AI2012" s="17" t="str">
        <f t="shared" si="137"/>
        <v>NA</v>
      </c>
      <c r="AJ2012" s="14"/>
      <c r="AK2012" s="14" t="s">
        <v>56</v>
      </c>
      <c r="AL2012" s="12" t="s">
        <v>918</v>
      </c>
      <c r="AM2012" s="14">
        <v>2017</v>
      </c>
      <c r="AN2012" s="12" t="s">
        <v>183</v>
      </c>
      <c r="AO2012" s="12" t="s">
        <v>56</v>
      </c>
      <c r="AP2012" s="12"/>
      <c r="AQ2012" s="12" t="s">
        <v>56</v>
      </c>
      <c r="AR2012" s="12" t="s">
        <v>58</v>
      </c>
      <c r="AS2012" s="12" t="s">
        <v>62</v>
      </c>
      <c r="AT2012" s="12"/>
      <c r="AU2012" s="45" t="s">
        <v>919</v>
      </c>
      <c r="AV2012" s="15"/>
      <c r="AW2012" s="12" t="str">
        <f>B2012&amp;C2012&amp;L2012&amp;M2012&amp;O2012&amp;U2012&amp;AL2012&amp;AM2012</f>
        <v>BelizeHalf Moon Caye National Monument, Hol Chan Marine Reserve, Bacalar Chico Marine Reserve, and Sapodilla Cayes Marine Reserve fully protected areasTurfcover0.798245614035088Cox2017</v>
      </c>
    </row>
    <row r="2013" spans="1:49" ht="14.5" x14ac:dyDescent="0.35">
      <c r="A2013" s="12">
        <v>2012</v>
      </c>
      <c r="B2013" s="12" t="s">
        <v>299</v>
      </c>
      <c r="C2013" s="12" t="s">
        <v>915</v>
      </c>
      <c r="D2013" s="15" t="s">
        <v>300</v>
      </c>
      <c r="E2013" s="12" t="s">
        <v>916</v>
      </c>
      <c r="F2013" s="13" t="s">
        <v>50</v>
      </c>
      <c r="G2013" s="13" t="s">
        <v>51</v>
      </c>
      <c r="H2013" s="13" t="s">
        <v>108</v>
      </c>
      <c r="I2013" s="13" t="s">
        <v>156</v>
      </c>
      <c r="J2013" s="14" t="s">
        <v>509</v>
      </c>
      <c r="K2013" s="14"/>
      <c r="L2013" s="14"/>
      <c r="M2013" s="14" t="s">
        <v>102</v>
      </c>
      <c r="N2013" s="53" t="s">
        <v>98</v>
      </c>
      <c r="O2013" s="17" t="s">
        <v>101</v>
      </c>
      <c r="P2013" s="14"/>
      <c r="Q2013" s="14"/>
      <c r="R2013" s="14"/>
      <c r="S2013" s="14">
        <v>3.4</v>
      </c>
      <c r="T2013" s="14">
        <v>4.8</v>
      </c>
      <c r="U2013" s="19">
        <f t="shared" si="139"/>
        <v>1.411764705882353</v>
      </c>
      <c r="V2013" s="41">
        <f t="shared" si="138"/>
        <v>41.176470588235304</v>
      </c>
      <c r="W2013" s="14"/>
      <c r="X2013" s="14" t="s">
        <v>58</v>
      </c>
      <c r="Y2013" s="14">
        <v>250</v>
      </c>
      <c r="Z2013" s="14" t="s">
        <v>58</v>
      </c>
      <c r="AA2013" s="14"/>
      <c r="AB2013" s="14" t="s">
        <v>57</v>
      </c>
      <c r="AC2013" s="14">
        <v>2009</v>
      </c>
      <c r="AD2013" s="14">
        <v>4</v>
      </c>
      <c r="AE2013" s="14"/>
      <c r="AF2013" s="14"/>
      <c r="AG2013" s="14" t="s">
        <v>509</v>
      </c>
      <c r="AH2013" s="14" t="str">
        <f t="shared" si="136"/>
        <v>NA</v>
      </c>
      <c r="AI2013" s="17" t="str">
        <f t="shared" si="137"/>
        <v>NA</v>
      </c>
      <c r="AJ2013" s="14"/>
      <c r="AK2013" s="14" t="s">
        <v>56</v>
      </c>
      <c r="AL2013" s="12" t="s">
        <v>918</v>
      </c>
      <c r="AM2013" s="14">
        <v>2017</v>
      </c>
      <c r="AN2013" s="12" t="s">
        <v>183</v>
      </c>
      <c r="AO2013" s="12" t="s">
        <v>56</v>
      </c>
      <c r="AP2013" s="12"/>
      <c r="AQ2013" s="12" t="s">
        <v>56</v>
      </c>
      <c r="AR2013" s="12" t="s">
        <v>58</v>
      </c>
      <c r="AS2013" s="12" t="s">
        <v>62</v>
      </c>
      <c r="AT2013" s="12"/>
      <c r="AU2013" s="45" t="s">
        <v>919</v>
      </c>
      <c r="AV2013" s="15"/>
      <c r="AW2013" s="12" t="str">
        <f>B2013&amp;C2013&amp;L2013&amp;M2013&amp;O2013&amp;U2013&amp;AL2013&amp;AM2013</f>
        <v>BelizeHalf Moon Caye National Monument, Hol Chan Marine Reserve, Bacalar Chico Marine Reserve, and Sapodilla Cayes Marine Reserve fully protected areasCrustose coralline algaecover1.41176470588235Cox2017</v>
      </c>
    </row>
    <row r="2014" spans="1:49" ht="14.5" x14ac:dyDescent="0.35">
      <c r="A2014" s="12">
        <v>2013</v>
      </c>
      <c r="B2014" s="12" t="s">
        <v>299</v>
      </c>
      <c r="C2014" s="12" t="s">
        <v>915</v>
      </c>
      <c r="D2014" s="15" t="s">
        <v>300</v>
      </c>
      <c r="E2014" s="12" t="s">
        <v>916</v>
      </c>
      <c r="F2014" s="13" t="s">
        <v>50</v>
      </c>
      <c r="G2014" s="13" t="s">
        <v>51</v>
      </c>
      <c r="H2014" s="13" t="s">
        <v>108</v>
      </c>
      <c r="I2014" s="13" t="s">
        <v>156</v>
      </c>
      <c r="J2014" s="14" t="s">
        <v>509</v>
      </c>
      <c r="K2014" s="14"/>
      <c r="L2014" s="14"/>
      <c r="M2014" s="14" t="s">
        <v>472</v>
      </c>
      <c r="N2014" s="53" t="s">
        <v>98</v>
      </c>
      <c r="O2014" s="17" t="s">
        <v>101</v>
      </c>
      <c r="P2014" s="14"/>
      <c r="Q2014" s="14"/>
      <c r="R2014" s="14"/>
      <c r="S2014" s="14">
        <v>3.8</v>
      </c>
      <c r="T2014" s="14">
        <v>4.7</v>
      </c>
      <c r="U2014" s="19">
        <f t="shared" si="139"/>
        <v>1.236842105263158</v>
      </c>
      <c r="V2014" s="41">
        <f t="shared" si="138"/>
        <v>23.684210526315795</v>
      </c>
      <c r="W2014" s="14"/>
      <c r="X2014" s="14" t="s">
        <v>58</v>
      </c>
      <c r="Y2014" s="14">
        <v>250</v>
      </c>
      <c r="Z2014" s="14" t="s">
        <v>58</v>
      </c>
      <c r="AA2014" s="14"/>
      <c r="AB2014" s="14" t="s">
        <v>57</v>
      </c>
      <c r="AC2014" s="14">
        <v>2009</v>
      </c>
      <c r="AD2014" s="14">
        <v>4</v>
      </c>
      <c r="AE2014" s="14"/>
      <c r="AF2014" s="14"/>
      <c r="AG2014" s="14" t="s">
        <v>509</v>
      </c>
      <c r="AH2014" s="14" t="str">
        <f t="shared" si="136"/>
        <v>NA</v>
      </c>
      <c r="AI2014" s="17" t="str">
        <f t="shared" si="137"/>
        <v>NA</v>
      </c>
      <c r="AJ2014" s="14"/>
      <c r="AK2014" s="14" t="s">
        <v>56</v>
      </c>
      <c r="AL2014" s="12" t="s">
        <v>918</v>
      </c>
      <c r="AM2014" s="14">
        <v>2017</v>
      </c>
      <c r="AN2014" s="12" t="s">
        <v>183</v>
      </c>
      <c r="AO2014" s="12" t="s">
        <v>56</v>
      </c>
      <c r="AP2014" s="12"/>
      <c r="AQ2014" s="12" t="s">
        <v>56</v>
      </c>
      <c r="AR2014" s="12" t="s">
        <v>58</v>
      </c>
      <c r="AS2014" s="12" t="s">
        <v>62</v>
      </c>
      <c r="AT2014" s="12"/>
      <c r="AU2014" s="45" t="s">
        <v>919</v>
      </c>
      <c r="AV2014" s="15"/>
      <c r="AW2014" s="12" t="str">
        <f>B2014&amp;C2014&amp;L2014&amp;M2014&amp;O2014&amp;U2014&amp;AL2014&amp;AM2014</f>
        <v>BelizeHalf Moon Caye National Monument, Hol Chan Marine Reserve, Bacalar Chico Marine Reserve, and Sapodilla Cayes Marine Reserve fully protected areasSpongecover1.23684210526316Cox2017</v>
      </c>
    </row>
    <row r="2015" spans="1:49" ht="14.5" x14ac:dyDescent="0.35">
      <c r="A2015" s="12">
        <v>2014</v>
      </c>
      <c r="B2015" s="15" t="s">
        <v>299</v>
      </c>
      <c r="C2015" s="15" t="s">
        <v>915</v>
      </c>
      <c r="D2015" s="15" t="s">
        <v>300</v>
      </c>
      <c r="E2015" s="15" t="s">
        <v>916</v>
      </c>
      <c r="F2015" s="13" t="s">
        <v>50</v>
      </c>
      <c r="G2015" s="13" t="s">
        <v>51</v>
      </c>
      <c r="H2015" s="16" t="s">
        <v>108</v>
      </c>
      <c r="I2015" s="16" t="s">
        <v>156</v>
      </c>
      <c r="J2015" s="14" t="s">
        <v>509</v>
      </c>
      <c r="K2015" s="17"/>
      <c r="L2015" s="17" t="s">
        <v>935</v>
      </c>
      <c r="M2015" s="17" t="s">
        <v>936</v>
      </c>
      <c r="N2015" s="17" t="s">
        <v>288</v>
      </c>
      <c r="O2015" s="17" t="s">
        <v>101</v>
      </c>
      <c r="P2015" s="17"/>
      <c r="Q2015" s="17"/>
      <c r="R2015" s="17"/>
      <c r="S2015" s="17">
        <v>3</v>
      </c>
      <c r="T2015" s="17">
        <v>3.4</v>
      </c>
      <c r="U2015" s="20">
        <f t="shared" si="139"/>
        <v>1.1333333333333333</v>
      </c>
      <c r="V2015" s="41">
        <f t="shared" si="138"/>
        <v>13.33333333333333</v>
      </c>
      <c r="W2015" s="17"/>
      <c r="X2015" s="17" t="s">
        <v>58</v>
      </c>
      <c r="Y2015" s="14">
        <v>250</v>
      </c>
      <c r="Z2015" s="17" t="s">
        <v>58</v>
      </c>
      <c r="AA2015" s="17"/>
      <c r="AB2015" s="17" t="s">
        <v>57</v>
      </c>
      <c r="AC2015" s="17">
        <v>2009</v>
      </c>
      <c r="AD2015" s="17">
        <v>4</v>
      </c>
      <c r="AE2015" s="17"/>
      <c r="AF2015" s="17"/>
      <c r="AG2015" s="14" t="s">
        <v>509</v>
      </c>
      <c r="AH2015" s="14" t="str">
        <f t="shared" si="136"/>
        <v>NA</v>
      </c>
      <c r="AI2015" s="17" t="str">
        <f t="shared" si="137"/>
        <v>NA</v>
      </c>
      <c r="AJ2015" s="17"/>
      <c r="AK2015" s="17" t="s">
        <v>56</v>
      </c>
      <c r="AL2015" s="15" t="s">
        <v>918</v>
      </c>
      <c r="AM2015" s="17">
        <v>2017</v>
      </c>
      <c r="AN2015" s="15" t="s">
        <v>183</v>
      </c>
      <c r="AO2015" s="15" t="s">
        <v>56</v>
      </c>
      <c r="AP2015" s="15"/>
      <c r="AQ2015" s="15" t="s">
        <v>56</v>
      </c>
      <c r="AR2015" s="15" t="s">
        <v>58</v>
      </c>
      <c r="AS2015" s="15" t="s">
        <v>62</v>
      </c>
      <c r="AT2015" s="15"/>
      <c r="AU2015" s="45" t="s">
        <v>919</v>
      </c>
      <c r="AV2015" s="15"/>
      <c r="AW2015" s="12" t="str">
        <f>B2015&amp;C2015&amp;L2015&amp;M2015&amp;O2015&amp;U2015&amp;AL2015&amp;AM2015</f>
        <v>BelizeHalf Moon Caye National Monument, Hol Chan Marine Reserve, Bacalar Chico Marine Reserve, and Sapodilla Cayes Marine Reserve fully protected areasAlcyonaceastony coralcover1.13333333333333Cox2017</v>
      </c>
    </row>
    <row r="2016" spans="1:49" ht="14.5" x14ac:dyDescent="0.35">
      <c r="A2016" s="12">
        <v>2015</v>
      </c>
      <c r="B2016" s="12" t="s">
        <v>1527</v>
      </c>
      <c r="C2016" s="12" t="s">
        <v>2694</v>
      </c>
      <c r="D2016" s="12" t="s">
        <v>2695</v>
      </c>
      <c r="E2016" s="12" t="s">
        <v>68</v>
      </c>
      <c r="F2016" s="13" t="s">
        <v>50</v>
      </c>
      <c r="G2016" s="13" t="s">
        <v>51</v>
      </c>
      <c r="H2016" s="13" t="s">
        <v>481</v>
      </c>
      <c r="I2016" s="13" t="s">
        <v>53</v>
      </c>
      <c r="J2016" s="14">
        <v>3.75</v>
      </c>
      <c r="K2016" s="17"/>
      <c r="L2016" s="14" t="s">
        <v>1528</v>
      </c>
      <c r="M2016" s="14"/>
      <c r="N2016" s="14" t="s">
        <v>85</v>
      </c>
      <c r="O2016" s="17" t="s">
        <v>86</v>
      </c>
      <c r="P2016" s="14"/>
      <c r="Q2016" s="14"/>
      <c r="R2016" s="14"/>
      <c r="S2016" s="14">
        <v>5.1785709999999998</v>
      </c>
      <c r="T2016" s="14">
        <v>42.321429999999999</v>
      </c>
      <c r="U2016" s="19">
        <f t="shared" si="139"/>
        <v>8.1724147453032892</v>
      </c>
      <c r="V2016" s="41">
        <f t="shared" si="138"/>
        <v>717.2414745303289</v>
      </c>
      <c r="W2016" s="14"/>
      <c r="X2016" s="14" t="s">
        <v>56</v>
      </c>
      <c r="Z2016" s="14" t="s">
        <v>56</v>
      </c>
      <c r="AA2016" s="14"/>
      <c r="AB2016" s="14" t="s">
        <v>57</v>
      </c>
      <c r="AC2016" s="14">
        <v>2011</v>
      </c>
      <c r="AD2016" s="14">
        <v>2</v>
      </c>
      <c r="AE2016" s="14"/>
      <c r="AF2016" s="14"/>
      <c r="AG2016" s="14">
        <v>1997</v>
      </c>
      <c r="AH2016" s="14">
        <f t="shared" si="136"/>
        <v>14</v>
      </c>
      <c r="AI2016" s="17">
        <f t="shared" si="137"/>
        <v>16</v>
      </c>
      <c r="AJ2016" s="14"/>
      <c r="AK2016" s="14" t="s">
        <v>58</v>
      </c>
      <c r="AL2016" s="12" t="s">
        <v>1529</v>
      </c>
      <c r="AM2016" s="14">
        <v>2016</v>
      </c>
      <c r="AN2016" s="12" t="s">
        <v>685</v>
      </c>
      <c r="AO2016" s="12" t="s">
        <v>56</v>
      </c>
      <c r="AP2016" s="12"/>
      <c r="AQ2016" s="12" t="s">
        <v>56</v>
      </c>
      <c r="AR2016" s="12" t="s">
        <v>58</v>
      </c>
      <c r="AS2016" s="12" t="s">
        <v>62</v>
      </c>
      <c r="AT2016" s="12"/>
      <c r="AU2016" s="45"/>
      <c r="AV2016" s="15"/>
      <c r="AW2016" s="12" t="str">
        <f>B2016&amp;C2016&amp;L2016&amp;M2016&amp;O2016&amp;U2016&amp;AL2016&amp;AM2016</f>
        <v>ItalyPenisola del Sinis - Isola di Mal di Ventre MPA zone APatella ferrugineadensity8.17241474530329Coppa2016</v>
      </c>
    </row>
    <row r="2017" spans="1:49" ht="14.5" x14ac:dyDescent="0.35">
      <c r="A2017" s="12">
        <v>2016</v>
      </c>
      <c r="B2017" s="12" t="s">
        <v>1527</v>
      </c>
      <c r="C2017" s="12" t="s">
        <v>2694</v>
      </c>
      <c r="D2017" s="15" t="s">
        <v>2695</v>
      </c>
      <c r="E2017" s="12" t="s">
        <v>68</v>
      </c>
      <c r="F2017" s="13" t="s">
        <v>50</v>
      </c>
      <c r="G2017" s="13" t="s">
        <v>51</v>
      </c>
      <c r="H2017" s="13" t="s">
        <v>481</v>
      </c>
      <c r="I2017" s="13" t="s">
        <v>53</v>
      </c>
      <c r="J2017" s="14">
        <v>3.75</v>
      </c>
      <c r="K2017" s="17"/>
      <c r="L2017" s="14" t="s">
        <v>1528</v>
      </c>
      <c r="M2017" s="14"/>
      <c r="N2017" s="14" t="s">
        <v>85</v>
      </c>
      <c r="O2017" s="17" t="s">
        <v>104</v>
      </c>
      <c r="P2017" s="14" t="s">
        <v>568</v>
      </c>
      <c r="Q2017" s="14"/>
      <c r="R2017" s="14"/>
      <c r="S2017" s="14">
        <v>4.886844</v>
      </c>
      <c r="T2017" s="14">
        <v>6.1436529999999996</v>
      </c>
      <c r="U2017" s="19">
        <f t="shared" si="139"/>
        <v>1.2571821404571129</v>
      </c>
      <c r="V2017" s="41">
        <f t="shared" si="138"/>
        <v>25.718214045711285</v>
      </c>
      <c r="W2017" s="14"/>
      <c r="X2017" s="14" t="s">
        <v>56</v>
      </c>
      <c r="Z2017" s="14" t="s">
        <v>56</v>
      </c>
      <c r="AA2017" s="14"/>
      <c r="AB2017" s="14" t="s">
        <v>57</v>
      </c>
      <c r="AC2017" s="14">
        <v>2011</v>
      </c>
      <c r="AD2017" s="14">
        <v>2</v>
      </c>
      <c r="AE2017" s="14"/>
      <c r="AF2017" s="14"/>
      <c r="AG2017" s="14">
        <v>1997</v>
      </c>
      <c r="AH2017" s="14">
        <f t="shared" si="136"/>
        <v>14</v>
      </c>
      <c r="AI2017" s="17">
        <f t="shared" si="137"/>
        <v>16</v>
      </c>
      <c r="AJ2017" s="14"/>
      <c r="AK2017" s="14" t="s">
        <v>58</v>
      </c>
      <c r="AL2017" s="12" t="s">
        <v>1529</v>
      </c>
      <c r="AM2017" s="14">
        <v>2016</v>
      </c>
      <c r="AN2017" s="12" t="s">
        <v>685</v>
      </c>
      <c r="AO2017" s="12" t="s">
        <v>56</v>
      </c>
      <c r="AP2017" s="12"/>
      <c r="AQ2017" s="12" t="s">
        <v>56</v>
      </c>
      <c r="AR2017" s="12" t="s">
        <v>58</v>
      </c>
      <c r="AS2017" s="12" t="s">
        <v>62</v>
      </c>
      <c r="AT2017" s="12"/>
      <c r="AU2017" s="45"/>
      <c r="AV2017" s="15"/>
      <c r="AW2017" s="12" t="str">
        <f>B2017&amp;C2017&amp;L2017&amp;M2017&amp;O2017&amp;U2017&amp;AL2017&amp;AM2017</f>
        <v>ItalyPenisola del Sinis - Isola di Mal di Ventre MPA zone APatella ferrugineasize1.25718214045711Coppa2016</v>
      </c>
    </row>
    <row r="2018" spans="1:49" ht="14.5" x14ac:dyDescent="0.35">
      <c r="A2018" s="12">
        <v>2017</v>
      </c>
      <c r="B2018" s="12" t="s">
        <v>66</v>
      </c>
      <c r="C2018" s="12" t="s">
        <v>424</v>
      </c>
      <c r="D2018" s="15" t="s">
        <v>425</v>
      </c>
      <c r="E2018" s="12" t="s">
        <v>68</v>
      </c>
      <c r="F2018" s="13" t="s">
        <v>50</v>
      </c>
      <c r="G2018" s="13" t="s">
        <v>51</v>
      </c>
      <c r="H2018" s="13" t="s">
        <v>52</v>
      </c>
      <c r="I2018" s="13" t="s">
        <v>53</v>
      </c>
      <c r="J2018" s="14">
        <v>161.5</v>
      </c>
      <c r="K2018" s="17"/>
      <c r="L2018" s="14" t="s">
        <v>265</v>
      </c>
      <c r="M2018" s="14"/>
      <c r="N2018" s="14" t="s">
        <v>170</v>
      </c>
      <c r="O2018" s="17" t="s">
        <v>86</v>
      </c>
      <c r="P2018" s="14"/>
      <c r="Q2018" s="14"/>
      <c r="R2018" s="14"/>
      <c r="S2018" s="14">
        <v>81.355930000000001</v>
      </c>
      <c r="T2018" s="14">
        <v>58.757060000000003</v>
      </c>
      <c r="U2018" s="19">
        <f t="shared" si="139"/>
        <v>0.72222221539351839</v>
      </c>
      <c r="V2018" s="41">
        <f t="shared" si="138"/>
        <v>-27.777778460648161</v>
      </c>
      <c r="W2018" s="14"/>
      <c r="X2018" s="14" t="s">
        <v>58</v>
      </c>
      <c r="Z2018" s="14" t="s">
        <v>56</v>
      </c>
      <c r="AA2018" s="14"/>
      <c r="AB2018" s="14" t="s">
        <v>57</v>
      </c>
      <c r="AC2018" s="14">
        <v>2008</v>
      </c>
      <c r="AD2018" s="14">
        <v>4</v>
      </c>
      <c r="AE2018" s="14"/>
      <c r="AF2018" s="14"/>
      <c r="AG2018" s="14">
        <v>2007</v>
      </c>
      <c r="AH2018" s="14">
        <f t="shared" si="136"/>
        <v>1</v>
      </c>
      <c r="AI2018" s="17">
        <f t="shared" si="137"/>
        <v>5</v>
      </c>
      <c r="AJ2018" s="14"/>
      <c r="AK2018" s="14" t="s">
        <v>58</v>
      </c>
      <c r="AL2018" s="12" t="s">
        <v>437</v>
      </c>
      <c r="AM2018" s="14">
        <v>2013</v>
      </c>
      <c r="AN2018" s="12" t="s">
        <v>263</v>
      </c>
      <c r="AO2018" s="12" t="s">
        <v>56</v>
      </c>
      <c r="AP2018" s="12"/>
      <c r="AQ2018" s="12" t="s">
        <v>56</v>
      </c>
      <c r="AR2018" s="12" t="s">
        <v>58</v>
      </c>
      <c r="AS2018" s="12" t="s">
        <v>62</v>
      </c>
      <c r="AT2018" s="12"/>
      <c r="AU2018" s="45"/>
      <c r="AV2018" s="15"/>
      <c r="AW2018" s="12" t="str">
        <f>B2018&amp;C2018&amp;L2018&amp;M2018&amp;O2018&amp;U2018&amp;AL2018&amp;AM2018</f>
        <v>AustraliaBatemans Marine Park NetworkLabridaedensity0.722222215393518Coleman2013</v>
      </c>
    </row>
    <row r="2019" spans="1:49" ht="14.5" x14ac:dyDescent="0.35">
      <c r="A2019" s="12">
        <v>2018</v>
      </c>
      <c r="B2019" s="12" t="s">
        <v>66</v>
      </c>
      <c r="C2019" s="12" t="s">
        <v>424</v>
      </c>
      <c r="D2019" s="15" t="s">
        <v>425</v>
      </c>
      <c r="E2019" s="12" t="s">
        <v>68</v>
      </c>
      <c r="F2019" s="13" t="s">
        <v>50</v>
      </c>
      <c r="G2019" s="13" t="s">
        <v>51</v>
      </c>
      <c r="H2019" s="13" t="s">
        <v>52</v>
      </c>
      <c r="I2019" s="13" t="s">
        <v>53</v>
      </c>
      <c r="J2019" s="14">
        <v>161.5</v>
      </c>
      <c r="K2019" s="17"/>
      <c r="L2019" s="14" t="s">
        <v>438</v>
      </c>
      <c r="M2019" s="14"/>
      <c r="N2019" s="14" t="s">
        <v>120</v>
      </c>
      <c r="O2019" s="17" t="s">
        <v>86</v>
      </c>
      <c r="P2019" s="14"/>
      <c r="Q2019" s="14"/>
      <c r="R2019" s="14"/>
      <c r="S2019" s="14">
        <v>123.9669</v>
      </c>
      <c r="T2019" s="14">
        <v>64.738290000000006</v>
      </c>
      <c r="U2019" s="19">
        <f t="shared" si="139"/>
        <v>0.52222238355561046</v>
      </c>
      <c r="V2019" s="41">
        <f t="shared" si="138"/>
        <v>-47.777761644438954</v>
      </c>
      <c r="W2019" s="14"/>
      <c r="X2019" s="14" t="s">
        <v>58</v>
      </c>
      <c r="Z2019" s="14" t="s">
        <v>56</v>
      </c>
      <c r="AA2019" s="14"/>
      <c r="AB2019" s="14" t="s">
        <v>57</v>
      </c>
      <c r="AC2019" s="14">
        <v>2008</v>
      </c>
      <c r="AD2019" s="14">
        <v>4</v>
      </c>
      <c r="AE2019" s="14"/>
      <c r="AF2019" s="14"/>
      <c r="AG2019" s="14">
        <v>2007</v>
      </c>
      <c r="AH2019" s="14">
        <f t="shared" si="136"/>
        <v>1</v>
      </c>
      <c r="AI2019" s="17">
        <f t="shared" si="137"/>
        <v>5</v>
      </c>
      <c r="AJ2019" s="14"/>
      <c r="AK2019" s="14" t="s">
        <v>58</v>
      </c>
      <c r="AL2019" s="12" t="s">
        <v>437</v>
      </c>
      <c r="AM2019" s="14">
        <v>2013</v>
      </c>
      <c r="AN2019" s="12" t="s">
        <v>263</v>
      </c>
      <c r="AO2019" s="12" t="s">
        <v>56</v>
      </c>
      <c r="AP2019" s="12"/>
      <c r="AQ2019" s="12" t="s">
        <v>56</v>
      </c>
      <c r="AR2019" s="12" t="s">
        <v>58</v>
      </c>
      <c r="AS2019" s="12" t="s">
        <v>62</v>
      </c>
      <c r="AT2019" s="12"/>
      <c r="AU2019" s="45"/>
      <c r="AV2019" s="15"/>
      <c r="AW2019" s="12" t="str">
        <f>B2019&amp;C2019&amp;L2019&amp;M2019&amp;O2019&amp;U2019&amp;AL2019&amp;AM2019</f>
        <v>AustraliaBatemans Marine Park NetworkGirelladensity0.52222238355561Coleman2013</v>
      </c>
    </row>
    <row r="2020" spans="1:49" ht="14.5" x14ac:dyDescent="0.35">
      <c r="A2020" s="12">
        <v>2019</v>
      </c>
      <c r="B2020" s="12" t="s">
        <v>66</v>
      </c>
      <c r="C2020" s="12" t="s">
        <v>424</v>
      </c>
      <c r="D2020" s="15" t="s">
        <v>425</v>
      </c>
      <c r="E2020" s="12" t="s">
        <v>68</v>
      </c>
      <c r="F2020" s="13" t="s">
        <v>50</v>
      </c>
      <c r="G2020" s="13" t="s">
        <v>51</v>
      </c>
      <c r="H2020" s="13" t="s">
        <v>52</v>
      </c>
      <c r="I2020" s="13" t="s">
        <v>53</v>
      </c>
      <c r="J2020" s="14">
        <v>161.5</v>
      </c>
      <c r="K2020" s="17"/>
      <c r="L2020" s="14" t="s">
        <v>439</v>
      </c>
      <c r="M2020" s="17" t="s">
        <v>938</v>
      </c>
      <c r="N2020" s="14" t="s">
        <v>85</v>
      </c>
      <c r="O2020" s="17" t="s">
        <v>86</v>
      </c>
      <c r="P2020" s="14"/>
      <c r="Q2020" s="14"/>
      <c r="R2020" s="14"/>
      <c r="S2020" s="14">
        <v>26.056339999999999</v>
      </c>
      <c r="T2020" s="14">
        <v>7.2769950000000003</v>
      </c>
      <c r="U2020" s="19">
        <f t="shared" si="139"/>
        <v>0.2792792464329219</v>
      </c>
      <c r="V2020" s="41">
        <f t="shared" si="138"/>
        <v>-72.072075356707813</v>
      </c>
      <c r="W2020" s="14"/>
      <c r="X2020" s="14" t="s">
        <v>58</v>
      </c>
      <c r="Z2020" s="14" t="s">
        <v>56</v>
      </c>
      <c r="AA2020" s="14"/>
      <c r="AB2020" s="14" t="s">
        <v>57</v>
      </c>
      <c r="AC2020" s="14">
        <v>2008</v>
      </c>
      <c r="AD2020" s="14">
        <v>4</v>
      </c>
      <c r="AE2020" s="14"/>
      <c r="AF2020" s="14"/>
      <c r="AG2020" s="14">
        <v>2007</v>
      </c>
      <c r="AH2020" s="14">
        <f t="shared" si="136"/>
        <v>1</v>
      </c>
      <c r="AI2020" s="17">
        <f t="shared" si="137"/>
        <v>5</v>
      </c>
      <c r="AJ2020" s="14"/>
      <c r="AK2020" s="14" t="s">
        <v>58</v>
      </c>
      <c r="AL2020" s="12" t="s">
        <v>437</v>
      </c>
      <c r="AM2020" s="14">
        <v>2013</v>
      </c>
      <c r="AN2020" s="12" t="s">
        <v>263</v>
      </c>
      <c r="AO2020" s="12" t="s">
        <v>56</v>
      </c>
      <c r="AP2020" s="12"/>
      <c r="AQ2020" s="12" t="s">
        <v>56</v>
      </c>
      <c r="AR2020" s="12" t="s">
        <v>58</v>
      </c>
      <c r="AS2020" s="12" t="s">
        <v>62</v>
      </c>
      <c r="AT2020" s="12"/>
      <c r="AU2020" s="45"/>
      <c r="AV2020" s="15"/>
      <c r="AW2020" s="12" t="str">
        <f>B2020&amp;C2020&amp;L2020&amp;M2020&amp;O2020&amp;U2020&amp;AL2020&amp;AM2020</f>
        <v>AustraliaBatemans Marine Park NetworkCheilodactylus fuscusred morwongdensity0.279279246432922Coleman2013</v>
      </c>
    </row>
    <row r="2021" spans="1:49" ht="14.5" x14ac:dyDescent="0.35">
      <c r="A2021" s="12">
        <v>2020</v>
      </c>
      <c r="B2021" s="12" t="s">
        <v>66</v>
      </c>
      <c r="C2021" s="12" t="s">
        <v>424</v>
      </c>
      <c r="D2021" s="15" t="s">
        <v>425</v>
      </c>
      <c r="E2021" s="12" t="s">
        <v>68</v>
      </c>
      <c r="F2021" s="13" t="s">
        <v>50</v>
      </c>
      <c r="G2021" s="13" t="s">
        <v>51</v>
      </c>
      <c r="H2021" s="13" t="s">
        <v>52</v>
      </c>
      <c r="I2021" s="13" t="s">
        <v>53</v>
      </c>
      <c r="J2021" s="14">
        <v>161.5</v>
      </c>
      <c r="K2021" s="17"/>
      <c r="L2021" s="14" t="s">
        <v>440</v>
      </c>
      <c r="M2021" s="14"/>
      <c r="N2021" s="14" t="s">
        <v>85</v>
      </c>
      <c r="O2021" s="14" t="s">
        <v>86</v>
      </c>
      <c r="P2021" s="14"/>
      <c r="Q2021" s="14"/>
      <c r="R2021" s="14"/>
      <c r="S2021" s="14">
        <v>44.14414</v>
      </c>
      <c r="T2021" s="14">
        <v>14.63964</v>
      </c>
      <c r="U2021" s="19">
        <f t="shared" si="139"/>
        <v>0.33163269235735476</v>
      </c>
      <c r="V2021" s="41">
        <f t="shared" si="138"/>
        <v>-66.83673076426453</v>
      </c>
      <c r="W2021" s="14"/>
      <c r="X2021" s="14" t="s">
        <v>58</v>
      </c>
      <c r="Z2021" s="14" t="s">
        <v>56</v>
      </c>
      <c r="AA2021" s="14"/>
      <c r="AB2021" s="14" t="s">
        <v>57</v>
      </c>
      <c r="AC2021" s="14">
        <v>2008</v>
      </c>
      <c r="AD2021" s="14">
        <v>4</v>
      </c>
      <c r="AE2021" s="14"/>
      <c r="AF2021" s="14"/>
      <c r="AG2021" s="14">
        <v>2007</v>
      </c>
      <c r="AH2021" s="14">
        <f t="shared" si="136"/>
        <v>1</v>
      </c>
      <c r="AI2021" s="17">
        <f t="shared" si="137"/>
        <v>5</v>
      </c>
      <c r="AJ2021" s="14"/>
      <c r="AK2021" s="14" t="s">
        <v>58</v>
      </c>
      <c r="AL2021" s="12" t="s">
        <v>437</v>
      </c>
      <c r="AM2021" s="14">
        <v>2013</v>
      </c>
      <c r="AN2021" s="12" t="s">
        <v>263</v>
      </c>
      <c r="AO2021" s="12" t="s">
        <v>56</v>
      </c>
      <c r="AP2021" s="12"/>
      <c r="AQ2021" s="12" t="s">
        <v>56</v>
      </c>
      <c r="AR2021" s="12" t="s">
        <v>58</v>
      </c>
      <c r="AS2021" s="12" t="s">
        <v>62</v>
      </c>
      <c r="AT2021" s="12"/>
      <c r="AU2021" s="45"/>
      <c r="AV2021" s="15"/>
      <c r="AW2021" s="12" t="str">
        <f>B2021&amp;C2021&amp;L2021&amp;M2021&amp;O2021&amp;U2021&amp;AL2021&amp;AM2021</f>
        <v>AustraliaBatemans Marine Park NetworkAchoerodus viridisdensity0.331632692357355Coleman2013</v>
      </c>
    </row>
    <row r="2022" spans="1:49" ht="14.5" x14ac:dyDescent="0.35">
      <c r="A2022" s="12">
        <v>2021</v>
      </c>
      <c r="B2022" s="12" t="s">
        <v>66</v>
      </c>
      <c r="C2022" s="12" t="s">
        <v>424</v>
      </c>
      <c r="D2022" s="15" t="s">
        <v>425</v>
      </c>
      <c r="E2022" s="12" t="s">
        <v>68</v>
      </c>
      <c r="F2022" s="13" t="s">
        <v>50</v>
      </c>
      <c r="G2022" s="13" t="s">
        <v>51</v>
      </c>
      <c r="H2022" s="13" t="s">
        <v>52</v>
      </c>
      <c r="I2022" s="13" t="s">
        <v>53</v>
      </c>
      <c r="J2022" s="14">
        <v>161.5</v>
      </c>
      <c r="K2022" s="17"/>
      <c r="L2022" s="14"/>
      <c r="M2022" s="14" t="s">
        <v>69</v>
      </c>
      <c r="N2022" s="14" t="s">
        <v>1070</v>
      </c>
      <c r="O2022" s="17" t="s">
        <v>55</v>
      </c>
      <c r="P2022" s="14"/>
      <c r="Q2022" s="14"/>
      <c r="R2022" s="14"/>
      <c r="S2022" s="14">
        <v>7.6984130000000004</v>
      </c>
      <c r="T2022" s="14">
        <v>4.6507940000000003</v>
      </c>
      <c r="U2022" s="19">
        <f t="shared" si="139"/>
        <v>0.60412373303432798</v>
      </c>
      <c r="V2022" s="41">
        <f t="shared" si="138"/>
        <v>-39.587626696567199</v>
      </c>
      <c r="W2022" s="14"/>
      <c r="X2022" s="14" t="s">
        <v>58</v>
      </c>
      <c r="Z2022" s="14" t="s">
        <v>56</v>
      </c>
      <c r="AA2022" s="14"/>
      <c r="AB2022" s="14" t="s">
        <v>57</v>
      </c>
      <c r="AC2022" s="14">
        <v>2008</v>
      </c>
      <c r="AD2022" s="14">
        <v>4</v>
      </c>
      <c r="AE2022" s="14"/>
      <c r="AF2022" s="14"/>
      <c r="AG2022" s="14">
        <v>2007</v>
      </c>
      <c r="AH2022" s="14">
        <f t="shared" si="136"/>
        <v>1</v>
      </c>
      <c r="AI2022" s="17">
        <f t="shared" si="137"/>
        <v>5</v>
      </c>
      <c r="AJ2022" s="14"/>
      <c r="AK2022" s="14" t="s">
        <v>58</v>
      </c>
      <c r="AL2022" s="12" t="s">
        <v>437</v>
      </c>
      <c r="AM2022" s="14">
        <v>2013</v>
      </c>
      <c r="AN2022" s="12" t="s">
        <v>263</v>
      </c>
      <c r="AO2022" s="12" t="s">
        <v>56</v>
      </c>
      <c r="AP2022" s="12"/>
      <c r="AQ2022" s="12" t="s">
        <v>56</v>
      </c>
      <c r="AR2022" s="12" t="s">
        <v>58</v>
      </c>
      <c r="AS2022" s="12" t="s">
        <v>62</v>
      </c>
      <c r="AT2022" s="12"/>
      <c r="AU2022" s="45"/>
      <c r="AV2022" s="15"/>
      <c r="AW2022" s="12" t="str">
        <f>B2022&amp;C2022&amp;L2022&amp;M2022&amp;O2022&amp;U2022&amp;AL2022&amp;AM2022</f>
        <v>AustraliaBatemans Marine Park Networkfishrichness0.604123733034328Coleman2013</v>
      </c>
    </row>
    <row r="2023" spans="1:49" ht="14.5" x14ac:dyDescent="0.35">
      <c r="A2023" s="12">
        <v>2022</v>
      </c>
      <c r="B2023" s="12" t="s">
        <v>66</v>
      </c>
      <c r="C2023" s="12" t="s">
        <v>424</v>
      </c>
      <c r="D2023" s="15" t="s">
        <v>425</v>
      </c>
      <c r="E2023" s="12" t="s">
        <v>68</v>
      </c>
      <c r="F2023" s="13" t="s">
        <v>50</v>
      </c>
      <c r="G2023" s="13" t="s">
        <v>51</v>
      </c>
      <c r="H2023" s="13" t="s">
        <v>52</v>
      </c>
      <c r="I2023" s="13" t="s">
        <v>53</v>
      </c>
      <c r="J2023" s="14">
        <v>161.5</v>
      </c>
      <c r="K2023" s="17"/>
      <c r="L2023" s="14" t="s">
        <v>441</v>
      </c>
      <c r="M2023"/>
      <c r="N2023" s="14" t="s">
        <v>85</v>
      </c>
      <c r="O2023" s="17" t="s">
        <v>86</v>
      </c>
      <c r="P2023" s="14"/>
      <c r="Q2023" s="14"/>
      <c r="R2023" s="14"/>
      <c r="S2023" s="14">
        <v>351.35140000000001</v>
      </c>
      <c r="T2023" s="14">
        <v>774.77480000000003</v>
      </c>
      <c r="U2023" s="19">
        <f t="shared" si="139"/>
        <v>2.2051279715976655</v>
      </c>
      <c r="V2023" s="41">
        <f t="shared" si="138"/>
        <v>120.51279715976655</v>
      </c>
      <c r="W2023" s="14"/>
      <c r="X2023" s="14" t="s">
        <v>58</v>
      </c>
      <c r="Z2023" s="14" t="s">
        <v>56</v>
      </c>
      <c r="AA2023" s="14"/>
      <c r="AB2023" s="14" t="s">
        <v>57</v>
      </c>
      <c r="AC2023" s="14">
        <v>2008</v>
      </c>
      <c r="AD2023" s="14">
        <v>4</v>
      </c>
      <c r="AE2023" s="14"/>
      <c r="AF2023" s="14"/>
      <c r="AG2023" s="14">
        <v>2007</v>
      </c>
      <c r="AH2023" s="14">
        <f t="shared" si="136"/>
        <v>1</v>
      </c>
      <c r="AI2023" s="17">
        <f t="shared" si="137"/>
        <v>5</v>
      </c>
      <c r="AJ2023" s="14"/>
      <c r="AK2023" s="14" t="s">
        <v>58</v>
      </c>
      <c r="AL2023" s="12" t="s">
        <v>437</v>
      </c>
      <c r="AM2023" s="14">
        <v>2013</v>
      </c>
      <c r="AN2023" s="12" t="s">
        <v>263</v>
      </c>
      <c r="AO2023" s="12" t="s">
        <v>56</v>
      </c>
      <c r="AP2023" s="12"/>
      <c r="AQ2023" s="12" t="s">
        <v>56</v>
      </c>
      <c r="AR2023" s="12" t="s">
        <v>58</v>
      </c>
      <c r="AS2023" s="12" t="s">
        <v>62</v>
      </c>
      <c r="AT2023" s="12"/>
      <c r="AU2023" s="45"/>
      <c r="AV2023" s="15"/>
      <c r="AW2023" s="12" t="str">
        <f>B2023&amp;C2023&amp;L2023&amp;M2023&amp;O2023&amp;U2023&amp;AL2023&amp;AM2023</f>
        <v>AustraliaBatemans Marine Park NetworkAstratium tentoriformisdensity2.20512797159767Coleman2013</v>
      </c>
    </row>
    <row r="2024" spans="1:49" ht="14.5" x14ac:dyDescent="0.35">
      <c r="A2024" s="12">
        <v>2023</v>
      </c>
      <c r="B2024" s="12" t="s">
        <v>66</v>
      </c>
      <c r="C2024" s="12" t="s">
        <v>424</v>
      </c>
      <c r="D2024" s="15" t="s">
        <v>425</v>
      </c>
      <c r="E2024" s="12" t="s">
        <v>68</v>
      </c>
      <c r="F2024" s="13" t="s">
        <v>50</v>
      </c>
      <c r="G2024" s="13" t="s">
        <v>51</v>
      </c>
      <c r="H2024" s="13" t="s">
        <v>52</v>
      </c>
      <c r="I2024" s="13" t="s">
        <v>53</v>
      </c>
      <c r="J2024" s="14">
        <v>161.5</v>
      </c>
      <c r="K2024" s="17"/>
      <c r="L2024" s="14" t="s">
        <v>442</v>
      </c>
      <c r="M2024" s="14"/>
      <c r="N2024" s="14" t="s">
        <v>85</v>
      </c>
      <c r="O2024" s="17" t="s">
        <v>86</v>
      </c>
      <c r="P2024" s="14"/>
      <c r="Q2024" s="14"/>
      <c r="R2024" s="14"/>
      <c r="S2024" s="14">
        <v>217.05430000000001</v>
      </c>
      <c r="T2024" s="14">
        <v>127.907</v>
      </c>
      <c r="U2024" s="19">
        <f t="shared" si="139"/>
        <v>0.58928572251275368</v>
      </c>
      <c r="V2024" s="41">
        <f t="shared" si="138"/>
        <v>-41.071427748724631</v>
      </c>
      <c r="W2024" s="14"/>
      <c r="X2024" s="14" t="s">
        <v>58</v>
      </c>
      <c r="Z2024" s="14" t="s">
        <v>56</v>
      </c>
      <c r="AA2024" s="14"/>
      <c r="AB2024" s="14" t="s">
        <v>57</v>
      </c>
      <c r="AC2024" s="14">
        <v>2008</v>
      </c>
      <c r="AD2024" s="14">
        <v>4</v>
      </c>
      <c r="AE2024" s="14"/>
      <c r="AF2024" s="14"/>
      <c r="AG2024" s="14">
        <v>2007</v>
      </c>
      <c r="AH2024" s="14">
        <f t="shared" si="136"/>
        <v>1</v>
      </c>
      <c r="AI2024" s="17">
        <f t="shared" si="137"/>
        <v>5</v>
      </c>
      <c r="AJ2024" s="14"/>
      <c r="AK2024" s="14" t="s">
        <v>58</v>
      </c>
      <c r="AL2024" s="12" t="s">
        <v>437</v>
      </c>
      <c r="AM2024" s="14">
        <v>2013</v>
      </c>
      <c r="AN2024" s="12" t="s">
        <v>263</v>
      </c>
      <c r="AO2024" s="12" t="s">
        <v>56</v>
      </c>
      <c r="AP2024" s="12"/>
      <c r="AQ2024" s="12" t="s">
        <v>56</v>
      </c>
      <c r="AR2024" s="12" t="s">
        <v>58</v>
      </c>
      <c r="AS2024" s="12" t="s">
        <v>62</v>
      </c>
      <c r="AT2024" s="12"/>
      <c r="AU2024" s="45"/>
      <c r="AV2024" s="15"/>
      <c r="AW2024" s="12" t="str">
        <f>B2024&amp;C2024&amp;L2024&amp;M2024&amp;O2024&amp;U2024&amp;AL2024&amp;AM2024</f>
        <v>AustraliaBatemans Marine Park NetworkTurbo torquatusdensity0.589285722512754Coleman2013</v>
      </c>
    </row>
    <row r="2025" spans="1:49" ht="14.5" x14ac:dyDescent="0.35">
      <c r="A2025" s="12">
        <v>2024</v>
      </c>
      <c r="B2025" s="12" t="s">
        <v>66</v>
      </c>
      <c r="C2025" s="12" t="s">
        <v>424</v>
      </c>
      <c r="D2025" s="15" t="s">
        <v>425</v>
      </c>
      <c r="E2025" s="12" t="s">
        <v>68</v>
      </c>
      <c r="F2025" s="13" t="s">
        <v>50</v>
      </c>
      <c r="G2025" s="13" t="s">
        <v>51</v>
      </c>
      <c r="H2025" s="13" t="s">
        <v>52</v>
      </c>
      <c r="I2025" s="13" t="s">
        <v>53</v>
      </c>
      <c r="J2025" s="14">
        <v>161.5</v>
      </c>
      <c r="K2025" s="17"/>
      <c r="L2025" s="14" t="s">
        <v>443</v>
      </c>
      <c r="M2025"/>
      <c r="N2025" s="14" t="s">
        <v>85</v>
      </c>
      <c r="O2025" s="17" t="s">
        <v>86</v>
      </c>
      <c r="P2025" s="14"/>
      <c r="Q2025" s="14"/>
      <c r="R2025" s="14"/>
      <c r="S2025" s="14">
        <v>62.551439999999999</v>
      </c>
      <c r="T2025" s="14">
        <v>142.38679999999999</v>
      </c>
      <c r="U2025" s="19">
        <f t="shared" si="139"/>
        <v>2.2763153014542912</v>
      </c>
      <c r="V2025" s="41">
        <f t="shared" si="138"/>
        <v>127.63153014542911</v>
      </c>
      <c r="W2025" s="14"/>
      <c r="X2025" s="14" t="s">
        <v>58</v>
      </c>
      <c r="Z2025" s="14" t="s">
        <v>56</v>
      </c>
      <c r="AA2025" s="14"/>
      <c r="AB2025" s="14" t="s">
        <v>57</v>
      </c>
      <c r="AC2025" s="14">
        <v>2008</v>
      </c>
      <c r="AD2025" s="14">
        <v>4</v>
      </c>
      <c r="AE2025" s="14"/>
      <c r="AF2025" s="14"/>
      <c r="AG2025" s="14">
        <v>2007</v>
      </c>
      <c r="AH2025" s="14">
        <f t="shared" si="136"/>
        <v>1</v>
      </c>
      <c r="AI2025" s="17">
        <f t="shared" si="137"/>
        <v>5</v>
      </c>
      <c r="AJ2025" s="14"/>
      <c r="AK2025" s="14" t="s">
        <v>58</v>
      </c>
      <c r="AL2025" s="12" t="s">
        <v>437</v>
      </c>
      <c r="AM2025" s="14">
        <v>2013</v>
      </c>
      <c r="AN2025" s="12" t="s">
        <v>263</v>
      </c>
      <c r="AO2025" s="12" t="s">
        <v>56</v>
      </c>
      <c r="AP2025" s="12"/>
      <c r="AQ2025" s="12" t="s">
        <v>56</v>
      </c>
      <c r="AR2025" s="12" t="s">
        <v>58</v>
      </c>
      <c r="AS2025" s="12" t="s">
        <v>62</v>
      </c>
      <c r="AT2025" s="12"/>
      <c r="AU2025" s="45"/>
      <c r="AV2025" s="15"/>
      <c r="AW2025" s="12" t="str">
        <f>B2025&amp;C2025&amp;L2025&amp;M2025&amp;O2025&amp;U2025&amp;AL2025&amp;AM2025</f>
        <v>AustraliaBatemans Marine Park NetworkHaliotis rubradensity2.27631530145429Coleman2013</v>
      </c>
    </row>
    <row r="2026" spans="1:49" ht="14.5" x14ac:dyDescent="0.35">
      <c r="A2026" s="12">
        <v>2025</v>
      </c>
      <c r="B2026" s="12" t="s">
        <v>66</v>
      </c>
      <c r="C2026" s="12" t="s">
        <v>424</v>
      </c>
      <c r="D2026" s="12" t="s">
        <v>425</v>
      </c>
      <c r="E2026" s="12" t="s">
        <v>68</v>
      </c>
      <c r="F2026" s="13" t="s">
        <v>50</v>
      </c>
      <c r="G2026" s="13" t="s">
        <v>51</v>
      </c>
      <c r="H2026" s="13" t="s">
        <v>52</v>
      </c>
      <c r="I2026" s="13" t="s">
        <v>53</v>
      </c>
      <c r="J2026" s="14">
        <v>161.5</v>
      </c>
      <c r="K2026" s="17"/>
      <c r="L2026" s="14" t="s">
        <v>444</v>
      </c>
      <c r="M2026"/>
      <c r="N2026" s="14" t="s">
        <v>85</v>
      </c>
      <c r="O2026" s="17" t="s">
        <v>86</v>
      </c>
      <c r="P2026" s="14"/>
      <c r="Q2026" s="14"/>
      <c r="R2026" s="14"/>
      <c r="S2026" s="14">
        <v>1968.2539999999999</v>
      </c>
      <c r="T2026" s="14">
        <v>555.55560000000003</v>
      </c>
      <c r="U2026" s="19">
        <f t="shared" si="139"/>
        <v>0.28225808254422452</v>
      </c>
      <c r="V2026" s="41">
        <f t="shared" si="138"/>
        <v>-71.774191745577554</v>
      </c>
      <c r="W2026" s="14"/>
      <c r="X2026" s="14" t="s">
        <v>58</v>
      </c>
      <c r="Z2026" s="14" t="s">
        <v>56</v>
      </c>
      <c r="AA2026" s="14"/>
      <c r="AB2026" s="14" t="s">
        <v>57</v>
      </c>
      <c r="AC2026" s="14">
        <v>2008</v>
      </c>
      <c r="AD2026" s="14">
        <v>4</v>
      </c>
      <c r="AE2026" s="14"/>
      <c r="AF2026" s="14"/>
      <c r="AG2026" s="14">
        <v>2007</v>
      </c>
      <c r="AH2026" s="14">
        <f t="shared" si="136"/>
        <v>1</v>
      </c>
      <c r="AI2026" s="17">
        <f t="shared" si="137"/>
        <v>5</v>
      </c>
      <c r="AJ2026" s="14"/>
      <c r="AK2026" s="14" t="s">
        <v>58</v>
      </c>
      <c r="AL2026" s="12" t="s">
        <v>437</v>
      </c>
      <c r="AM2026" s="14">
        <v>2013</v>
      </c>
      <c r="AN2026" s="12" t="s">
        <v>263</v>
      </c>
      <c r="AO2026" s="12" t="s">
        <v>56</v>
      </c>
      <c r="AP2026" s="12"/>
      <c r="AQ2026" s="12" t="s">
        <v>56</v>
      </c>
      <c r="AR2026" s="12" t="s">
        <v>58</v>
      </c>
      <c r="AS2026" s="12" t="s">
        <v>62</v>
      </c>
      <c r="AT2026" s="12"/>
      <c r="AU2026" s="45"/>
      <c r="AV2026" s="15"/>
      <c r="AW2026" s="12" t="str">
        <f>B2026&amp;C2026&amp;L2026&amp;M2026&amp;O2026&amp;U2026&amp;AL2026&amp;AM2026</f>
        <v>AustraliaBatemans Marine Park NetworkCentrostephanus rodgersiidensity0.282258082544225Coleman2013</v>
      </c>
    </row>
    <row r="2027" spans="1:49" ht="14.5" x14ac:dyDescent="0.35">
      <c r="A2027" s="12">
        <v>2026</v>
      </c>
      <c r="B2027" s="12" t="s">
        <v>66</v>
      </c>
      <c r="C2027" s="12" t="s">
        <v>424</v>
      </c>
      <c r="D2027" s="12" t="s">
        <v>425</v>
      </c>
      <c r="E2027" s="12" t="s">
        <v>68</v>
      </c>
      <c r="F2027" s="13" t="s">
        <v>50</v>
      </c>
      <c r="G2027" s="13" t="s">
        <v>51</v>
      </c>
      <c r="H2027" s="13" t="s">
        <v>52</v>
      </c>
      <c r="I2027" s="13" t="s">
        <v>53</v>
      </c>
      <c r="J2027" s="14">
        <v>161.5</v>
      </c>
      <c r="K2027" s="14"/>
      <c r="L2027" s="14" t="s">
        <v>445</v>
      </c>
      <c r="M2027" s="14" t="s">
        <v>97</v>
      </c>
      <c r="N2027" s="14" t="s">
        <v>446</v>
      </c>
      <c r="O2027" s="14" t="s">
        <v>86</v>
      </c>
      <c r="P2027" s="14"/>
      <c r="Q2027" s="14"/>
      <c r="R2027" s="14"/>
      <c r="S2027" s="14">
        <v>10292.4</v>
      </c>
      <c r="T2027" s="14">
        <v>935.67250000000001</v>
      </c>
      <c r="U2027" s="19">
        <f t="shared" si="139"/>
        <v>9.0909068827484368E-2</v>
      </c>
      <c r="V2027" s="41">
        <f t="shared" si="138"/>
        <v>-90.909093117251558</v>
      </c>
      <c r="W2027" s="14"/>
      <c r="X2027" s="14" t="s">
        <v>58</v>
      </c>
      <c r="Z2027" s="14" t="s">
        <v>56</v>
      </c>
      <c r="AA2027" s="14"/>
      <c r="AB2027" s="14" t="s">
        <v>57</v>
      </c>
      <c r="AC2027" s="14">
        <v>2008</v>
      </c>
      <c r="AD2027" s="14">
        <v>4</v>
      </c>
      <c r="AE2027" s="14"/>
      <c r="AF2027" s="14"/>
      <c r="AG2027" s="14">
        <v>2007</v>
      </c>
      <c r="AH2027" s="14">
        <f t="shared" si="136"/>
        <v>1</v>
      </c>
      <c r="AI2027" s="17">
        <f t="shared" si="137"/>
        <v>5</v>
      </c>
      <c r="AJ2027" s="14"/>
      <c r="AK2027" s="14" t="s">
        <v>58</v>
      </c>
      <c r="AL2027" s="12" t="s">
        <v>437</v>
      </c>
      <c r="AM2027" s="14">
        <v>2013</v>
      </c>
      <c r="AN2027" s="12" t="s">
        <v>263</v>
      </c>
      <c r="AO2027" s="12" t="s">
        <v>56</v>
      </c>
      <c r="AP2027" s="12"/>
      <c r="AQ2027" s="12" t="s">
        <v>56</v>
      </c>
      <c r="AR2027" s="12" t="s">
        <v>58</v>
      </c>
      <c r="AS2027" s="12" t="s">
        <v>62</v>
      </c>
      <c r="AT2027" s="12"/>
      <c r="AU2027" s="45"/>
      <c r="AV2027" s="15"/>
      <c r="AW2027" s="12" t="str">
        <f>B2027&amp;C2027&amp;L2027&amp;M2027&amp;O2027&amp;U2027&amp;AL2027&amp;AM2027</f>
        <v>AustraliaBatemans Marine Park NetworkEchinoideaUrchinsdensity0.0909090688274844Coleman2013</v>
      </c>
    </row>
    <row r="2028" spans="1:49" ht="14.5" x14ac:dyDescent="0.35">
      <c r="A2028" s="12">
        <v>2027</v>
      </c>
      <c r="B2028" s="12" t="s">
        <v>66</v>
      </c>
      <c r="C2028" s="15" t="s">
        <v>424</v>
      </c>
      <c r="D2028" s="15" t="s">
        <v>425</v>
      </c>
      <c r="E2028" s="15" t="s">
        <v>68</v>
      </c>
      <c r="F2028" s="16" t="s">
        <v>50</v>
      </c>
      <c r="G2028" s="16" t="s">
        <v>51</v>
      </c>
      <c r="H2028" s="16" t="s">
        <v>52</v>
      </c>
      <c r="I2028" s="16" t="s">
        <v>53</v>
      </c>
      <c r="J2028" s="14">
        <v>161.5</v>
      </c>
      <c r="K2028" s="17"/>
      <c r="L2028" s="17" t="s">
        <v>447</v>
      </c>
      <c r="M2028" s="17"/>
      <c r="N2028" s="14" t="s">
        <v>85</v>
      </c>
      <c r="O2028" s="17" t="s">
        <v>86</v>
      </c>
      <c r="P2028" s="17"/>
      <c r="Q2028" s="17"/>
      <c r="R2028" s="17"/>
      <c r="S2028" s="17">
        <v>66.666669999999996</v>
      </c>
      <c r="T2028" s="17">
        <v>468.51850000000002</v>
      </c>
      <c r="U2028" s="19">
        <f t="shared" si="139"/>
        <v>7.0277771486111433</v>
      </c>
      <c r="V2028" s="41">
        <f t="shared" si="138"/>
        <v>602.7777148611143</v>
      </c>
      <c r="W2028" s="17"/>
      <c r="X2028" s="17" t="s">
        <v>58</v>
      </c>
      <c r="Y2028" s="17"/>
      <c r="Z2028" s="17" t="s">
        <v>56</v>
      </c>
      <c r="AA2028" s="17"/>
      <c r="AB2028" s="17" t="s">
        <v>57</v>
      </c>
      <c r="AC2028" s="17">
        <v>2008</v>
      </c>
      <c r="AD2028" s="17">
        <v>4</v>
      </c>
      <c r="AE2028" s="17"/>
      <c r="AF2028" s="17"/>
      <c r="AG2028" s="17">
        <v>2007</v>
      </c>
      <c r="AH2028" s="14">
        <f t="shared" si="136"/>
        <v>1</v>
      </c>
      <c r="AI2028" s="17">
        <f t="shared" si="137"/>
        <v>5</v>
      </c>
      <c r="AJ2028" s="17"/>
      <c r="AK2028" s="17" t="s">
        <v>58</v>
      </c>
      <c r="AL2028" s="15" t="s">
        <v>437</v>
      </c>
      <c r="AM2028" s="17">
        <v>2013</v>
      </c>
      <c r="AN2028" s="12" t="s">
        <v>263</v>
      </c>
      <c r="AO2028" s="15" t="s">
        <v>56</v>
      </c>
      <c r="AP2028" s="15"/>
      <c r="AQ2028" s="15" t="s">
        <v>56</v>
      </c>
      <c r="AR2028" s="15" t="s">
        <v>58</v>
      </c>
      <c r="AS2028" s="15" t="s">
        <v>62</v>
      </c>
      <c r="AT2028" s="12"/>
      <c r="AU2028" s="45"/>
      <c r="AV2028" s="15"/>
      <c r="AW2028" s="12" t="str">
        <f>B2028&amp;C2028&amp;L2028&amp;M2028&amp;O2028&amp;U2028&amp;AL2028&amp;AM2028</f>
        <v>AustraliaBatemans Marine Park NetworkPhyllospora comosadensity7.02777714861114Coleman2013</v>
      </c>
    </row>
    <row r="2029" spans="1:49" ht="14.5" x14ac:dyDescent="0.35">
      <c r="A2029" s="12">
        <v>2028</v>
      </c>
      <c r="B2029" s="12" t="s">
        <v>66</v>
      </c>
      <c r="C2029" s="15" t="s">
        <v>424</v>
      </c>
      <c r="D2029" s="15" t="s">
        <v>425</v>
      </c>
      <c r="E2029" s="15" t="s">
        <v>68</v>
      </c>
      <c r="F2029" s="16" t="s">
        <v>50</v>
      </c>
      <c r="G2029" s="16" t="s">
        <v>51</v>
      </c>
      <c r="H2029" s="16" t="s">
        <v>52</v>
      </c>
      <c r="I2029" s="16" t="s">
        <v>53</v>
      </c>
      <c r="J2029" s="14">
        <v>161.5</v>
      </c>
      <c r="K2029" s="17"/>
      <c r="L2029" s="14" t="s">
        <v>1316</v>
      </c>
      <c r="M2029" s="17"/>
      <c r="N2029" s="17" t="s">
        <v>120</v>
      </c>
      <c r="O2029" s="17" t="s">
        <v>86</v>
      </c>
      <c r="P2029" s="17"/>
      <c r="Q2029" s="17"/>
      <c r="R2029" s="17"/>
      <c r="S2029" s="17">
        <v>14.1844</v>
      </c>
      <c r="T2029" s="17">
        <v>234.04259999999999</v>
      </c>
      <c r="U2029" s="20">
        <f t="shared" si="139"/>
        <v>16.5</v>
      </c>
      <c r="V2029" s="41">
        <f t="shared" si="138"/>
        <v>1550</v>
      </c>
      <c r="W2029" s="17"/>
      <c r="X2029" s="17" t="s">
        <v>58</v>
      </c>
      <c r="Y2029" s="17"/>
      <c r="Z2029" s="17" t="s">
        <v>56</v>
      </c>
      <c r="AA2029" s="17"/>
      <c r="AB2029" s="17" t="s">
        <v>57</v>
      </c>
      <c r="AC2029" s="17">
        <v>2008</v>
      </c>
      <c r="AD2029" s="17">
        <v>4</v>
      </c>
      <c r="AE2029" s="17"/>
      <c r="AF2029" s="17"/>
      <c r="AG2029" s="17">
        <v>2007</v>
      </c>
      <c r="AH2029" s="14">
        <f t="shared" si="136"/>
        <v>1</v>
      </c>
      <c r="AI2029" s="17">
        <f t="shared" si="137"/>
        <v>5</v>
      </c>
      <c r="AJ2029" s="17"/>
      <c r="AK2029" s="17" t="s">
        <v>58</v>
      </c>
      <c r="AL2029" s="15" t="s">
        <v>437</v>
      </c>
      <c r="AM2029" s="17">
        <v>2013</v>
      </c>
      <c r="AN2029" s="12" t="s">
        <v>263</v>
      </c>
      <c r="AO2029" s="15" t="s">
        <v>56</v>
      </c>
      <c r="AP2029" s="15"/>
      <c r="AQ2029" s="15" t="s">
        <v>56</v>
      </c>
      <c r="AR2029" s="15" t="s">
        <v>58</v>
      </c>
      <c r="AS2029" s="15" t="s">
        <v>62</v>
      </c>
      <c r="AT2029" s="15"/>
      <c r="AU2029" s="45"/>
      <c r="AV2029" s="15"/>
      <c r="AW2029" s="12" t="str">
        <f>B2029&amp;C2029&amp;L2029&amp;M2029&amp;O2029&amp;U2029&amp;AL2029&amp;AM2029</f>
        <v>AustraliaBatemans Marine Park NetworkSargassum spp.density16.5Coleman2013</v>
      </c>
    </row>
    <row r="2030" spans="1:49" ht="14.5" x14ac:dyDescent="0.35">
      <c r="A2030" s="12">
        <v>2029</v>
      </c>
      <c r="B2030" s="12" t="s">
        <v>66</v>
      </c>
      <c r="C2030" s="15" t="s">
        <v>424</v>
      </c>
      <c r="D2030" s="15" t="s">
        <v>425</v>
      </c>
      <c r="E2030" s="15" t="s">
        <v>68</v>
      </c>
      <c r="F2030" s="16" t="s">
        <v>50</v>
      </c>
      <c r="G2030" s="16" t="s">
        <v>51</v>
      </c>
      <c r="H2030" s="16" t="s">
        <v>52</v>
      </c>
      <c r="I2030" s="16" t="s">
        <v>53</v>
      </c>
      <c r="J2030" s="14">
        <v>161.5</v>
      </c>
      <c r="K2030" s="17"/>
      <c r="L2030" s="17" t="s">
        <v>433</v>
      </c>
      <c r="M2030" s="17"/>
      <c r="N2030" s="14" t="s">
        <v>85</v>
      </c>
      <c r="O2030" s="17" t="s">
        <v>86</v>
      </c>
      <c r="P2030" s="17"/>
      <c r="Q2030" s="17"/>
      <c r="R2030" s="17"/>
      <c r="S2030" s="17">
        <v>99.346410000000006</v>
      </c>
      <c r="T2030" s="17">
        <v>385.62090000000001</v>
      </c>
      <c r="U2030" s="19">
        <f t="shared" si="139"/>
        <v>3.8815786096347114</v>
      </c>
      <c r="V2030" s="41">
        <f t="shared" si="138"/>
        <v>288.15786096347114</v>
      </c>
      <c r="W2030" s="17"/>
      <c r="X2030" s="17" t="s">
        <v>58</v>
      </c>
      <c r="Y2030" s="17"/>
      <c r="Z2030" s="17" t="s">
        <v>56</v>
      </c>
      <c r="AA2030" s="17"/>
      <c r="AB2030" s="17" t="s">
        <v>57</v>
      </c>
      <c r="AC2030" s="17">
        <v>2008</v>
      </c>
      <c r="AD2030" s="17">
        <v>4</v>
      </c>
      <c r="AE2030" s="17"/>
      <c r="AF2030" s="17"/>
      <c r="AG2030" s="17">
        <v>2007</v>
      </c>
      <c r="AH2030" s="14">
        <f t="shared" si="136"/>
        <v>1</v>
      </c>
      <c r="AI2030" s="17">
        <f t="shared" si="137"/>
        <v>5</v>
      </c>
      <c r="AJ2030" s="17"/>
      <c r="AK2030" s="17" t="s">
        <v>58</v>
      </c>
      <c r="AL2030" s="15" t="s">
        <v>437</v>
      </c>
      <c r="AM2030" s="17">
        <v>2013</v>
      </c>
      <c r="AN2030" s="12" t="s">
        <v>263</v>
      </c>
      <c r="AO2030" s="15" t="s">
        <v>56</v>
      </c>
      <c r="AP2030" s="15"/>
      <c r="AQ2030" s="15" t="s">
        <v>56</v>
      </c>
      <c r="AR2030" s="15" t="s">
        <v>58</v>
      </c>
      <c r="AS2030" s="15" t="s">
        <v>62</v>
      </c>
      <c r="AT2030" s="12"/>
      <c r="AU2030" s="45"/>
      <c r="AV2030" s="15"/>
      <c r="AW2030" s="12" t="str">
        <f>B2030&amp;C2030&amp;L2030&amp;M2030&amp;O2030&amp;U2030&amp;AL2030&amp;AM2030</f>
        <v>AustraliaBatemans Marine Park NetworkEcklonia radiatadensity3.88157860963471Coleman2013</v>
      </c>
    </row>
    <row r="2031" spans="1:49" ht="14.5" x14ac:dyDescent="0.35">
      <c r="A2031" s="12">
        <v>2030</v>
      </c>
      <c r="B2031" s="15" t="s">
        <v>66</v>
      </c>
      <c r="C2031" s="15" t="s">
        <v>424</v>
      </c>
      <c r="D2031" s="15" t="s">
        <v>425</v>
      </c>
      <c r="E2031" s="15" t="s">
        <v>68</v>
      </c>
      <c r="F2031" s="16" t="s">
        <v>50</v>
      </c>
      <c r="G2031" s="16" t="s">
        <v>51</v>
      </c>
      <c r="H2031" s="16" t="s">
        <v>52</v>
      </c>
      <c r="I2031" s="16" t="s">
        <v>53</v>
      </c>
      <c r="J2031" s="17">
        <v>161.5</v>
      </c>
      <c r="K2031" s="17"/>
      <c r="L2031" s="17"/>
      <c r="M2031" s="17" t="s">
        <v>449</v>
      </c>
      <c r="N2031" s="53" t="s">
        <v>98</v>
      </c>
      <c r="O2031" s="17" t="s">
        <v>86</v>
      </c>
      <c r="P2031" s="17"/>
      <c r="Q2031" s="17"/>
      <c r="R2031" s="17"/>
      <c r="S2031" s="17">
        <v>328.45530000000002</v>
      </c>
      <c r="T2031" s="17">
        <v>76.422759999999997</v>
      </c>
      <c r="U2031" s="20">
        <f t="shared" si="139"/>
        <v>0.23267324351289198</v>
      </c>
      <c r="V2031" s="41">
        <f t="shared" si="138"/>
        <v>-76.732675648710796</v>
      </c>
      <c r="W2031" s="17"/>
      <c r="X2031" s="17" t="s">
        <v>58</v>
      </c>
      <c r="Y2031" s="17"/>
      <c r="Z2031" s="17" t="s">
        <v>56</v>
      </c>
      <c r="AA2031" s="17"/>
      <c r="AB2031" s="17" t="s">
        <v>57</v>
      </c>
      <c r="AC2031" s="17">
        <v>2008</v>
      </c>
      <c r="AD2031" s="17">
        <v>4</v>
      </c>
      <c r="AE2031" s="17"/>
      <c r="AF2031" s="17"/>
      <c r="AG2031" s="17">
        <v>2007</v>
      </c>
      <c r="AH2031" s="14">
        <f t="shared" si="136"/>
        <v>1</v>
      </c>
      <c r="AI2031" s="17">
        <f t="shared" si="137"/>
        <v>5</v>
      </c>
      <c r="AJ2031" s="17"/>
      <c r="AK2031" s="17" t="s">
        <v>58</v>
      </c>
      <c r="AL2031" s="15" t="s">
        <v>437</v>
      </c>
      <c r="AM2031" s="17">
        <v>2013</v>
      </c>
      <c r="AN2031" s="15" t="s">
        <v>263</v>
      </c>
      <c r="AO2031" s="15" t="s">
        <v>56</v>
      </c>
      <c r="AP2031" s="15"/>
      <c r="AQ2031" s="15" t="s">
        <v>56</v>
      </c>
      <c r="AR2031" s="15" t="s">
        <v>58</v>
      </c>
      <c r="AS2031" s="15" t="s">
        <v>62</v>
      </c>
      <c r="AT2031" s="15"/>
      <c r="AU2031" s="45"/>
      <c r="AV2031" s="15"/>
      <c r="AW2031" s="12" t="str">
        <f>B2031&amp;C2031&amp;L2031&amp;M2031&amp;O2031&amp;U2031&amp;AL2031&amp;AM2031</f>
        <v>AustraliaBatemans Marine Park NetworkBarrensdensity0.232673243512892Coleman2013</v>
      </c>
    </row>
    <row r="2032" spans="1:49" ht="14.5" x14ac:dyDescent="0.35">
      <c r="A2032" s="12">
        <v>2031</v>
      </c>
      <c r="B2032" s="15" t="s">
        <v>66</v>
      </c>
      <c r="C2032" s="15" t="s">
        <v>424</v>
      </c>
      <c r="D2032" s="15" t="s">
        <v>425</v>
      </c>
      <c r="E2032" s="12" t="s">
        <v>68</v>
      </c>
      <c r="F2032" s="13" t="s">
        <v>50</v>
      </c>
      <c r="G2032" s="13" t="s">
        <v>51</v>
      </c>
      <c r="H2032" s="16" t="s">
        <v>52</v>
      </c>
      <c r="I2032" s="16" t="s">
        <v>53</v>
      </c>
      <c r="J2032" s="17">
        <v>161.5</v>
      </c>
      <c r="K2032" s="17"/>
      <c r="L2032" s="17"/>
      <c r="M2032" s="17" t="s">
        <v>450</v>
      </c>
      <c r="N2032" s="53" t="s">
        <v>98</v>
      </c>
      <c r="O2032" s="17" t="s">
        <v>86</v>
      </c>
      <c r="P2032" s="17"/>
      <c r="Q2032" s="17"/>
      <c r="R2032" s="17"/>
      <c r="S2032" s="17">
        <v>265.56779999999998</v>
      </c>
      <c r="T2032" s="17">
        <v>245.4212</v>
      </c>
      <c r="U2032" s="19">
        <f t="shared" si="139"/>
        <v>0.92413764018077504</v>
      </c>
      <c r="V2032" s="41">
        <f t="shared" si="138"/>
        <v>-7.5862359819224956</v>
      </c>
      <c r="W2032" s="14"/>
      <c r="X2032" s="17" t="s">
        <v>58</v>
      </c>
      <c r="Z2032" s="17" t="s">
        <v>56</v>
      </c>
      <c r="AA2032" s="17"/>
      <c r="AB2032" s="17" t="s">
        <v>57</v>
      </c>
      <c r="AC2032" s="17">
        <v>2008</v>
      </c>
      <c r="AD2032" s="17">
        <v>4</v>
      </c>
      <c r="AE2032" s="17"/>
      <c r="AF2032" s="17"/>
      <c r="AG2032" s="17">
        <v>2007</v>
      </c>
      <c r="AH2032" s="14">
        <f t="shared" si="136"/>
        <v>1</v>
      </c>
      <c r="AI2032" s="17">
        <f t="shared" si="137"/>
        <v>5</v>
      </c>
      <c r="AJ2032" s="17"/>
      <c r="AK2032" s="17" t="s">
        <v>58</v>
      </c>
      <c r="AL2032" s="15" t="s">
        <v>437</v>
      </c>
      <c r="AM2032" s="17">
        <v>2013</v>
      </c>
      <c r="AN2032" s="12" t="s">
        <v>263</v>
      </c>
      <c r="AO2032" s="15" t="s">
        <v>56</v>
      </c>
      <c r="AP2032" s="15"/>
      <c r="AQ2032" s="15" t="s">
        <v>56</v>
      </c>
      <c r="AR2032" s="15" t="s">
        <v>58</v>
      </c>
      <c r="AS2032" s="15" t="s">
        <v>62</v>
      </c>
      <c r="AT2032" s="12"/>
      <c r="AU2032" s="45"/>
      <c r="AV2032" s="15"/>
      <c r="AW2032" s="12" t="str">
        <f>B2032&amp;C2032&amp;L2032&amp;M2032&amp;O2032&amp;U2032&amp;AL2032&amp;AM2032</f>
        <v>AustraliaBatemans Marine Park NetworkAlgal turfdensity0.924137640180775Coleman2013</v>
      </c>
    </row>
    <row r="2033" spans="1:49" ht="14.5" x14ac:dyDescent="0.35">
      <c r="A2033" s="12">
        <v>2032</v>
      </c>
      <c r="B2033" s="15" t="s">
        <v>66</v>
      </c>
      <c r="C2033" s="15" t="s">
        <v>424</v>
      </c>
      <c r="D2033" s="15" t="s">
        <v>425</v>
      </c>
      <c r="E2033" s="12" t="s">
        <v>68</v>
      </c>
      <c r="F2033" s="13" t="s">
        <v>50</v>
      </c>
      <c r="G2033" s="13" t="s">
        <v>51</v>
      </c>
      <c r="H2033" s="16" t="s">
        <v>52</v>
      </c>
      <c r="I2033" s="16" t="s">
        <v>53</v>
      </c>
      <c r="J2033" s="17">
        <v>161.5</v>
      </c>
      <c r="K2033" s="17"/>
      <c r="L2033" s="17" t="s">
        <v>2782</v>
      </c>
      <c r="M2033" s="17"/>
      <c r="N2033" s="17" t="s">
        <v>120</v>
      </c>
      <c r="O2033" s="17" t="s">
        <v>86</v>
      </c>
      <c r="P2033" s="17"/>
      <c r="Q2033" s="17"/>
      <c r="R2033" s="17"/>
      <c r="S2033" s="17">
        <v>181.90479999999999</v>
      </c>
      <c r="T2033" s="17">
        <v>174.28569999999999</v>
      </c>
      <c r="U2033" s="19">
        <f t="shared" si="139"/>
        <v>0.9581149040597059</v>
      </c>
      <c r="V2033" s="41">
        <f t="shared" si="138"/>
        <v>-4.1885095940294104</v>
      </c>
      <c r="W2033" s="14"/>
      <c r="X2033" s="17" t="s">
        <v>58</v>
      </c>
      <c r="Z2033" s="17" t="s">
        <v>56</v>
      </c>
      <c r="AA2033" s="17"/>
      <c r="AB2033" s="17" t="s">
        <v>57</v>
      </c>
      <c r="AC2033" s="17">
        <v>2008</v>
      </c>
      <c r="AD2033" s="17">
        <v>4</v>
      </c>
      <c r="AE2033" s="17"/>
      <c r="AF2033" s="17"/>
      <c r="AG2033" s="17">
        <v>2007</v>
      </c>
      <c r="AH2033" s="14">
        <f t="shared" si="136"/>
        <v>1</v>
      </c>
      <c r="AI2033" s="17">
        <f t="shared" si="137"/>
        <v>5</v>
      </c>
      <c r="AJ2033" s="17"/>
      <c r="AK2033" s="17" t="s">
        <v>58</v>
      </c>
      <c r="AL2033" s="15" t="s">
        <v>437</v>
      </c>
      <c r="AM2033" s="17">
        <v>2013</v>
      </c>
      <c r="AN2033" s="12" t="s">
        <v>263</v>
      </c>
      <c r="AO2033" s="15" t="s">
        <v>56</v>
      </c>
      <c r="AP2033" s="15"/>
      <c r="AQ2033" s="15" t="s">
        <v>56</v>
      </c>
      <c r="AR2033" s="15" t="s">
        <v>58</v>
      </c>
      <c r="AS2033" s="15" t="s">
        <v>62</v>
      </c>
      <c r="AT2033" s="12"/>
      <c r="AU2033" s="45"/>
      <c r="AV2033" s="15"/>
      <c r="AW2033" s="12" t="str">
        <f>B2033&amp;C2033&amp;L2033&amp;M2033&amp;O2033&amp;U2033&amp;AL2033&amp;AM2033</f>
        <v>AustraliaBatemans Marine Park NetworkCystophoradensity0.958114904059706Coleman2013</v>
      </c>
    </row>
    <row r="2034" spans="1:49" ht="14.5" x14ac:dyDescent="0.35">
      <c r="A2034" s="12">
        <v>2033</v>
      </c>
      <c r="B2034" s="15" t="s">
        <v>1095</v>
      </c>
      <c r="C2034" s="43" t="s">
        <v>1464</v>
      </c>
      <c r="D2034" s="43" t="s">
        <v>1464</v>
      </c>
      <c r="E2034" s="12" t="s">
        <v>1465</v>
      </c>
      <c r="F2034" s="13" t="s">
        <v>50</v>
      </c>
      <c r="G2034" s="13" t="s">
        <v>51</v>
      </c>
      <c r="H2034" s="16" t="s">
        <v>52</v>
      </c>
      <c r="I2034" s="16" t="s">
        <v>156</v>
      </c>
      <c r="J2034" s="17">
        <v>0.5</v>
      </c>
      <c r="K2034" s="17"/>
      <c r="L2034" s="17" t="s">
        <v>1466</v>
      </c>
      <c r="M2034" s="17"/>
      <c r="N2034" s="17" t="s">
        <v>120</v>
      </c>
      <c r="O2034" s="17" t="s">
        <v>86</v>
      </c>
      <c r="P2034" s="17"/>
      <c r="Q2034" s="17"/>
      <c r="R2034" s="17"/>
      <c r="S2034" s="17">
        <v>4.8226950000000004</v>
      </c>
      <c r="T2034" s="17">
        <v>9.9290780000000005</v>
      </c>
      <c r="U2034" s="19">
        <f t="shared" si="139"/>
        <v>2.0588235416089966</v>
      </c>
      <c r="V2034" s="41">
        <f t="shared" si="138"/>
        <v>105.88235416089967</v>
      </c>
      <c r="W2034" s="14"/>
      <c r="X2034" s="17" t="s">
        <v>56</v>
      </c>
      <c r="Z2034" s="17" t="s">
        <v>56</v>
      </c>
      <c r="AA2034" s="17"/>
      <c r="AB2034" s="17" t="s">
        <v>57</v>
      </c>
      <c r="AC2034" s="17">
        <v>2015</v>
      </c>
      <c r="AD2034" s="17">
        <v>0</v>
      </c>
      <c r="AE2034" s="17"/>
      <c r="AF2034" s="17"/>
      <c r="AG2034" s="17">
        <v>2002</v>
      </c>
      <c r="AH2034" s="14">
        <f t="shared" si="136"/>
        <v>13</v>
      </c>
      <c r="AI2034" s="17">
        <f t="shared" si="137"/>
        <v>13</v>
      </c>
      <c r="AJ2034" s="17"/>
      <c r="AK2034" s="17" t="s">
        <v>56</v>
      </c>
      <c r="AL2034" s="15" t="s">
        <v>1467</v>
      </c>
      <c r="AM2034" s="17">
        <v>2017</v>
      </c>
      <c r="AN2034" s="12" t="s">
        <v>150</v>
      </c>
      <c r="AO2034" s="15" t="s">
        <v>56</v>
      </c>
      <c r="AP2034" s="15"/>
      <c r="AQ2034" s="15" t="s">
        <v>56</v>
      </c>
      <c r="AR2034" s="15" t="s">
        <v>58</v>
      </c>
      <c r="AS2034" s="15" t="s">
        <v>62</v>
      </c>
      <c r="AT2034" s="12"/>
      <c r="AU2034" s="45" t="s">
        <v>2771</v>
      </c>
      <c r="AV2034" s="15"/>
      <c r="AW2034" s="12" t="str">
        <f>B2034&amp;C2034&amp;L2034&amp;M2034&amp;O2034&amp;U2034&amp;AL2034&amp;AM2034</f>
        <v>FijiNamada marine protected areaAcanthasterdensity2.058823541609Clements2017</v>
      </c>
    </row>
    <row r="2035" spans="1:49" ht="14.5" x14ac:dyDescent="0.35">
      <c r="A2035" s="12">
        <v>2034</v>
      </c>
      <c r="B2035" s="15" t="s">
        <v>1095</v>
      </c>
      <c r="C2035" s="15" t="s">
        <v>2012</v>
      </c>
      <c r="D2035" s="15" t="s">
        <v>2012</v>
      </c>
      <c r="E2035" s="12" t="s">
        <v>1465</v>
      </c>
      <c r="F2035" s="13" t="s">
        <v>50</v>
      </c>
      <c r="G2035" s="13" t="s">
        <v>51</v>
      </c>
      <c r="H2035" s="16" t="s">
        <v>52</v>
      </c>
      <c r="I2035" s="16" t="s">
        <v>156</v>
      </c>
      <c r="J2035" s="17">
        <v>0.5</v>
      </c>
      <c r="K2035" s="17"/>
      <c r="L2035" s="17" t="s">
        <v>1466</v>
      </c>
      <c r="M2035" s="17"/>
      <c r="N2035" s="17" t="s">
        <v>120</v>
      </c>
      <c r="O2035" s="17" t="s">
        <v>86</v>
      </c>
      <c r="P2035" s="17"/>
      <c r="Q2035" s="17"/>
      <c r="R2035" s="17"/>
      <c r="S2035" s="17">
        <v>3.404255</v>
      </c>
      <c r="T2035" s="17">
        <v>8.3215129999999995</v>
      </c>
      <c r="U2035" s="19">
        <f t="shared" si="139"/>
        <v>2.444444672916688</v>
      </c>
      <c r="V2035" s="41">
        <f t="shared" si="138"/>
        <v>144.44446729166879</v>
      </c>
      <c r="W2035" s="14"/>
      <c r="X2035" s="17" t="s">
        <v>56</v>
      </c>
      <c r="Z2035" s="17" t="s">
        <v>56</v>
      </c>
      <c r="AA2035" s="17"/>
      <c r="AB2035" s="17" t="s">
        <v>57</v>
      </c>
      <c r="AC2035" s="17">
        <v>2015</v>
      </c>
      <c r="AD2035" s="17">
        <v>0</v>
      </c>
      <c r="AE2035" s="17"/>
      <c r="AF2035" s="17"/>
      <c r="AG2035" s="17">
        <v>2002</v>
      </c>
      <c r="AH2035" s="14">
        <f t="shared" si="136"/>
        <v>13</v>
      </c>
      <c r="AI2035" s="17">
        <f t="shared" si="137"/>
        <v>13</v>
      </c>
      <c r="AJ2035" s="17"/>
      <c r="AK2035" s="17" t="s">
        <v>56</v>
      </c>
      <c r="AL2035" s="15" t="s">
        <v>1467</v>
      </c>
      <c r="AM2035" s="17">
        <v>2017</v>
      </c>
      <c r="AN2035" s="12" t="s">
        <v>150</v>
      </c>
      <c r="AO2035" s="15" t="s">
        <v>56</v>
      </c>
      <c r="AP2035" s="15"/>
      <c r="AQ2035" s="15" t="s">
        <v>56</v>
      </c>
      <c r="AR2035" s="15" t="s">
        <v>58</v>
      </c>
      <c r="AS2035" s="15" t="s">
        <v>62</v>
      </c>
      <c r="AT2035" s="12"/>
      <c r="AU2035" s="45" t="s">
        <v>2772</v>
      </c>
      <c r="AV2035" s="15"/>
      <c r="AW2035" s="12" t="str">
        <f>B2035&amp;C2035&amp;L2035&amp;M2035&amp;O2035&amp;U2035&amp;AL2035&amp;AM2035</f>
        <v>FijiVatu-o-lalai marine protected areaAcanthasterdensity2.44444467291669Clements2017</v>
      </c>
    </row>
    <row r="2036" spans="1:49" ht="14.5" x14ac:dyDescent="0.35">
      <c r="A2036" s="12">
        <v>2035</v>
      </c>
      <c r="B2036" s="15" t="s">
        <v>1095</v>
      </c>
      <c r="C2036" s="15" t="s">
        <v>2019</v>
      </c>
      <c r="D2036" s="15" t="s">
        <v>2019</v>
      </c>
      <c r="E2036" s="12" t="s">
        <v>1465</v>
      </c>
      <c r="F2036" s="13" t="s">
        <v>50</v>
      </c>
      <c r="G2036" s="13" t="s">
        <v>51</v>
      </c>
      <c r="H2036" s="16" t="s">
        <v>52</v>
      </c>
      <c r="I2036" s="16" t="s">
        <v>156</v>
      </c>
      <c r="J2036" s="17">
        <v>0.8</v>
      </c>
      <c r="K2036" s="17"/>
      <c r="L2036" s="17" t="s">
        <v>1466</v>
      </c>
      <c r="M2036" s="17"/>
      <c r="N2036" s="17" t="s">
        <v>120</v>
      </c>
      <c r="O2036" s="17" t="s">
        <v>86</v>
      </c>
      <c r="P2036" s="17"/>
      <c r="Q2036" s="17"/>
      <c r="R2036" s="17"/>
      <c r="S2036" s="17">
        <v>2.3640659999999998</v>
      </c>
      <c r="T2036" s="17">
        <v>8.1323880000000006</v>
      </c>
      <c r="U2036" s="19">
        <f t="shared" si="139"/>
        <v>3.440000406080034</v>
      </c>
      <c r="V2036" s="41">
        <f t="shared" si="138"/>
        <v>244.00004060800339</v>
      </c>
      <c r="W2036" s="14"/>
      <c r="X2036" s="17" t="s">
        <v>56</v>
      </c>
      <c r="Z2036" s="17" t="s">
        <v>56</v>
      </c>
      <c r="AA2036" s="17"/>
      <c r="AB2036" s="17" t="s">
        <v>57</v>
      </c>
      <c r="AC2036" s="17">
        <v>2015</v>
      </c>
      <c r="AD2036" s="17">
        <v>0</v>
      </c>
      <c r="AE2036" s="17"/>
      <c r="AF2036" s="17"/>
      <c r="AG2036" s="17">
        <v>2003</v>
      </c>
      <c r="AH2036" s="14">
        <f t="shared" si="136"/>
        <v>12</v>
      </c>
      <c r="AI2036" s="17">
        <f t="shared" si="137"/>
        <v>12</v>
      </c>
      <c r="AJ2036" s="17"/>
      <c r="AK2036" s="17" t="s">
        <v>56</v>
      </c>
      <c r="AL2036" s="15" t="s">
        <v>1467</v>
      </c>
      <c r="AM2036" s="17">
        <v>2017</v>
      </c>
      <c r="AN2036" s="12" t="s">
        <v>150</v>
      </c>
      <c r="AO2036" s="15" t="s">
        <v>56</v>
      </c>
      <c r="AP2036" s="15"/>
      <c r="AQ2036" s="15" t="s">
        <v>56</v>
      </c>
      <c r="AR2036" s="15" t="s">
        <v>58</v>
      </c>
      <c r="AS2036" s="15" t="s">
        <v>62</v>
      </c>
      <c r="AT2036" s="12"/>
      <c r="AU2036" s="45" t="s">
        <v>2771</v>
      </c>
      <c r="AV2036" s="15"/>
      <c r="AW2036" s="12" t="str">
        <f>B2036&amp;C2036&amp;L2036&amp;M2036&amp;O2036&amp;U2036&amp;AL2036&amp;AM2036</f>
        <v>FijiVotua marine protected areaAcanthasterdensity3.44000040608003Clements2017</v>
      </c>
    </row>
    <row r="2037" spans="1:49" ht="14.5" x14ac:dyDescent="0.35">
      <c r="A2037" s="12">
        <v>2036</v>
      </c>
      <c r="B2037" s="15" t="s">
        <v>1095</v>
      </c>
      <c r="C2037" s="43" t="s">
        <v>1464</v>
      </c>
      <c r="D2037" s="43" t="s">
        <v>1464</v>
      </c>
      <c r="E2037" s="12" t="s">
        <v>1465</v>
      </c>
      <c r="F2037" s="13" t="s">
        <v>50</v>
      </c>
      <c r="G2037" s="13" t="s">
        <v>51</v>
      </c>
      <c r="H2037" s="16" t="s">
        <v>52</v>
      </c>
      <c r="I2037" s="16" t="s">
        <v>156</v>
      </c>
      <c r="J2037" s="17">
        <v>0.5</v>
      </c>
      <c r="K2037" s="17"/>
      <c r="L2037" s="17"/>
      <c r="M2037" s="17" t="s">
        <v>786</v>
      </c>
      <c r="N2037" s="53" t="s">
        <v>98</v>
      </c>
      <c r="O2037" s="17" t="s">
        <v>101</v>
      </c>
      <c r="P2037" s="17"/>
      <c r="Q2037" s="17"/>
      <c r="R2037" s="17"/>
      <c r="S2037" s="17">
        <v>7.2580650000000002</v>
      </c>
      <c r="T2037" s="17">
        <v>18.225809999999999</v>
      </c>
      <c r="U2037" s="19">
        <f t="shared" si="139"/>
        <v>2.5111114325925712</v>
      </c>
      <c r="V2037" s="41">
        <f t="shared" si="138"/>
        <v>151.11114325925712</v>
      </c>
      <c r="W2037" s="14"/>
      <c r="X2037" s="17" t="s">
        <v>56</v>
      </c>
      <c r="Z2037" s="17" t="s">
        <v>56</v>
      </c>
      <c r="AA2037" s="17"/>
      <c r="AB2037" s="17" t="s">
        <v>57</v>
      </c>
      <c r="AC2037" s="17">
        <v>2015</v>
      </c>
      <c r="AD2037" s="17">
        <v>0</v>
      </c>
      <c r="AE2037" s="17"/>
      <c r="AF2037" s="17"/>
      <c r="AG2037" s="17">
        <v>2002</v>
      </c>
      <c r="AH2037" s="14">
        <f t="shared" si="136"/>
        <v>13</v>
      </c>
      <c r="AI2037" s="17">
        <f t="shared" si="137"/>
        <v>13</v>
      </c>
      <c r="AJ2037" s="17"/>
      <c r="AK2037" s="17" t="s">
        <v>56</v>
      </c>
      <c r="AL2037" s="15" t="s">
        <v>1467</v>
      </c>
      <c r="AM2037" s="17">
        <v>2017</v>
      </c>
      <c r="AN2037" s="12" t="s">
        <v>150</v>
      </c>
      <c r="AO2037" s="15" t="s">
        <v>56</v>
      </c>
      <c r="AP2037" s="15"/>
      <c r="AQ2037" s="15" t="s">
        <v>56</v>
      </c>
      <c r="AR2037" s="15" t="s">
        <v>58</v>
      </c>
      <c r="AS2037" s="15" t="s">
        <v>62</v>
      </c>
      <c r="AT2037" s="12"/>
      <c r="AU2037" s="45" t="s">
        <v>2771</v>
      </c>
      <c r="AV2037" s="15"/>
      <c r="AW2037" s="12" t="str">
        <f>B2037&amp;C2037&amp;L2037&amp;M2037&amp;O2037&amp;U2037&amp;AL2037&amp;AM2037</f>
        <v>FijiNamada marine protected areacoralcover2.51111143259257Clements2017</v>
      </c>
    </row>
    <row r="2038" spans="1:49" ht="14.5" x14ac:dyDescent="0.35">
      <c r="A2038" s="12">
        <v>2037</v>
      </c>
      <c r="B2038" s="15" t="s">
        <v>1095</v>
      </c>
      <c r="C2038" s="43" t="s">
        <v>1464</v>
      </c>
      <c r="D2038" s="43" t="s">
        <v>1464</v>
      </c>
      <c r="E2038" s="12" t="s">
        <v>1465</v>
      </c>
      <c r="F2038" s="13" t="s">
        <v>50</v>
      </c>
      <c r="G2038" s="13" t="s">
        <v>51</v>
      </c>
      <c r="H2038" s="16" t="s">
        <v>52</v>
      </c>
      <c r="I2038" s="16" t="s">
        <v>156</v>
      </c>
      <c r="J2038" s="17">
        <v>0.5</v>
      </c>
      <c r="K2038" s="17"/>
      <c r="L2038" s="17"/>
      <c r="M2038" s="17" t="s">
        <v>291</v>
      </c>
      <c r="N2038" s="53" t="s">
        <v>98</v>
      </c>
      <c r="O2038" s="17" t="s">
        <v>101</v>
      </c>
      <c r="P2038" s="17"/>
      <c r="Q2038" s="17"/>
      <c r="R2038" s="17"/>
      <c r="S2038" s="17">
        <v>26.774190000000001</v>
      </c>
      <c r="T2038" s="17">
        <v>22.25806</v>
      </c>
      <c r="U2038" s="19">
        <f t="shared" si="139"/>
        <v>0.83132524270575503</v>
      </c>
      <c r="V2038" s="41">
        <f t="shared" si="138"/>
        <v>-16.867475729424498</v>
      </c>
      <c r="W2038" s="14"/>
      <c r="X2038" s="17" t="s">
        <v>56</v>
      </c>
      <c r="Z2038" s="17" t="s">
        <v>56</v>
      </c>
      <c r="AA2038" s="17"/>
      <c r="AB2038" s="17" t="s">
        <v>57</v>
      </c>
      <c r="AC2038" s="17">
        <v>2015</v>
      </c>
      <c r="AD2038" s="17">
        <v>0</v>
      </c>
      <c r="AE2038" s="17"/>
      <c r="AF2038" s="17"/>
      <c r="AG2038" s="17">
        <v>2002</v>
      </c>
      <c r="AH2038" s="14">
        <f t="shared" si="136"/>
        <v>13</v>
      </c>
      <c r="AI2038" s="17">
        <f t="shared" si="137"/>
        <v>13</v>
      </c>
      <c r="AJ2038" s="17"/>
      <c r="AK2038" s="17" t="s">
        <v>56</v>
      </c>
      <c r="AL2038" s="15" t="s">
        <v>1467</v>
      </c>
      <c r="AM2038" s="17">
        <v>2017</v>
      </c>
      <c r="AN2038" s="12" t="s">
        <v>150</v>
      </c>
      <c r="AO2038" s="15" t="s">
        <v>56</v>
      </c>
      <c r="AP2038" s="15"/>
      <c r="AQ2038" s="15" t="s">
        <v>56</v>
      </c>
      <c r="AR2038" s="15" t="s">
        <v>58</v>
      </c>
      <c r="AS2038" s="15" t="s">
        <v>62</v>
      </c>
      <c r="AT2038" s="12"/>
      <c r="AU2038" s="45" t="s">
        <v>2771</v>
      </c>
      <c r="AV2038" s="15"/>
      <c r="AW2038" s="12" t="str">
        <f>B2038&amp;C2038&amp;L2038&amp;M2038&amp;O2038&amp;U2038&amp;AL2038&amp;AM2038</f>
        <v>FijiNamada marine protected areaMacroalgaecover0.831325242705755Clements2017</v>
      </c>
    </row>
    <row r="2039" spans="1:49" ht="14.5" x14ac:dyDescent="0.35">
      <c r="A2039" s="12">
        <v>2038</v>
      </c>
      <c r="B2039" s="15" t="s">
        <v>1095</v>
      </c>
      <c r="C2039" s="15" t="s">
        <v>2012</v>
      </c>
      <c r="D2039" s="15" t="s">
        <v>2012</v>
      </c>
      <c r="E2039" s="15" t="s">
        <v>1465</v>
      </c>
      <c r="F2039" s="13" t="s">
        <v>50</v>
      </c>
      <c r="G2039" s="13" t="s">
        <v>51</v>
      </c>
      <c r="H2039" s="16" t="s">
        <v>52</v>
      </c>
      <c r="I2039" s="16" t="s">
        <v>156</v>
      </c>
      <c r="J2039" s="17">
        <v>0.5</v>
      </c>
      <c r="K2039" s="17"/>
      <c r="L2039" s="17"/>
      <c r="M2039" s="17" t="s">
        <v>786</v>
      </c>
      <c r="N2039" s="53" t="s">
        <v>98</v>
      </c>
      <c r="O2039" s="17" t="s">
        <v>101</v>
      </c>
      <c r="P2039" s="17"/>
      <c r="Q2039" s="17"/>
      <c r="R2039" s="17"/>
      <c r="S2039" s="17">
        <v>9.375</v>
      </c>
      <c r="T2039" s="17">
        <v>19.6875</v>
      </c>
      <c r="U2039" s="20">
        <f t="shared" si="139"/>
        <v>2.1</v>
      </c>
      <c r="V2039" s="41">
        <f t="shared" si="138"/>
        <v>110.00000000000001</v>
      </c>
      <c r="W2039" s="17"/>
      <c r="X2039" s="17" t="s">
        <v>56</v>
      </c>
      <c r="Z2039" s="17" t="s">
        <v>56</v>
      </c>
      <c r="AA2039" s="17"/>
      <c r="AB2039" s="17" t="s">
        <v>57</v>
      </c>
      <c r="AC2039" s="17">
        <v>2015</v>
      </c>
      <c r="AD2039" s="17">
        <v>0</v>
      </c>
      <c r="AE2039" s="17"/>
      <c r="AF2039" s="17"/>
      <c r="AG2039" s="17">
        <v>2002</v>
      </c>
      <c r="AH2039" s="14">
        <f t="shared" si="136"/>
        <v>13</v>
      </c>
      <c r="AI2039" s="17">
        <f t="shared" si="137"/>
        <v>13</v>
      </c>
      <c r="AJ2039" s="17"/>
      <c r="AK2039" s="17" t="s">
        <v>56</v>
      </c>
      <c r="AL2039" s="15" t="s">
        <v>1467</v>
      </c>
      <c r="AM2039" s="17">
        <v>2017</v>
      </c>
      <c r="AN2039" s="12" t="s">
        <v>150</v>
      </c>
      <c r="AO2039" s="15" t="s">
        <v>56</v>
      </c>
      <c r="AP2039" s="15"/>
      <c r="AQ2039" s="15" t="s">
        <v>56</v>
      </c>
      <c r="AR2039" s="15" t="s">
        <v>58</v>
      </c>
      <c r="AS2039" s="15" t="s">
        <v>62</v>
      </c>
      <c r="AT2039" s="15"/>
      <c r="AU2039" s="45" t="s">
        <v>2772</v>
      </c>
      <c r="AV2039" s="15"/>
      <c r="AW2039" s="12" t="str">
        <f>B2039&amp;C2039&amp;L2039&amp;M2039&amp;O2039&amp;U2039&amp;AL2039&amp;AM2039</f>
        <v>FijiVatu-o-lalai marine protected areacoralcover2.1Clements2017</v>
      </c>
    </row>
    <row r="2040" spans="1:49" ht="14.5" x14ac:dyDescent="0.35">
      <c r="A2040" s="12">
        <v>2039</v>
      </c>
      <c r="B2040" s="15" t="s">
        <v>1095</v>
      </c>
      <c r="C2040" s="15" t="s">
        <v>2012</v>
      </c>
      <c r="D2040" s="15" t="s">
        <v>2012</v>
      </c>
      <c r="E2040" s="15" t="s">
        <v>1465</v>
      </c>
      <c r="F2040" s="13" t="s">
        <v>50</v>
      </c>
      <c r="G2040" s="13" t="s">
        <v>51</v>
      </c>
      <c r="H2040" s="16" t="s">
        <v>52</v>
      </c>
      <c r="I2040" s="16" t="s">
        <v>156</v>
      </c>
      <c r="J2040" s="17">
        <v>0.5</v>
      </c>
      <c r="K2040" s="17"/>
      <c r="L2040" s="17"/>
      <c r="M2040" s="17" t="s">
        <v>291</v>
      </c>
      <c r="N2040" s="53" t="s">
        <v>98</v>
      </c>
      <c r="O2040" s="17" t="s">
        <v>101</v>
      </c>
      <c r="P2040" s="17"/>
      <c r="Q2040" s="17"/>
      <c r="R2040" s="17"/>
      <c r="S2040" s="17">
        <v>20.625</v>
      </c>
      <c r="T2040" s="17">
        <v>3.28125</v>
      </c>
      <c r="U2040" s="20">
        <f t="shared" si="139"/>
        <v>0.15909090909090909</v>
      </c>
      <c r="V2040" s="41">
        <f t="shared" si="138"/>
        <v>-84.090909090909093</v>
      </c>
      <c r="W2040" s="17"/>
      <c r="X2040" s="17" t="s">
        <v>56</v>
      </c>
      <c r="Z2040" s="17" t="s">
        <v>56</v>
      </c>
      <c r="AA2040" s="17"/>
      <c r="AB2040" s="17" t="s">
        <v>57</v>
      </c>
      <c r="AC2040" s="17">
        <v>2015</v>
      </c>
      <c r="AD2040" s="17">
        <v>0</v>
      </c>
      <c r="AE2040" s="17"/>
      <c r="AF2040" s="17"/>
      <c r="AG2040" s="17">
        <v>2002</v>
      </c>
      <c r="AH2040" s="14">
        <f t="shared" si="136"/>
        <v>13</v>
      </c>
      <c r="AI2040" s="17">
        <f t="shared" si="137"/>
        <v>13</v>
      </c>
      <c r="AJ2040" s="17"/>
      <c r="AK2040" s="17" t="s">
        <v>56</v>
      </c>
      <c r="AL2040" s="15" t="s">
        <v>1467</v>
      </c>
      <c r="AM2040" s="17">
        <v>2017</v>
      </c>
      <c r="AN2040" s="12" t="s">
        <v>150</v>
      </c>
      <c r="AO2040" s="15" t="s">
        <v>56</v>
      </c>
      <c r="AP2040" s="15"/>
      <c r="AQ2040" s="15" t="s">
        <v>56</v>
      </c>
      <c r="AR2040" s="15" t="s">
        <v>58</v>
      </c>
      <c r="AS2040" s="15" t="s">
        <v>62</v>
      </c>
      <c r="AT2040" s="15"/>
      <c r="AU2040" s="45" t="s">
        <v>2772</v>
      </c>
      <c r="AV2040" s="15"/>
      <c r="AW2040" s="12" t="str">
        <f>B2040&amp;C2040&amp;L2040&amp;M2040&amp;O2040&amp;U2040&amp;AL2040&amp;AM2040</f>
        <v>FijiVatu-o-lalai marine protected areaMacroalgaecover0.159090909090909Clements2017</v>
      </c>
    </row>
    <row r="2041" spans="1:49" ht="14.5" x14ac:dyDescent="0.35">
      <c r="A2041" s="12">
        <v>2040</v>
      </c>
      <c r="B2041" s="15" t="s">
        <v>1095</v>
      </c>
      <c r="C2041" s="15" t="s">
        <v>2019</v>
      </c>
      <c r="D2041" s="15" t="s">
        <v>2019</v>
      </c>
      <c r="E2041" s="12" t="s">
        <v>1465</v>
      </c>
      <c r="F2041" s="13" t="s">
        <v>50</v>
      </c>
      <c r="G2041" s="13" t="s">
        <v>51</v>
      </c>
      <c r="H2041" s="16" t="s">
        <v>52</v>
      </c>
      <c r="I2041" s="16" t="s">
        <v>156</v>
      </c>
      <c r="J2041" s="17">
        <v>0.8</v>
      </c>
      <c r="K2041" s="17"/>
      <c r="L2041" s="17"/>
      <c r="M2041" s="17" t="s">
        <v>786</v>
      </c>
      <c r="N2041" s="53" t="s">
        <v>98</v>
      </c>
      <c r="O2041" s="17" t="s">
        <v>101</v>
      </c>
      <c r="P2041" s="17"/>
      <c r="Q2041" s="17"/>
      <c r="R2041" s="17"/>
      <c r="S2041" s="17">
        <v>6.9230770000000001</v>
      </c>
      <c r="T2041" s="17">
        <v>17.692309999999999</v>
      </c>
      <c r="U2041" s="19">
        <f t="shared" si="139"/>
        <v>2.5555558604938238</v>
      </c>
      <c r="V2041" s="41">
        <f t="shared" si="138"/>
        <v>155.55558604938238</v>
      </c>
      <c r="W2041" s="14"/>
      <c r="X2041" s="17" t="s">
        <v>56</v>
      </c>
      <c r="Z2041" s="17" t="s">
        <v>56</v>
      </c>
      <c r="AA2041" s="17"/>
      <c r="AB2041" s="17" t="s">
        <v>57</v>
      </c>
      <c r="AC2041" s="17">
        <v>2015</v>
      </c>
      <c r="AD2041" s="17">
        <v>0</v>
      </c>
      <c r="AE2041" s="17"/>
      <c r="AF2041" s="17"/>
      <c r="AG2041" s="17">
        <v>2003</v>
      </c>
      <c r="AH2041" s="14">
        <f t="shared" si="136"/>
        <v>12</v>
      </c>
      <c r="AI2041" s="17">
        <f t="shared" si="137"/>
        <v>12</v>
      </c>
      <c r="AJ2041" s="17"/>
      <c r="AK2041" s="17" t="s">
        <v>56</v>
      </c>
      <c r="AL2041" s="15" t="s">
        <v>1467</v>
      </c>
      <c r="AM2041" s="17">
        <v>2017</v>
      </c>
      <c r="AN2041" s="12" t="s">
        <v>150</v>
      </c>
      <c r="AO2041" s="15" t="s">
        <v>56</v>
      </c>
      <c r="AP2041" s="15"/>
      <c r="AQ2041" s="15" t="s">
        <v>56</v>
      </c>
      <c r="AR2041" s="15" t="s">
        <v>58</v>
      </c>
      <c r="AS2041" s="15" t="s">
        <v>62</v>
      </c>
      <c r="AT2041" s="12"/>
      <c r="AU2041" s="45" t="s">
        <v>2771</v>
      </c>
      <c r="AV2041" s="15"/>
      <c r="AW2041" s="12" t="str">
        <f>B2041&amp;C2041&amp;L2041&amp;M2041&amp;O2041&amp;U2041&amp;AL2041&amp;AM2041</f>
        <v>FijiVotua marine protected areacoralcover2.55555586049382Clements2017</v>
      </c>
    </row>
    <row r="2042" spans="1:49" ht="14.5" x14ac:dyDescent="0.35">
      <c r="A2042" s="12">
        <v>2041</v>
      </c>
      <c r="B2042" s="15" t="s">
        <v>1095</v>
      </c>
      <c r="C2042" s="15" t="s">
        <v>2019</v>
      </c>
      <c r="D2042" s="15" t="s">
        <v>2019</v>
      </c>
      <c r="E2042" s="12" t="s">
        <v>1465</v>
      </c>
      <c r="F2042" s="13" t="s">
        <v>50</v>
      </c>
      <c r="G2042" s="13" t="s">
        <v>51</v>
      </c>
      <c r="H2042" s="16" t="s">
        <v>52</v>
      </c>
      <c r="I2042" s="16" t="s">
        <v>156</v>
      </c>
      <c r="J2042" s="17">
        <v>0.8</v>
      </c>
      <c r="K2042" s="17"/>
      <c r="L2042" s="17"/>
      <c r="M2042" s="17" t="s">
        <v>291</v>
      </c>
      <c r="N2042" s="53" t="s">
        <v>98</v>
      </c>
      <c r="O2042" s="17" t="s">
        <v>101</v>
      </c>
      <c r="P2042" s="17"/>
      <c r="Q2042" s="17"/>
      <c r="R2042" s="17"/>
      <c r="S2042" s="17">
        <v>32.884619999999998</v>
      </c>
      <c r="T2042" s="17">
        <v>17.692309999999999</v>
      </c>
      <c r="U2042" s="19">
        <f t="shared" si="139"/>
        <v>0.53801169057145859</v>
      </c>
      <c r="V2042" s="41">
        <f t="shared" si="138"/>
        <v>-46.198830942854144</v>
      </c>
      <c r="W2042" s="14"/>
      <c r="X2042" s="17" t="s">
        <v>56</v>
      </c>
      <c r="Z2042" s="17" t="s">
        <v>56</v>
      </c>
      <c r="AA2042" s="17"/>
      <c r="AB2042" s="17" t="s">
        <v>57</v>
      </c>
      <c r="AC2042" s="17">
        <v>2015</v>
      </c>
      <c r="AD2042" s="17">
        <v>0</v>
      </c>
      <c r="AE2042" s="17"/>
      <c r="AF2042" s="17"/>
      <c r="AG2042" s="17">
        <v>2003</v>
      </c>
      <c r="AH2042" s="14">
        <f t="shared" si="136"/>
        <v>12</v>
      </c>
      <c r="AI2042" s="17">
        <f t="shared" si="137"/>
        <v>12</v>
      </c>
      <c r="AJ2042" s="17"/>
      <c r="AK2042" s="17" t="s">
        <v>56</v>
      </c>
      <c r="AL2042" s="15" t="s">
        <v>1467</v>
      </c>
      <c r="AM2042" s="17">
        <v>2017</v>
      </c>
      <c r="AN2042" s="12" t="s">
        <v>150</v>
      </c>
      <c r="AO2042" s="15" t="s">
        <v>56</v>
      </c>
      <c r="AP2042" s="15"/>
      <c r="AQ2042" s="15" t="s">
        <v>56</v>
      </c>
      <c r="AR2042" s="15" t="s">
        <v>58</v>
      </c>
      <c r="AS2042" s="15" t="s">
        <v>62</v>
      </c>
      <c r="AT2042" s="12"/>
      <c r="AU2042" s="45" t="s">
        <v>2771</v>
      </c>
      <c r="AV2042" s="15"/>
      <c r="AW2042" s="12" t="str">
        <f>B2042&amp;C2042&amp;L2042&amp;M2042&amp;O2042&amp;U2042&amp;AL2042&amp;AM2042</f>
        <v>FijiVotua marine protected areaMacroalgaecover0.538011690571459Clements2017</v>
      </c>
    </row>
    <row r="2043" spans="1:49" ht="14.5" x14ac:dyDescent="0.35">
      <c r="A2043" s="12">
        <v>2042</v>
      </c>
      <c r="B2043" s="15" t="s">
        <v>1890</v>
      </c>
      <c r="C2043" s="15" t="s">
        <v>1891</v>
      </c>
      <c r="D2043" s="15" t="s">
        <v>1891</v>
      </c>
      <c r="E2043" s="12" t="s">
        <v>49</v>
      </c>
      <c r="F2043" s="13" t="s">
        <v>50</v>
      </c>
      <c r="G2043" s="13" t="s">
        <v>51</v>
      </c>
      <c r="H2043" s="16" t="s">
        <v>52</v>
      </c>
      <c r="I2043" s="16" t="s">
        <v>156</v>
      </c>
      <c r="J2043" s="17">
        <v>467</v>
      </c>
      <c r="K2043" s="17"/>
      <c r="L2043" s="17"/>
      <c r="M2043" s="17" t="s">
        <v>474</v>
      </c>
      <c r="N2043" s="53" t="s">
        <v>98</v>
      </c>
      <c r="O2043" s="17" t="s">
        <v>70</v>
      </c>
      <c r="P2043" s="17"/>
      <c r="Q2043" s="17"/>
      <c r="R2043" s="17"/>
      <c r="S2043" s="17">
        <v>47.88</v>
      </c>
      <c r="T2043" s="17">
        <v>157.96</v>
      </c>
      <c r="U2043" s="19">
        <f t="shared" si="139"/>
        <v>3.2990810359231411</v>
      </c>
      <c r="V2043" s="41">
        <f t="shared" si="138"/>
        <v>229.90810359231409</v>
      </c>
      <c r="W2043" s="14"/>
      <c r="X2043" s="17" t="s">
        <v>56</v>
      </c>
      <c r="Z2043" s="17" t="s">
        <v>56</v>
      </c>
      <c r="AA2043" s="17"/>
      <c r="AB2043" s="17" t="s">
        <v>57</v>
      </c>
      <c r="AC2043" s="17">
        <v>2010</v>
      </c>
      <c r="AD2043" s="17">
        <v>1</v>
      </c>
      <c r="AE2043" s="17"/>
      <c r="AF2043" s="17"/>
      <c r="AG2043" s="17">
        <v>2001</v>
      </c>
      <c r="AH2043" s="14">
        <f t="shared" si="136"/>
        <v>9</v>
      </c>
      <c r="AI2043" s="17">
        <f t="shared" si="137"/>
        <v>10</v>
      </c>
      <c r="AJ2043" s="17"/>
      <c r="AK2043" s="17" t="s">
        <v>56</v>
      </c>
      <c r="AL2043" s="15" t="s">
        <v>1892</v>
      </c>
      <c r="AM2043" s="17">
        <v>2017</v>
      </c>
      <c r="AN2043" s="12" t="s">
        <v>304</v>
      </c>
      <c r="AO2043" s="15" t="s">
        <v>56</v>
      </c>
      <c r="AP2043" s="15"/>
      <c r="AQ2043" s="15" t="s">
        <v>56</v>
      </c>
      <c r="AR2043" s="15" t="s">
        <v>58</v>
      </c>
      <c r="AS2043" s="15" t="s">
        <v>62</v>
      </c>
      <c r="AT2043" s="12"/>
      <c r="AU2043" s="45"/>
      <c r="AV2043" s="15"/>
      <c r="AW2043" s="12" t="str">
        <f>B2043&amp;C2043&amp;L2043&amp;M2043&amp;O2043&amp;U2043&amp;AL2043&amp;AM2043</f>
        <v>MalaysiaSugud Islands Marine Conservation Areareef fishbiomassden3.29908103592314Chung2017</v>
      </c>
    </row>
    <row r="2044" spans="1:49" ht="14.5" x14ac:dyDescent="0.35">
      <c r="A2044" s="12">
        <v>2043</v>
      </c>
      <c r="B2044" s="15" t="s">
        <v>1890</v>
      </c>
      <c r="C2044" s="15" t="s">
        <v>1891</v>
      </c>
      <c r="D2044" s="15" t="s">
        <v>1891</v>
      </c>
      <c r="E2044" s="12" t="s">
        <v>49</v>
      </c>
      <c r="F2044" s="13" t="s">
        <v>50</v>
      </c>
      <c r="G2044" s="13" t="s">
        <v>51</v>
      </c>
      <c r="H2044" s="16" t="s">
        <v>52</v>
      </c>
      <c r="I2044" s="16" t="s">
        <v>156</v>
      </c>
      <c r="J2044" s="17">
        <v>467</v>
      </c>
      <c r="K2044" s="17"/>
      <c r="L2044" s="17"/>
      <c r="M2044" s="17" t="s">
        <v>474</v>
      </c>
      <c r="N2044" s="53" t="s">
        <v>98</v>
      </c>
      <c r="O2044" s="17" t="s">
        <v>86</v>
      </c>
      <c r="P2044" s="17"/>
      <c r="Q2044" s="17"/>
      <c r="R2044" s="17"/>
      <c r="S2044" s="17">
        <v>1493.76</v>
      </c>
      <c r="T2044" s="17">
        <v>2496.88</v>
      </c>
      <c r="U2044" s="19">
        <f t="shared" si="139"/>
        <v>1.6715402742073695</v>
      </c>
      <c r="V2044" s="41">
        <f t="shared" si="138"/>
        <v>67.154027420736952</v>
      </c>
      <c r="W2044" s="14"/>
      <c r="X2044" s="17" t="s">
        <v>56</v>
      </c>
      <c r="Z2044" s="17" t="s">
        <v>56</v>
      </c>
      <c r="AA2044" s="17"/>
      <c r="AB2044" s="17" t="s">
        <v>57</v>
      </c>
      <c r="AC2044" s="17">
        <v>2010</v>
      </c>
      <c r="AD2044" s="17">
        <v>1</v>
      </c>
      <c r="AE2044" s="17"/>
      <c r="AF2044" s="17"/>
      <c r="AG2044" s="17">
        <v>2001</v>
      </c>
      <c r="AH2044" s="14">
        <f t="shared" si="136"/>
        <v>9</v>
      </c>
      <c r="AI2044" s="17">
        <f t="shared" si="137"/>
        <v>10</v>
      </c>
      <c r="AJ2044" s="17"/>
      <c r="AK2044" s="17" t="s">
        <v>56</v>
      </c>
      <c r="AL2044" s="15" t="s">
        <v>1892</v>
      </c>
      <c r="AM2044" s="17">
        <v>2017</v>
      </c>
      <c r="AN2044" s="12" t="s">
        <v>304</v>
      </c>
      <c r="AO2044" s="15" t="s">
        <v>56</v>
      </c>
      <c r="AP2044" s="15"/>
      <c r="AQ2044" s="15" t="s">
        <v>56</v>
      </c>
      <c r="AR2044" s="15" t="s">
        <v>58</v>
      </c>
      <c r="AS2044" s="15" t="s">
        <v>62</v>
      </c>
      <c r="AT2044" s="12"/>
      <c r="AU2044" s="45"/>
      <c r="AV2044" s="15"/>
      <c r="AW2044" s="12" t="str">
        <f>B2044&amp;C2044&amp;L2044&amp;M2044&amp;O2044&amp;U2044&amp;AL2044&amp;AM2044</f>
        <v>MalaysiaSugud Islands Marine Conservation Areareef fishdensity1.67154027420737Chung2017</v>
      </c>
    </row>
    <row r="2045" spans="1:49" ht="14.5" x14ac:dyDescent="0.35">
      <c r="A2045" s="12">
        <v>2044</v>
      </c>
      <c r="B2045" s="15" t="s">
        <v>1890</v>
      </c>
      <c r="C2045" s="15" t="s">
        <v>1891</v>
      </c>
      <c r="D2045" s="15" t="s">
        <v>1891</v>
      </c>
      <c r="E2045" s="12" t="s">
        <v>49</v>
      </c>
      <c r="F2045" s="13" t="s">
        <v>50</v>
      </c>
      <c r="G2045" s="13" t="s">
        <v>51</v>
      </c>
      <c r="H2045" s="16" t="s">
        <v>52</v>
      </c>
      <c r="I2045" s="16" t="s">
        <v>156</v>
      </c>
      <c r="J2045" s="17">
        <v>467</v>
      </c>
      <c r="K2045" s="17"/>
      <c r="L2045" s="17" t="s">
        <v>897</v>
      </c>
      <c r="M2045" s="17"/>
      <c r="N2045" s="17" t="s">
        <v>120</v>
      </c>
      <c r="O2045" s="17" t="s">
        <v>70</v>
      </c>
      <c r="P2045" s="17"/>
      <c r="Q2045" s="17"/>
      <c r="R2045" s="17"/>
      <c r="S2045" s="17">
        <v>0.24</v>
      </c>
      <c r="T2045" s="17">
        <v>5.2</v>
      </c>
      <c r="U2045" s="19">
        <f t="shared" si="139"/>
        <v>21.666666666666668</v>
      </c>
      <c r="V2045" s="41">
        <f t="shared" si="138"/>
        <v>2066.666666666667</v>
      </c>
      <c r="W2045" s="14"/>
      <c r="X2045" s="17" t="s">
        <v>56</v>
      </c>
      <c r="Z2045" s="17" t="s">
        <v>56</v>
      </c>
      <c r="AA2045" s="17"/>
      <c r="AB2045" s="17" t="s">
        <v>57</v>
      </c>
      <c r="AC2045" s="17">
        <v>2010</v>
      </c>
      <c r="AD2045" s="17">
        <v>1</v>
      </c>
      <c r="AE2045" s="17"/>
      <c r="AF2045" s="17"/>
      <c r="AG2045" s="17">
        <v>2001</v>
      </c>
      <c r="AH2045" s="14">
        <f t="shared" si="136"/>
        <v>9</v>
      </c>
      <c r="AI2045" s="17">
        <f t="shared" si="137"/>
        <v>10</v>
      </c>
      <c r="AJ2045" s="17"/>
      <c r="AK2045" s="17" t="s">
        <v>56</v>
      </c>
      <c r="AL2045" s="15" t="s">
        <v>1892</v>
      </c>
      <c r="AM2045" s="17">
        <v>2017</v>
      </c>
      <c r="AN2045" s="12" t="s">
        <v>304</v>
      </c>
      <c r="AO2045" s="15" t="s">
        <v>56</v>
      </c>
      <c r="AP2045" s="15"/>
      <c r="AQ2045" s="15" t="s">
        <v>56</v>
      </c>
      <c r="AR2045" s="15" t="s">
        <v>58</v>
      </c>
      <c r="AS2045" s="15" t="s">
        <v>62</v>
      </c>
      <c r="AT2045" s="12"/>
      <c r="AU2045" s="45"/>
      <c r="AV2045" s="15"/>
      <c r="AW2045" s="12" t="str">
        <f>B2045&amp;C2045&amp;L2045&amp;M2045&amp;O2045&amp;U2045&amp;AL2045&amp;AM2045</f>
        <v>MalaysiaSugud Islands Marine Conservation AreaPlectropomus spp.biomassden21.6666666666667Chung2017</v>
      </c>
    </row>
    <row r="2046" spans="1:49" ht="14.5" x14ac:dyDescent="0.35">
      <c r="A2046" s="12">
        <v>2045</v>
      </c>
      <c r="B2046" s="15" t="s">
        <v>1890</v>
      </c>
      <c r="C2046" s="15" t="s">
        <v>1891</v>
      </c>
      <c r="D2046" s="15" t="s">
        <v>1891</v>
      </c>
      <c r="E2046" s="15" t="s">
        <v>49</v>
      </c>
      <c r="F2046" s="16" t="s">
        <v>50</v>
      </c>
      <c r="G2046" s="16" t="s">
        <v>51</v>
      </c>
      <c r="H2046" s="16" t="s">
        <v>52</v>
      </c>
      <c r="I2046" s="16" t="s">
        <v>156</v>
      </c>
      <c r="J2046" s="17">
        <v>467</v>
      </c>
      <c r="K2046" s="17"/>
      <c r="L2046" s="17" t="s">
        <v>897</v>
      </c>
      <c r="M2046" s="17"/>
      <c r="N2046" s="17" t="s">
        <v>120</v>
      </c>
      <c r="O2046" s="17" t="s">
        <v>86</v>
      </c>
      <c r="P2046" s="17"/>
      <c r="Q2046" s="17"/>
      <c r="R2046" s="17"/>
      <c r="S2046" s="17">
        <v>1.76</v>
      </c>
      <c r="T2046" s="17">
        <v>6.12</v>
      </c>
      <c r="U2046" s="20">
        <f t="shared" si="139"/>
        <v>3.4772727272727275</v>
      </c>
      <c r="V2046" s="41">
        <f t="shared" si="138"/>
        <v>247.72727272727275</v>
      </c>
      <c r="W2046" s="17"/>
      <c r="X2046" s="17" t="s">
        <v>56</v>
      </c>
      <c r="Z2046" s="17" t="s">
        <v>56</v>
      </c>
      <c r="AA2046" s="17"/>
      <c r="AB2046" s="17" t="s">
        <v>57</v>
      </c>
      <c r="AC2046" s="17">
        <v>2010</v>
      </c>
      <c r="AD2046" s="17">
        <v>1</v>
      </c>
      <c r="AE2046" s="17"/>
      <c r="AF2046" s="17"/>
      <c r="AG2046" s="17">
        <v>2001</v>
      </c>
      <c r="AH2046" s="14">
        <f t="shared" si="136"/>
        <v>9</v>
      </c>
      <c r="AI2046" s="17">
        <f t="shared" si="137"/>
        <v>10</v>
      </c>
      <c r="AJ2046" s="17"/>
      <c r="AK2046" s="17" t="s">
        <v>56</v>
      </c>
      <c r="AL2046" s="15" t="s">
        <v>1892</v>
      </c>
      <c r="AM2046" s="17">
        <v>2017</v>
      </c>
      <c r="AN2046" s="15" t="s">
        <v>304</v>
      </c>
      <c r="AO2046" s="15" t="s">
        <v>56</v>
      </c>
      <c r="AP2046" s="15"/>
      <c r="AQ2046" s="15" t="s">
        <v>56</v>
      </c>
      <c r="AR2046" s="15" t="s">
        <v>58</v>
      </c>
      <c r="AS2046" s="15" t="s">
        <v>62</v>
      </c>
      <c r="AT2046" s="15"/>
      <c r="AU2046" s="45"/>
      <c r="AV2046" s="15"/>
      <c r="AW2046" s="12" t="str">
        <f>B2046&amp;C2046&amp;L2046&amp;M2046&amp;O2046&amp;U2046&amp;AL2046&amp;AM2046</f>
        <v>MalaysiaSugud Islands Marine Conservation AreaPlectropomus spp.density3.47727272727273Chung2017</v>
      </c>
    </row>
    <row r="2047" spans="1:49" ht="14.5" x14ac:dyDescent="0.35">
      <c r="A2047" s="12">
        <v>2046</v>
      </c>
      <c r="B2047" s="12" t="s">
        <v>1890</v>
      </c>
      <c r="C2047" s="12" t="s">
        <v>1891</v>
      </c>
      <c r="D2047" s="12" t="s">
        <v>1891</v>
      </c>
      <c r="E2047" s="12" t="s">
        <v>49</v>
      </c>
      <c r="F2047" s="13" t="s">
        <v>50</v>
      </c>
      <c r="G2047" s="13" t="s">
        <v>51</v>
      </c>
      <c r="H2047" s="13" t="s">
        <v>52</v>
      </c>
      <c r="I2047" s="13" t="s">
        <v>156</v>
      </c>
      <c r="J2047" s="17">
        <v>467</v>
      </c>
      <c r="K2047" s="17"/>
      <c r="L2047" s="14"/>
      <c r="M2047" s="14" t="s">
        <v>186</v>
      </c>
      <c r="N2047" s="53" t="s">
        <v>98</v>
      </c>
      <c r="O2047" s="17" t="s">
        <v>101</v>
      </c>
      <c r="P2047" s="14"/>
      <c r="Q2047" s="14"/>
      <c r="R2047" s="14"/>
      <c r="S2047" s="14">
        <v>33.380000000000003</v>
      </c>
      <c r="T2047" s="14">
        <v>47.25</v>
      </c>
      <c r="U2047" s="19">
        <f t="shared" si="139"/>
        <v>1.4155182744158177</v>
      </c>
      <c r="V2047" s="41">
        <f t="shared" si="138"/>
        <v>41.551827441581764</v>
      </c>
      <c r="W2047" s="14"/>
      <c r="X2047" s="14" t="s">
        <v>56</v>
      </c>
      <c r="Z2047" s="14" t="s">
        <v>56</v>
      </c>
      <c r="AA2047" s="14"/>
      <c r="AB2047" s="14" t="s">
        <v>57</v>
      </c>
      <c r="AC2047" s="14">
        <v>2010</v>
      </c>
      <c r="AD2047" s="14">
        <v>1</v>
      </c>
      <c r="AE2047" s="14"/>
      <c r="AF2047" s="14"/>
      <c r="AG2047" s="14">
        <v>2001</v>
      </c>
      <c r="AH2047" s="14">
        <f t="shared" si="136"/>
        <v>9</v>
      </c>
      <c r="AI2047" s="17">
        <f t="shared" si="137"/>
        <v>10</v>
      </c>
      <c r="AJ2047" s="14"/>
      <c r="AK2047" s="14" t="s">
        <v>56</v>
      </c>
      <c r="AL2047" s="12" t="s">
        <v>1892</v>
      </c>
      <c r="AM2047" s="14">
        <v>2017</v>
      </c>
      <c r="AN2047" s="12" t="s">
        <v>304</v>
      </c>
      <c r="AO2047" s="12" t="s">
        <v>56</v>
      </c>
      <c r="AP2047" s="12"/>
      <c r="AQ2047" s="12" t="s">
        <v>56</v>
      </c>
      <c r="AR2047" s="12" t="s">
        <v>58</v>
      </c>
      <c r="AS2047" s="12" t="s">
        <v>62</v>
      </c>
      <c r="AT2047" s="12"/>
      <c r="AU2047" s="45"/>
      <c r="AV2047" s="15"/>
      <c r="AW2047" s="12" t="str">
        <f>B2047&amp;C2047&amp;L2047&amp;M2047&amp;O2047&amp;U2047&amp;AL2047&amp;AM2047</f>
        <v>MalaysiaSugud Islands Marine Conservation Areahard coralcover1.41551827441582Chung2017</v>
      </c>
    </row>
    <row r="2048" spans="1:49" ht="14.5" x14ac:dyDescent="0.35">
      <c r="A2048" s="12">
        <v>2047</v>
      </c>
      <c r="B2048" s="15" t="s">
        <v>684</v>
      </c>
      <c r="C2048" s="43" t="s">
        <v>1400</v>
      </c>
      <c r="D2048" s="15" t="s">
        <v>1401</v>
      </c>
      <c r="E2048" s="15" t="s">
        <v>68</v>
      </c>
      <c r="F2048" s="16" t="s">
        <v>480</v>
      </c>
      <c r="G2048" s="16" t="s">
        <v>51</v>
      </c>
      <c r="H2048" s="16" t="s">
        <v>329</v>
      </c>
      <c r="I2048" s="16" t="s">
        <v>156</v>
      </c>
      <c r="J2048" s="17">
        <v>6</v>
      </c>
      <c r="K2048" s="17"/>
      <c r="L2048" s="17"/>
      <c r="M2048" s="17" t="s">
        <v>69</v>
      </c>
      <c r="N2048" s="14" t="s">
        <v>1070</v>
      </c>
      <c r="O2048" s="17" t="s">
        <v>86</v>
      </c>
      <c r="P2048" s="17"/>
      <c r="Q2048" s="17"/>
      <c r="R2048" s="17"/>
      <c r="S2048" s="17">
        <v>128.3784</v>
      </c>
      <c r="T2048" s="17">
        <v>185.8108</v>
      </c>
      <c r="U2048" s="20">
        <f t="shared" si="139"/>
        <v>1.4473680930748476</v>
      </c>
      <c r="V2048" s="41">
        <f t="shared" si="138"/>
        <v>44.736809307484762</v>
      </c>
      <c r="W2048" s="17"/>
      <c r="X2048" s="17" t="s">
        <v>56</v>
      </c>
      <c r="Z2048" s="17" t="s">
        <v>56</v>
      </c>
      <c r="AA2048" s="17"/>
      <c r="AB2048" s="17" t="s">
        <v>57</v>
      </c>
      <c r="AC2048" s="17">
        <v>2011</v>
      </c>
      <c r="AD2048" s="17">
        <v>0</v>
      </c>
      <c r="AE2048" s="17"/>
      <c r="AF2048" s="17"/>
      <c r="AG2048" s="17">
        <v>1991</v>
      </c>
      <c r="AH2048" s="14">
        <f t="shared" ref="AH2048:AH2111" si="140">IF(OR(AG2048="NA",AC2048="NA"),"NA",IF(OR(AC2048="",AG2048=""), "", AC2048-AG2048))</f>
        <v>20</v>
      </c>
      <c r="AI2048" s="17">
        <f t="shared" ref="AI2048:AI2111" si="141">IF(AH2048="NA", "NA",IF(OR(AH2048="",AND(AD2048="",AE2048="")), "",AH2048+AD2048+AE2048/12))</f>
        <v>20</v>
      </c>
      <c r="AJ2048" s="17"/>
      <c r="AK2048" s="17" t="s">
        <v>56</v>
      </c>
      <c r="AL2048" s="15" t="s">
        <v>1101</v>
      </c>
      <c r="AM2048" s="17">
        <v>2017</v>
      </c>
      <c r="AN2048" s="15" t="s">
        <v>150</v>
      </c>
      <c r="AO2048" s="15" t="s">
        <v>56</v>
      </c>
      <c r="AP2048" s="15"/>
      <c r="AQ2048" s="15" t="s">
        <v>56</v>
      </c>
      <c r="AR2048" s="15" t="s">
        <v>58</v>
      </c>
      <c r="AS2048" s="15" t="s">
        <v>62</v>
      </c>
      <c r="AT2048" s="15"/>
      <c r="AU2048" s="45"/>
      <c r="AV2048" s="15"/>
      <c r="AW2048" s="12" t="str">
        <f>B2048&amp;C2048&amp;L2048&amp;M2048&amp;O2048&amp;U2048&amp;AL2048&amp;AM2048</f>
        <v>KenyaMombasa Marine National Parkfishdensity1.44736809307485Chirico2017</v>
      </c>
    </row>
    <row r="2049" spans="1:49" ht="14.5" x14ac:dyDescent="0.35">
      <c r="A2049" s="12">
        <v>2048</v>
      </c>
      <c r="B2049" s="15" t="s">
        <v>684</v>
      </c>
      <c r="C2049" s="15" t="s">
        <v>1093</v>
      </c>
      <c r="D2049" s="15" t="s">
        <v>1093</v>
      </c>
      <c r="E2049" s="15" t="s">
        <v>68</v>
      </c>
      <c r="F2049" s="16" t="s">
        <v>480</v>
      </c>
      <c r="G2049" s="16" t="s">
        <v>51</v>
      </c>
      <c r="H2049" s="16" t="s">
        <v>329</v>
      </c>
      <c r="I2049" s="16" t="s">
        <v>156</v>
      </c>
      <c r="J2049" s="17">
        <v>28</v>
      </c>
      <c r="K2049" s="17"/>
      <c r="L2049" s="17"/>
      <c r="M2049" s="17" t="s">
        <v>69</v>
      </c>
      <c r="N2049" s="14" t="s">
        <v>1070</v>
      </c>
      <c r="O2049" s="17" t="s">
        <v>86</v>
      </c>
      <c r="P2049" s="17"/>
      <c r="Q2049" s="17"/>
      <c r="R2049" s="17"/>
      <c r="S2049" s="17">
        <v>191.21619999999999</v>
      </c>
      <c r="T2049" s="17">
        <v>228.3784</v>
      </c>
      <c r="U2049" s="20">
        <f t="shared" si="139"/>
        <v>1.1943465041141912</v>
      </c>
      <c r="V2049" s="41">
        <f t="shared" si="138"/>
        <v>19.434650411419121</v>
      </c>
      <c r="W2049" s="17"/>
      <c r="X2049" s="17" t="s">
        <v>56</v>
      </c>
      <c r="Z2049" s="17" t="s">
        <v>56</v>
      </c>
      <c r="AA2049" s="17"/>
      <c r="AB2049" s="17" t="s">
        <v>57</v>
      </c>
      <c r="AC2049" s="17">
        <v>2011</v>
      </c>
      <c r="AD2049" s="17">
        <v>0</v>
      </c>
      <c r="AE2049" s="17"/>
      <c r="AF2049" s="17"/>
      <c r="AG2049" s="17">
        <v>1978</v>
      </c>
      <c r="AH2049" s="14">
        <f t="shared" si="140"/>
        <v>33</v>
      </c>
      <c r="AI2049" s="17">
        <f t="shared" si="141"/>
        <v>33</v>
      </c>
      <c r="AJ2049" s="17"/>
      <c r="AK2049" s="17" t="s">
        <v>56</v>
      </c>
      <c r="AL2049" s="15" t="s">
        <v>1101</v>
      </c>
      <c r="AM2049" s="17">
        <v>2017</v>
      </c>
      <c r="AN2049" s="15" t="s">
        <v>150</v>
      </c>
      <c r="AO2049" s="15" t="s">
        <v>56</v>
      </c>
      <c r="AP2049" s="15"/>
      <c r="AQ2049" s="15" t="s">
        <v>56</v>
      </c>
      <c r="AR2049" s="15" t="s">
        <v>58</v>
      </c>
      <c r="AS2049" s="15" t="s">
        <v>62</v>
      </c>
      <c r="AT2049" s="15"/>
      <c r="AU2049" s="45"/>
      <c r="AV2049" s="15"/>
      <c r="AW2049" s="12" t="str">
        <f>B2049&amp;C2049&amp;L2049&amp;M2049&amp;O2049&amp;U2049&amp;AL2049&amp;AM2049</f>
        <v>KenyaKisite Marine National Parkfishdensity1.19434650411419Chirico2017</v>
      </c>
    </row>
    <row r="2050" spans="1:49" ht="14.5" x14ac:dyDescent="0.35">
      <c r="A2050" s="12">
        <v>2049</v>
      </c>
      <c r="B2050" s="12" t="s">
        <v>684</v>
      </c>
      <c r="C2050" s="43" t="s">
        <v>1400</v>
      </c>
      <c r="D2050" s="15" t="s">
        <v>1401</v>
      </c>
      <c r="E2050" s="15" t="s">
        <v>68</v>
      </c>
      <c r="F2050" s="13" t="s">
        <v>480</v>
      </c>
      <c r="G2050" s="13" t="s">
        <v>51</v>
      </c>
      <c r="H2050" s="16" t="s">
        <v>329</v>
      </c>
      <c r="I2050" s="16" t="s">
        <v>156</v>
      </c>
      <c r="J2050" s="17">
        <v>6</v>
      </c>
      <c r="K2050" s="17"/>
      <c r="L2050" s="17"/>
      <c r="M2050" s="17" t="s">
        <v>69</v>
      </c>
      <c r="N2050" s="14" t="s">
        <v>1070</v>
      </c>
      <c r="O2050" s="17" t="s">
        <v>104</v>
      </c>
      <c r="P2050" s="17" t="s">
        <v>1018</v>
      </c>
      <c r="Q2050" s="17"/>
      <c r="R2050" s="17"/>
      <c r="S2050" s="17">
        <v>10.0816</v>
      </c>
      <c r="T2050" s="17">
        <v>17.662769999999998</v>
      </c>
      <c r="U2050" s="20">
        <f t="shared" si="139"/>
        <v>1.7519808363751783</v>
      </c>
      <c r="V2050" s="41">
        <f t="shared" ref="V2050:V2113" si="142">IFERROR(IF(U2050 = "", "",(U2050-1)*100),"N/A")</f>
        <v>75.198083637517826</v>
      </c>
      <c r="W2050" s="17"/>
      <c r="X2050" s="17" t="s">
        <v>56</v>
      </c>
      <c r="Z2050" s="17" t="s">
        <v>56</v>
      </c>
      <c r="AA2050" s="17"/>
      <c r="AB2050" s="17" t="s">
        <v>57</v>
      </c>
      <c r="AC2050" s="17">
        <v>2011</v>
      </c>
      <c r="AD2050" s="17">
        <v>0</v>
      </c>
      <c r="AE2050" s="17"/>
      <c r="AF2050" s="17"/>
      <c r="AG2050" s="17">
        <v>1991</v>
      </c>
      <c r="AH2050" s="14">
        <f t="shared" si="140"/>
        <v>20</v>
      </c>
      <c r="AI2050" s="17">
        <f t="shared" si="141"/>
        <v>20</v>
      </c>
      <c r="AJ2050" s="17"/>
      <c r="AK2050" s="17" t="s">
        <v>56</v>
      </c>
      <c r="AL2050" s="15" t="s">
        <v>1101</v>
      </c>
      <c r="AM2050" s="17">
        <v>2017</v>
      </c>
      <c r="AN2050" s="15" t="s">
        <v>150</v>
      </c>
      <c r="AO2050" s="15" t="s">
        <v>56</v>
      </c>
      <c r="AP2050" s="15"/>
      <c r="AQ2050" s="15" t="s">
        <v>56</v>
      </c>
      <c r="AR2050" s="15" t="s">
        <v>58</v>
      </c>
      <c r="AS2050" s="15" t="s">
        <v>62</v>
      </c>
      <c r="AT2050" s="15"/>
      <c r="AU2050" s="45"/>
      <c r="AV2050" s="15"/>
      <c r="AW2050" s="12" t="str">
        <f>B2050&amp;C2050&amp;L2050&amp;M2050&amp;O2050&amp;U2050&amp;AL2050&amp;AM2050</f>
        <v>KenyaMombasa Marine National Parkfishsize1.75198083637518Chirico2017</v>
      </c>
    </row>
    <row r="2051" spans="1:49" ht="14.5" x14ac:dyDescent="0.35">
      <c r="A2051" s="12">
        <v>2050</v>
      </c>
      <c r="B2051" s="12" t="s">
        <v>684</v>
      </c>
      <c r="C2051" s="15" t="s">
        <v>1093</v>
      </c>
      <c r="D2051" s="15" t="s">
        <v>1093</v>
      </c>
      <c r="E2051" s="15" t="s">
        <v>68</v>
      </c>
      <c r="F2051" s="13" t="s">
        <v>480</v>
      </c>
      <c r="G2051" s="13" t="s">
        <v>51</v>
      </c>
      <c r="H2051" s="16" t="s">
        <v>329</v>
      </c>
      <c r="I2051" s="16" t="s">
        <v>156</v>
      </c>
      <c r="J2051" s="17">
        <v>28</v>
      </c>
      <c r="K2051" s="17"/>
      <c r="L2051" s="17"/>
      <c r="M2051" s="17" t="s">
        <v>69</v>
      </c>
      <c r="N2051" s="14" t="s">
        <v>1070</v>
      </c>
      <c r="O2051" s="17" t="s">
        <v>104</v>
      </c>
      <c r="P2051" s="17" t="s">
        <v>1018</v>
      </c>
      <c r="Q2051" s="17"/>
      <c r="R2051" s="17"/>
      <c r="S2051" s="17">
        <v>9.9190620000000003</v>
      </c>
      <c r="T2051" s="17">
        <v>21.206579999999999</v>
      </c>
      <c r="U2051" s="20">
        <f t="shared" si="139"/>
        <v>2.1379622387681416</v>
      </c>
      <c r="V2051" s="41">
        <f t="shared" si="142"/>
        <v>113.79622387681417</v>
      </c>
      <c r="W2051" s="17"/>
      <c r="X2051" s="17" t="s">
        <v>56</v>
      </c>
      <c r="Z2051" s="17" t="s">
        <v>56</v>
      </c>
      <c r="AA2051" s="17"/>
      <c r="AB2051" s="17" t="s">
        <v>57</v>
      </c>
      <c r="AC2051" s="17">
        <v>2011</v>
      </c>
      <c r="AD2051" s="17">
        <v>0</v>
      </c>
      <c r="AE2051" s="17"/>
      <c r="AF2051" s="17"/>
      <c r="AG2051" s="17">
        <v>1978</v>
      </c>
      <c r="AH2051" s="14">
        <f t="shared" si="140"/>
        <v>33</v>
      </c>
      <c r="AI2051" s="17">
        <f t="shared" si="141"/>
        <v>33</v>
      </c>
      <c r="AJ2051" s="17"/>
      <c r="AK2051" s="17" t="s">
        <v>56</v>
      </c>
      <c r="AL2051" s="15" t="s">
        <v>1101</v>
      </c>
      <c r="AM2051" s="17">
        <v>2017</v>
      </c>
      <c r="AN2051" s="15" t="s">
        <v>150</v>
      </c>
      <c r="AO2051" s="15" t="s">
        <v>56</v>
      </c>
      <c r="AP2051" s="15"/>
      <c r="AQ2051" s="15" t="s">
        <v>56</v>
      </c>
      <c r="AR2051" s="15" t="s">
        <v>58</v>
      </c>
      <c r="AS2051" s="15" t="s">
        <v>62</v>
      </c>
      <c r="AT2051" s="15"/>
      <c r="AU2051" s="45"/>
      <c r="AV2051" s="15"/>
      <c r="AW2051" s="12" t="str">
        <f>B2051&amp;C2051&amp;L2051&amp;M2051&amp;O2051&amp;U2051&amp;AL2051&amp;AM2051</f>
        <v>KenyaKisite Marine National Parkfishsize2.13796223876814Chirico2017</v>
      </c>
    </row>
    <row r="2052" spans="1:49" ht="14.5" x14ac:dyDescent="0.35">
      <c r="A2052" s="12">
        <v>2051</v>
      </c>
      <c r="B2052" s="12" t="s">
        <v>684</v>
      </c>
      <c r="C2052" s="44" t="s">
        <v>1400</v>
      </c>
      <c r="D2052" s="15" t="s">
        <v>1401</v>
      </c>
      <c r="E2052" s="12" t="s">
        <v>68</v>
      </c>
      <c r="F2052" s="13" t="s">
        <v>480</v>
      </c>
      <c r="G2052" s="13" t="s">
        <v>51</v>
      </c>
      <c r="H2052" s="13" t="s">
        <v>329</v>
      </c>
      <c r="I2052" s="13" t="s">
        <v>156</v>
      </c>
      <c r="J2052" s="17">
        <v>6</v>
      </c>
      <c r="K2052" s="14"/>
      <c r="L2052" s="14"/>
      <c r="M2052" s="14" t="s">
        <v>69</v>
      </c>
      <c r="N2052" s="14" t="s">
        <v>1070</v>
      </c>
      <c r="O2052" s="14" t="s">
        <v>70</v>
      </c>
      <c r="P2052" s="14"/>
      <c r="Q2052" s="14"/>
      <c r="R2052" s="14"/>
      <c r="S2052" s="14">
        <v>0.43113699999999999</v>
      </c>
      <c r="T2052" s="14">
        <v>2.1994180000000001</v>
      </c>
      <c r="U2052" s="19">
        <f t="shared" si="139"/>
        <v>5.1014364343584528</v>
      </c>
      <c r="V2052" s="41">
        <f t="shared" si="142"/>
        <v>410.14364343584526</v>
      </c>
      <c r="W2052" s="14"/>
      <c r="X2052" s="14" t="s">
        <v>56</v>
      </c>
      <c r="Z2052" s="14" t="s">
        <v>56</v>
      </c>
      <c r="AA2052" s="14"/>
      <c r="AB2052" s="14" t="s">
        <v>57</v>
      </c>
      <c r="AC2052" s="14">
        <v>2011</v>
      </c>
      <c r="AD2052" s="14">
        <v>0</v>
      </c>
      <c r="AE2052" s="14"/>
      <c r="AF2052" s="14"/>
      <c r="AG2052" s="14">
        <v>1991</v>
      </c>
      <c r="AH2052" s="14">
        <f t="shared" si="140"/>
        <v>20</v>
      </c>
      <c r="AI2052" s="17">
        <f t="shared" si="141"/>
        <v>20</v>
      </c>
      <c r="AJ2052" s="14"/>
      <c r="AK2052" s="14" t="s">
        <v>56</v>
      </c>
      <c r="AL2052" s="12" t="s">
        <v>1101</v>
      </c>
      <c r="AM2052" s="14">
        <v>2017</v>
      </c>
      <c r="AN2052" s="12" t="s">
        <v>150</v>
      </c>
      <c r="AO2052" s="12" t="s">
        <v>56</v>
      </c>
      <c r="AP2052" s="12"/>
      <c r="AQ2052" s="12" t="s">
        <v>56</v>
      </c>
      <c r="AR2052" s="12" t="s">
        <v>58</v>
      </c>
      <c r="AS2052" s="12" t="s">
        <v>62</v>
      </c>
      <c r="AT2052" s="12"/>
      <c r="AU2052" s="45" t="s">
        <v>2861</v>
      </c>
      <c r="AV2052" s="15"/>
      <c r="AW2052" s="12" t="str">
        <f>B2052&amp;C2052&amp;L2052&amp;M2052&amp;O2052&amp;U2052&amp;AL2052&amp;AM2052</f>
        <v>KenyaMombasa Marine National Parkfishbiomassden5.10143643435845Chirico2017</v>
      </c>
    </row>
    <row r="2053" spans="1:49" ht="14.5" x14ac:dyDescent="0.35">
      <c r="A2053" s="12">
        <v>2052</v>
      </c>
      <c r="B2053" s="12" t="s">
        <v>684</v>
      </c>
      <c r="C2053" s="12" t="s">
        <v>1093</v>
      </c>
      <c r="D2053" s="15" t="s">
        <v>1093</v>
      </c>
      <c r="E2053" s="12" t="s">
        <v>68</v>
      </c>
      <c r="F2053" s="13" t="s">
        <v>480</v>
      </c>
      <c r="G2053" s="13" t="s">
        <v>51</v>
      </c>
      <c r="H2053" s="13" t="s">
        <v>329</v>
      </c>
      <c r="I2053" s="13" t="s">
        <v>156</v>
      </c>
      <c r="J2053" s="17">
        <v>28</v>
      </c>
      <c r="K2053" s="17"/>
      <c r="L2053" s="14"/>
      <c r="M2053" s="14" t="s">
        <v>69</v>
      </c>
      <c r="N2053" s="14" t="s">
        <v>1070</v>
      </c>
      <c r="O2053" s="14" t="s">
        <v>70</v>
      </c>
      <c r="P2053" s="14"/>
      <c r="Q2053" s="14"/>
      <c r="R2053" s="14"/>
      <c r="S2053" s="14">
        <v>2.0130110000000001</v>
      </c>
      <c r="T2053" s="14">
        <v>6.3657000000000004</v>
      </c>
      <c r="U2053" s="19">
        <f t="shared" si="139"/>
        <v>3.1622778017606463</v>
      </c>
      <c r="V2053" s="41">
        <f t="shared" si="142"/>
        <v>216.22778017606464</v>
      </c>
      <c r="W2053" s="14"/>
      <c r="X2053" s="14" t="s">
        <v>56</v>
      </c>
      <c r="Z2053" s="14" t="s">
        <v>56</v>
      </c>
      <c r="AA2053" s="14"/>
      <c r="AB2053" s="14" t="s">
        <v>57</v>
      </c>
      <c r="AC2053" s="14">
        <v>2011</v>
      </c>
      <c r="AD2053" s="14">
        <v>0</v>
      </c>
      <c r="AE2053" s="14"/>
      <c r="AF2053" s="14"/>
      <c r="AG2053" s="14">
        <v>1978</v>
      </c>
      <c r="AH2053" s="14">
        <f t="shared" si="140"/>
        <v>33</v>
      </c>
      <c r="AI2053" s="17">
        <f t="shared" si="141"/>
        <v>33</v>
      </c>
      <c r="AJ2053" s="14"/>
      <c r="AK2053" s="14" t="s">
        <v>56</v>
      </c>
      <c r="AL2053" s="12" t="s">
        <v>1101</v>
      </c>
      <c r="AM2053" s="14">
        <v>2017</v>
      </c>
      <c r="AN2053" s="12" t="s">
        <v>150</v>
      </c>
      <c r="AO2053" s="12" t="s">
        <v>56</v>
      </c>
      <c r="AP2053" s="12"/>
      <c r="AQ2053" s="12" t="s">
        <v>56</v>
      </c>
      <c r="AR2053" s="12" t="s">
        <v>58</v>
      </c>
      <c r="AS2053" s="12" t="s">
        <v>62</v>
      </c>
      <c r="AT2053" s="12"/>
      <c r="AU2053" s="45" t="s">
        <v>2861</v>
      </c>
      <c r="AV2053" s="15"/>
      <c r="AW2053" s="12" t="str">
        <f>B2053&amp;C2053&amp;L2053&amp;M2053&amp;O2053&amp;U2053&amp;AL2053&amp;AM2053</f>
        <v>KenyaKisite Marine National Parkfishbiomassden3.16227780176065Chirico2017</v>
      </c>
    </row>
    <row r="2054" spans="1:49" ht="14.5" x14ac:dyDescent="0.35">
      <c r="A2054" s="12">
        <v>2053</v>
      </c>
      <c r="B2054" s="12" t="s">
        <v>728</v>
      </c>
      <c r="C2054" s="12" t="s">
        <v>729</v>
      </c>
      <c r="D2054" s="12" t="s">
        <v>729</v>
      </c>
      <c r="E2054" s="12" t="s">
        <v>68</v>
      </c>
      <c r="F2054" s="13" t="s">
        <v>50</v>
      </c>
      <c r="G2054" s="13" t="s">
        <v>51</v>
      </c>
      <c r="H2054" s="13" t="s">
        <v>52</v>
      </c>
      <c r="I2054" s="13" t="s">
        <v>53</v>
      </c>
      <c r="J2054" s="14">
        <v>0.15</v>
      </c>
      <c r="K2054" s="17"/>
      <c r="L2054" s="14"/>
      <c r="M2054" s="17" t="s">
        <v>1073</v>
      </c>
      <c r="N2054" s="53" t="s">
        <v>98</v>
      </c>
      <c r="O2054" s="14" t="s">
        <v>86</v>
      </c>
      <c r="P2054" s="14"/>
      <c r="Q2054" s="14"/>
      <c r="R2054" s="14"/>
      <c r="S2054" s="14">
        <v>33376.620000000003</v>
      </c>
      <c r="T2054" s="14">
        <v>14805.19</v>
      </c>
      <c r="U2054" s="19">
        <f t="shared" si="139"/>
        <v>0.44357966744385741</v>
      </c>
      <c r="V2054" s="41">
        <f t="shared" si="142"/>
        <v>-55.642033255614251</v>
      </c>
      <c r="W2054" s="14"/>
      <c r="X2054" s="14" t="s">
        <v>56</v>
      </c>
      <c r="Z2054" s="14" t="s">
        <v>56</v>
      </c>
      <c r="AA2054" s="14"/>
      <c r="AB2054" s="14" t="s">
        <v>57</v>
      </c>
      <c r="AC2054" s="14">
        <v>2015</v>
      </c>
      <c r="AD2054" s="14"/>
      <c r="AE2054" s="14">
        <v>3</v>
      </c>
      <c r="AF2054" s="14"/>
      <c r="AG2054" s="14">
        <v>1982</v>
      </c>
      <c r="AH2054" s="14">
        <f t="shared" si="140"/>
        <v>33</v>
      </c>
      <c r="AI2054" s="17">
        <f t="shared" si="141"/>
        <v>33.25</v>
      </c>
      <c r="AJ2054" s="14"/>
      <c r="AK2054" s="14" t="s">
        <v>56</v>
      </c>
      <c r="AL2054" s="12" t="s">
        <v>737</v>
      </c>
      <c r="AM2054" s="14">
        <v>2019</v>
      </c>
      <c r="AN2054" s="12" t="s">
        <v>738</v>
      </c>
      <c r="AO2054" s="12" t="s">
        <v>56</v>
      </c>
      <c r="AP2054" s="12"/>
      <c r="AQ2054" s="12" t="s">
        <v>56</v>
      </c>
      <c r="AR2054" s="12" t="s">
        <v>58</v>
      </c>
      <c r="AS2054" s="12" t="s">
        <v>62</v>
      </c>
      <c r="AT2054" s="12"/>
      <c r="AU2054" s="45"/>
      <c r="AV2054" s="15"/>
      <c r="AW2054" s="12" t="str">
        <f>B2054&amp;C2054&amp;L2054&amp;M2054&amp;O2054&amp;U2054&amp;AL2054&amp;AM2054</f>
        <v>ChileEstación Costera de Investigaciones MarinasGrazersdensity0.443579667443857Chaverra2019</v>
      </c>
    </row>
    <row r="2055" spans="1:49" ht="14.5" x14ac:dyDescent="0.35">
      <c r="A2055" s="12">
        <v>2054</v>
      </c>
      <c r="B2055" s="15" t="s">
        <v>728</v>
      </c>
      <c r="C2055" s="12" t="s">
        <v>729</v>
      </c>
      <c r="D2055" s="12" t="s">
        <v>729</v>
      </c>
      <c r="E2055" s="15" t="s">
        <v>68</v>
      </c>
      <c r="F2055" s="13" t="s">
        <v>50</v>
      </c>
      <c r="G2055" s="13" t="s">
        <v>51</v>
      </c>
      <c r="H2055" s="16" t="s">
        <v>52</v>
      </c>
      <c r="I2055" s="16" t="s">
        <v>53</v>
      </c>
      <c r="J2055" s="14">
        <v>0.15</v>
      </c>
      <c r="K2055" s="17"/>
      <c r="L2055" s="17" t="s">
        <v>736</v>
      </c>
      <c r="M2055" s="17"/>
      <c r="N2055" s="14" t="s">
        <v>85</v>
      </c>
      <c r="O2055" s="17" t="s">
        <v>86</v>
      </c>
      <c r="P2055" s="17"/>
      <c r="Q2055" s="17">
        <v>30.61224</v>
      </c>
      <c r="R2055" s="17">
        <v>30.61224</v>
      </c>
      <c r="S2055" s="17">
        <v>468.3895</v>
      </c>
      <c r="T2055" s="17">
        <v>519.40989999999999</v>
      </c>
      <c r="U2055" s="20">
        <f t="shared" si="139"/>
        <v>1.1089272923496363</v>
      </c>
      <c r="V2055" s="41">
        <f t="shared" si="142"/>
        <v>10.892729234963628</v>
      </c>
      <c r="W2055" s="17"/>
      <c r="X2055" s="17" t="s">
        <v>56</v>
      </c>
      <c r="Z2055" s="17" t="s">
        <v>56</v>
      </c>
      <c r="AA2055" s="17"/>
      <c r="AB2055" s="17" t="s">
        <v>111</v>
      </c>
      <c r="AC2055" s="17">
        <v>1981</v>
      </c>
      <c r="AD2055" s="17">
        <v>22</v>
      </c>
      <c r="AE2055" s="17"/>
      <c r="AF2055" s="17"/>
      <c r="AG2055" s="17">
        <v>1982</v>
      </c>
      <c r="AH2055" s="14">
        <f t="shared" si="140"/>
        <v>-1</v>
      </c>
      <c r="AI2055" s="17">
        <f t="shared" si="141"/>
        <v>21</v>
      </c>
      <c r="AJ2055" s="17"/>
      <c r="AK2055" s="17" t="s">
        <v>58</v>
      </c>
      <c r="AL2055" s="15" t="s">
        <v>1963</v>
      </c>
      <c r="AM2055" s="17">
        <v>2007</v>
      </c>
      <c r="AN2055" s="15" t="s">
        <v>72</v>
      </c>
      <c r="AO2055" s="15" t="s">
        <v>56</v>
      </c>
      <c r="AP2055" s="15"/>
      <c r="AQ2055" s="15" t="s">
        <v>56</v>
      </c>
      <c r="AR2055" s="15" t="s">
        <v>58</v>
      </c>
      <c r="AS2055" s="15" t="s">
        <v>62</v>
      </c>
      <c r="AT2055" s="15"/>
      <c r="AU2055" s="45"/>
      <c r="AV2055" s="15"/>
      <c r="AW2055" s="12" t="str">
        <f>B2055&amp;C2055&amp;L2055&amp;M2055&amp;O2055&amp;U2055&amp;AL2055&amp;AM2055</f>
        <v>ChileEstación Costera de Investigaciones MarinasDurvillaea antarcticadensity1.10892729234964Castilla2007</v>
      </c>
    </row>
    <row r="2056" spans="1:49" ht="14.5" x14ac:dyDescent="0.35">
      <c r="A2056" s="12">
        <v>2055</v>
      </c>
      <c r="B2056" s="12" t="s">
        <v>728</v>
      </c>
      <c r="C2056" s="12" t="s">
        <v>729</v>
      </c>
      <c r="D2056" s="12" t="s">
        <v>729</v>
      </c>
      <c r="E2056" s="12" t="s">
        <v>68</v>
      </c>
      <c r="F2056" s="13" t="s">
        <v>50</v>
      </c>
      <c r="G2056" s="13" t="s">
        <v>51</v>
      </c>
      <c r="H2056" s="13" t="s">
        <v>52</v>
      </c>
      <c r="I2056" s="13" t="s">
        <v>53</v>
      </c>
      <c r="J2056" s="14">
        <v>0.15</v>
      </c>
      <c r="K2056" s="17"/>
      <c r="L2056" s="14" t="s">
        <v>736</v>
      </c>
      <c r="M2056" s="14"/>
      <c r="N2056" s="14" t="s">
        <v>85</v>
      </c>
      <c r="O2056" s="17" t="s">
        <v>70</v>
      </c>
      <c r="P2056" s="14"/>
      <c r="Q2056" s="14">
        <v>10.204079999999999</v>
      </c>
      <c r="R2056" s="14">
        <v>10.204079999999999</v>
      </c>
      <c r="S2056" s="14">
        <v>113.53579999999999</v>
      </c>
      <c r="T2056" s="14">
        <v>409.02390000000003</v>
      </c>
      <c r="U2056" s="19">
        <f t="shared" si="139"/>
        <v>3.6025984755469205</v>
      </c>
      <c r="V2056" s="41">
        <f t="shared" si="142"/>
        <v>260.25984755469204</v>
      </c>
      <c r="W2056" s="14"/>
      <c r="X2056" s="14" t="s">
        <v>56</v>
      </c>
      <c r="Z2056" s="14" t="s">
        <v>56</v>
      </c>
      <c r="AA2056" s="14"/>
      <c r="AB2056" s="14" t="s">
        <v>111</v>
      </c>
      <c r="AC2056" s="14">
        <v>1981</v>
      </c>
      <c r="AD2056" s="14">
        <v>22</v>
      </c>
      <c r="AE2056" s="14"/>
      <c r="AF2056" s="14"/>
      <c r="AG2056" s="14">
        <v>1982</v>
      </c>
      <c r="AH2056" s="14">
        <f t="shared" si="140"/>
        <v>-1</v>
      </c>
      <c r="AI2056" s="17">
        <f t="shared" si="141"/>
        <v>21</v>
      </c>
      <c r="AJ2056" s="14"/>
      <c r="AK2056" s="14" t="s">
        <v>58</v>
      </c>
      <c r="AL2056" s="12" t="s">
        <v>1963</v>
      </c>
      <c r="AM2056" s="14">
        <v>2007</v>
      </c>
      <c r="AN2056" s="12" t="s">
        <v>72</v>
      </c>
      <c r="AO2056" s="12" t="s">
        <v>56</v>
      </c>
      <c r="AP2056" s="12"/>
      <c r="AQ2056" s="12" t="s">
        <v>56</v>
      </c>
      <c r="AR2056" s="12" t="s">
        <v>58</v>
      </c>
      <c r="AS2056" s="12" t="s">
        <v>62</v>
      </c>
      <c r="AT2056" s="12"/>
      <c r="AU2056" s="45"/>
      <c r="AV2056" s="15"/>
      <c r="AW2056" s="12" t="str">
        <f>B2056&amp;C2056&amp;L2056&amp;M2056&amp;O2056&amp;U2056&amp;AL2056&amp;AM2056</f>
        <v>ChileEstación Costera de Investigaciones MarinasDurvillaea antarcticabiomassden3.60259847554692Castilla2007</v>
      </c>
    </row>
    <row r="2057" spans="1:49" ht="14.5" x14ac:dyDescent="0.35">
      <c r="A2057" s="12">
        <v>2056</v>
      </c>
      <c r="B2057" s="15" t="s">
        <v>66</v>
      </c>
      <c r="C2057" s="12" t="s">
        <v>896</v>
      </c>
      <c r="D2057" s="44" t="s">
        <v>888</v>
      </c>
      <c r="E2057" s="12" t="s">
        <v>49</v>
      </c>
      <c r="F2057" s="13" t="s">
        <v>50</v>
      </c>
      <c r="G2057" s="13" t="s">
        <v>51</v>
      </c>
      <c r="H2057" s="16" t="s">
        <v>52</v>
      </c>
      <c r="I2057" s="16" t="s">
        <v>156</v>
      </c>
      <c r="J2057" s="17">
        <v>114168</v>
      </c>
      <c r="K2057" s="17"/>
      <c r="L2057" s="17"/>
      <c r="M2057" s="17" t="s">
        <v>335</v>
      </c>
      <c r="N2057" s="53" t="s">
        <v>98</v>
      </c>
      <c r="O2057" s="17" t="s">
        <v>101</v>
      </c>
      <c r="P2057" s="17"/>
      <c r="Q2057" s="17"/>
      <c r="R2057" s="17"/>
      <c r="S2057" s="17">
        <v>10.4712</v>
      </c>
      <c r="T2057" s="17">
        <v>11.37867</v>
      </c>
      <c r="U2057" s="19">
        <f t="shared" si="139"/>
        <v>1.0866634196653679</v>
      </c>
      <c r="V2057" s="41">
        <f t="shared" si="142"/>
        <v>8.6663419665367947</v>
      </c>
      <c r="W2057" s="14"/>
      <c r="X2057" s="17" t="s">
        <v>58</v>
      </c>
      <c r="Y2057" s="14">
        <v>1000</v>
      </c>
      <c r="Z2057" s="17" t="s">
        <v>56</v>
      </c>
      <c r="AA2057" s="17"/>
      <c r="AB2057" s="17" t="s">
        <v>57</v>
      </c>
      <c r="AC2057" s="17">
        <v>2014</v>
      </c>
      <c r="AD2057" s="17">
        <v>0</v>
      </c>
      <c r="AE2057" s="17"/>
      <c r="AF2057" s="17"/>
      <c r="AG2057" s="14">
        <v>1975</v>
      </c>
      <c r="AH2057" s="14">
        <f t="shared" si="140"/>
        <v>39</v>
      </c>
      <c r="AI2057" s="17">
        <f t="shared" si="141"/>
        <v>39</v>
      </c>
      <c r="AJ2057" s="17"/>
      <c r="AK2057" s="17" t="s">
        <v>56</v>
      </c>
      <c r="AL2057" s="15" t="s">
        <v>894</v>
      </c>
      <c r="AM2057" s="17">
        <v>2017</v>
      </c>
      <c r="AN2057" s="12" t="s">
        <v>150</v>
      </c>
      <c r="AO2057" s="15" t="s">
        <v>56</v>
      </c>
      <c r="AP2057" s="15"/>
      <c r="AQ2057" s="15" t="s">
        <v>56</v>
      </c>
      <c r="AR2057" s="15" t="s">
        <v>58</v>
      </c>
      <c r="AS2057" s="15" t="s">
        <v>62</v>
      </c>
      <c r="AT2057" s="12"/>
      <c r="AU2057" s="45" t="s">
        <v>2579</v>
      </c>
      <c r="AV2057" s="15"/>
      <c r="AW2057" s="12" t="str">
        <f>B2057&amp;C2057&amp;L2057&amp;M2057&amp;O2057&amp;U2057&amp;AL2057&amp;AM2057</f>
        <v>AustraliaGreat Barrier Reef Marine Park no-take zonesMassive coralcover1.08666341966537Castro-Sanguino2017</v>
      </c>
    </row>
    <row r="2058" spans="1:49" ht="14.5" x14ac:dyDescent="0.35">
      <c r="A2058" s="12">
        <v>2057</v>
      </c>
      <c r="B2058" s="15" t="s">
        <v>66</v>
      </c>
      <c r="C2058" s="12" t="s">
        <v>887</v>
      </c>
      <c r="D2058" s="12" t="s">
        <v>888</v>
      </c>
      <c r="E2058" s="12" t="s">
        <v>49</v>
      </c>
      <c r="F2058" s="13" t="s">
        <v>50</v>
      </c>
      <c r="G2058" s="13" t="s">
        <v>51</v>
      </c>
      <c r="H2058" s="16" t="s">
        <v>52</v>
      </c>
      <c r="I2058" s="16" t="s">
        <v>156</v>
      </c>
      <c r="J2058" s="17">
        <v>114168</v>
      </c>
      <c r="K2058" s="17"/>
      <c r="L2058" s="17"/>
      <c r="M2058" s="17" t="s">
        <v>335</v>
      </c>
      <c r="N2058" s="53" t="s">
        <v>98</v>
      </c>
      <c r="O2058" s="17" t="s">
        <v>101</v>
      </c>
      <c r="P2058" s="17"/>
      <c r="Q2058" s="17"/>
      <c r="R2058" s="17"/>
      <c r="S2058" s="17">
        <v>10.4712</v>
      </c>
      <c r="T2058" s="17">
        <v>14.57559</v>
      </c>
      <c r="U2058" s="19">
        <f t="shared" si="139"/>
        <v>1.3919694017877609</v>
      </c>
      <c r="V2058" s="41">
        <f t="shared" si="142"/>
        <v>39.196940178776089</v>
      </c>
      <c r="W2058" s="14"/>
      <c r="X2058" s="17" t="s">
        <v>58</v>
      </c>
      <c r="Y2058" s="14">
        <v>1000</v>
      </c>
      <c r="Z2058" s="17" t="s">
        <v>56</v>
      </c>
      <c r="AA2058" s="17"/>
      <c r="AB2058" s="17" t="s">
        <v>57</v>
      </c>
      <c r="AC2058" s="17">
        <v>2014</v>
      </c>
      <c r="AD2058" s="17">
        <v>0</v>
      </c>
      <c r="AE2058" s="17"/>
      <c r="AF2058" s="17"/>
      <c r="AG2058" s="14">
        <v>1975</v>
      </c>
      <c r="AH2058" s="14">
        <f t="shared" si="140"/>
        <v>39</v>
      </c>
      <c r="AI2058" s="17">
        <f t="shared" si="141"/>
        <v>39</v>
      </c>
      <c r="AJ2058" s="17"/>
      <c r="AK2058" s="17" t="s">
        <v>56</v>
      </c>
      <c r="AL2058" s="15" t="s">
        <v>894</v>
      </c>
      <c r="AM2058" s="17">
        <v>2017</v>
      </c>
      <c r="AN2058" s="12" t="s">
        <v>150</v>
      </c>
      <c r="AO2058" s="15" t="s">
        <v>56</v>
      </c>
      <c r="AP2058" s="15"/>
      <c r="AQ2058" s="15" t="s">
        <v>56</v>
      </c>
      <c r="AR2058" s="15" t="s">
        <v>58</v>
      </c>
      <c r="AS2058" s="15" t="s">
        <v>62</v>
      </c>
      <c r="AT2058" s="12"/>
      <c r="AU2058" s="45" t="s">
        <v>2579</v>
      </c>
      <c r="AV2058" s="15"/>
      <c r="AW2058" s="12" t="str">
        <f>B2058&amp;C2058&amp;L2058&amp;M2058&amp;O2058&amp;U2058&amp;AL2058&amp;AM2058</f>
        <v>AustraliaGreat Barrier Reef Marine Park no-entry zonesMassive coralcover1.39196940178776Castro-Sanguino2017</v>
      </c>
    </row>
    <row r="2059" spans="1:49" ht="14.5" x14ac:dyDescent="0.35">
      <c r="A2059" s="12">
        <v>2058</v>
      </c>
      <c r="B2059" s="15" t="s">
        <v>66</v>
      </c>
      <c r="C2059" s="12" t="s">
        <v>896</v>
      </c>
      <c r="D2059" s="12" t="s">
        <v>888</v>
      </c>
      <c r="E2059" s="12" t="s">
        <v>49</v>
      </c>
      <c r="F2059" s="13" t="s">
        <v>50</v>
      </c>
      <c r="G2059" s="13" t="s">
        <v>51</v>
      </c>
      <c r="H2059" s="16" t="s">
        <v>52</v>
      </c>
      <c r="I2059" s="16" t="s">
        <v>156</v>
      </c>
      <c r="J2059" s="17">
        <v>114168</v>
      </c>
      <c r="K2059" s="17"/>
      <c r="L2059" s="17"/>
      <c r="M2059" s="17" t="s">
        <v>895</v>
      </c>
      <c r="N2059" s="53" t="s">
        <v>98</v>
      </c>
      <c r="O2059" s="17" t="s">
        <v>101</v>
      </c>
      <c r="P2059" s="17"/>
      <c r="Q2059" s="17"/>
      <c r="R2059" s="17"/>
      <c r="S2059" s="17">
        <v>4.5714290000000002</v>
      </c>
      <c r="T2059" s="17">
        <v>6.5714290000000002</v>
      </c>
      <c r="U2059" s="19">
        <f t="shared" si="139"/>
        <v>1.4374999589843789</v>
      </c>
      <c r="V2059" s="41">
        <f t="shared" si="142"/>
        <v>43.749995898437888</v>
      </c>
      <c r="W2059" s="14"/>
      <c r="X2059" s="17" t="s">
        <v>58</v>
      </c>
      <c r="Y2059" s="14">
        <v>1000</v>
      </c>
      <c r="Z2059" s="17" t="s">
        <v>56</v>
      </c>
      <c r="AA2059" s="17"/>
      <c r="AB2059" s="17" t="s">
        <v>57</v>
      </c>
      <c r="AC2059" s="17">
        <v>2014</v>
      </c>
      <c r="AD2059" s="17">
        <v>0</v>
      </c>
      <c r="AE2059" s="17"/>
      <c r="AF2059" s="17"/>
      <c r="AG2059" s="14">
        <v>1975</v>
      </c>
      <c r="AH2059" s="14">
        <f t="shared" si="140"/>
        <v>39</v>
      </c>
      <c r="AI2059" s="17">
        <f t="shared" si="141"/>
        <v>39</v>
      </c>
      <c r="AJ2059" s="17"/>
      <c r="AK2059" s="17" t="s">
        <v>56</v>
      </c>
      <c r="AL2059" s="15" t="s">
        <v>894</v>
      </c>
      <c r="AM2059" s="17">
        <v>2017</v>
      </c>
      <c r="AN2059" s="12" t="s">
        <v>150</v>
      </c>
      <c r="AO2059" s="15" t="s">
        <v>56</v>
      </c>
      <c r="AP2059" s="15"/>
      <c r="AQ2059" s="15" t="s">
        <v>56</v>
      </c>
      <c r="AR2059" s="15" t="s">
        <v>58</v>
      </c>
      <c r="AS2059" s="15" t="s">
        <v>62</v>
      </c>
      <c r="AT2059" s="12"/>
      <c r="AU2059" s="45" t="s">
        <v>2579</v>
      </c>
      <c r="AV2059" s="15"/>
      <c r="AW2059" s="12" t="str">
        <f>B2059&amp;C2059&amp;L2059&amp;M2059&amp;O2059&amp;U2059&amp;AL2059&amp;AM2059</f>
        <v>AustraliaGreat Barrier Reef Marine Park no-take zonesPlate coralscover1.43749995898438Castro-Sanguino2017</v>
      </c>
    </row>
    <row r="2060" spans="1:49" ht="14.5" x14ac:dyDescent="0.35">
      <c r="A2060" s="12">
        <v>2059</v>
      </c>
      <c r="B2060" s="15" t="s">
        <v>66</v>
      </c>
      <c r="C2060" s="12" t="s">
        <v>887</v>
      </c>
      <c r="D2060" s="12" t="s">
        <v>888</v>
      </c>
      <c r="E2060" s="12" t="s">
        <v>49</v>
      </c>
      <c r="F2060" s="13" t="s">
        <v>50</v>
      </c>
      <c r="G2060" s="13" t="s">
        <v>51</v>
      </c>
      <c r="H2060" s="16" t="s">
        <v>52</v>
      </c>
      <c r="I2060" s="16" t="s">
        <v>156</v>
      </c>
      <c r="J2060" s="17">
        <v>114168</v>
      </c>
      <c r="K2060" s="17"/>
      <c r="L2060" s="17"/>
      <c r="M2060" s="17" t="s">
        <v>895</v>
      </c>
      <c r="N2060" s="53" t="s">
        <v>98</v>
      </c>
      <c r="O2060" s="17" t="s">
        <v>101</v>
      </c>
      <c r="P2060" s="17"/>
      <c r="Q2060" s="17"/>
      <c r="R2060" s="17"/>
      <c r="S2060" s="17">
        <v>4.5714290000000002</v>
      </c>
      <c r="T2060" s="17">
        <v>8.8571430000000007</v>
      </c>
      <c r="U2060" s="19">
        <f t="shared" si="139"/>
        <v>1.9374998496093891</v>
      </c>
      <c r="V2060" s="41">
        <f t="shared" si="142"/>
        <v>93.749984960938917</v>
      </c>
      <c r="W2060" s="14"/>
      <c r="X2060" s="17" t="s">
        <v>58</v>
      </c>
      <c r="Y2060" s="14">
        <v>1000</v>
      </c>
      <c r="Z2060" s="17" t="s">
        <v>56</v>
      </c>
      <c r="AA2060" s="17"/>
      <c r="AB2060" s="17" t="s">
        <v>57</v>
      </c>
      <c r="AC2060" s="17">
        <v>2014</v>
      </c>
      <c r="AD2060" s="17">
        <v>0</v>
      </c>
      <c r="AE2060" s="17"/>
      <c r="AF2060" s="17"/>
      <c r="AG2060" s="14">
        <v>1975</v>
      </c>
      <c r="AH2060" s="14">
        <f t="shared" si="140"/>
        <v>39</v>
      </c>
      <c r="AI2060" s="17">
        <f t="shared" si="141"/>
        <v>39</v>
      </c>
      <c r="AJ2060" s="17"/>
      <c r="AK2060" s="17" t="s">
        <v>56</v>
      </c>
      <c r="AL2060" s="15" t="s">
        <v>894</v>
      </c>
      <c r="AM2060" s="17">
        <v>2017</v>
      </c>
      <c r="AN2060" s="12" t="s">
        <v>150</v>
      </c>
      <c r="AO2060" s="15" t="s">
        <v>56</v>
      </c>
      <c r="AP2060" s="15"/>
      <c r="AQ2060" s="15" t="s">
        <v>56</v>
      </c>
      <c r="AR2060" s="15" t="s">
        <v>58</v>
      </c>
      <c r="AS2060" s="15" t="s">
        <v>62</v>
      </c>
      <c r="AT2060" s="12"/>
      <c r="AU2060" s="45" t="s">
        <v>2579</v>
      </c>
      <c r="AV2060" s="15"/>
      <c r="AW2060" s="12" t="str">
        <f>B2060&amp;C2060&amp;L2060&amp;M2060&amp;O2060&amp;U2060&amp;AL2060&amp;AM2060</f>
        <v>AustraliaGreat Barrier Reef Marine Park no-entry zonesPlate coralscover1.93749984960939Castro-Sanguino2017</v>
      </c>
    </row>
    <row r="2061" spans="1:49" ht="14.5" x14ac:dyDescent="0.35">
      <c r="A2061" s="12">
        <v>2060</v>
      </c>
      <c r="B2061" s="15" t="s">
        <v>66</v>
      </c>
      <c r="C2061" s="12" t="s">
        <v>896</v>
      </c>
      <c r="D2061" s="12" t="s">
        <v>888</v>
      </c>
      <c r="E2061" s="12" t="s">
        <v>49</v>
      </c>
      <c r="F2061" s="13" t="s">
        <v>50</v>
      </c>
      <c r="G2061" s="13" t="s">
        <v>51</v>
      </c>
      <c r="H2061" s="16" t="s">
        <v>52</v>
      </c>
      <c r="I2061" s="16" t="s">
        <v>156</v>
      </c>
      <c r="J2061" s="17">
        <v>114168</v>
      </c>
      <c r="K2061" s="17"/>
      <c r="L2061" s="17"/>
      <c r="M2061" s="17" t="s">
        <v>334</v>
      </c>
      <c r="N2061" s="53" t="s">
        <v>98</v>
      </c>
      <c r="O2061" s="17" t="s">
        <v>101</v>
      </c>
      <c r="P2061" s="17"/>
      <c r="Q2061" s="17"/>
      <c r="R2061" s="17"/>
      <c r="S2061" s="17">
        <v>11.51952</v>
      </c>
      <c r="T2061" s="17">
        <v>10.95858</v>
      </c>
      <c r="U2061" s="19">
        <f t="shared" si="139"/>
        <v>0.95130526271927995</v>
      </c>
      <c r="V2061" s="41">
        <f t="shared" si="142"/>
        <v>-4.8694737280720046</v>
      </c>
      <c r="W2061" s="14"/>
      <c r="X2061" s="17" t="s">
        <v>58</v>
      </c>
      <c r="Y2061" s="14">
        <v>1000</v>
      </c>
      <c r="Z2061" s="17" t="s">
        <v>56</v>
      </c>
      <c r="AA2061" s="17"/>
      <c r="AB2061" s="17" t="s">
        <v>57</v>
      </c>
      <c r="AC2061" s="17">
        <v>2014</v>
      </c>
      <c r="AD2061" s="17">
        <v>0</v>
      </c>
      <c r="AE2061" s="17"/>
      <c r="AF2061" s="17"/>
      <c r="AG2061" s="14">
        <v>1975</v>
      </c>
      <c r="AH2061" s="14">
        <f t="shared" si="140"/>
        <v>39</v>
      </c>
      <c r="AI2061" s="17">
        <f t="shared" si="141"/>
        <v>39</v>
      </c>
      <c r="AJ2061" s="17"/>
      <c r="AK2061" s="17" t="s">
        <v>56</v>
      </c>
      <c r="AL2061" s="15" t="s">
        <v>894</v>
      </c>
      <c r="AM2061" s="17">
        <v>2017</v>
      </c>
      <c r="AN2061" s="12" t="s">
        <v>150</v>
      </c>
      <c r="AO2061" s="15" t="s">
        <v>56</v>
      </c>
      <c r="AP2061" s="15"/>
      <c r="AQ2061" s="15" t="s">
        <v>56</v>
      </c>
      <c r="AR2061" s="15" t="s">
        <v>58</v>
      </c>
      <c r="AS2061" s="15" t="s">
        <v>62</v>
      </c>
      <c r="AT2061" s="12"/>
      <c r="AU2061" s="45" t="s">
        <v>2579</v>
      </c>
      <c r="AV2061" s="15"/>
      <c r="AW2061" s="12" t="str">
        <f>B2061&amp;C2061&amp;L2061&amp;M2061&amp;O2061&amp;U2061&amp;AL2061&amp;AM2061</f>
        <v>AustraliaGreat Barrier Reef Marine Park no-take zonesBranching coralcover0.95130526271928Castro-Sanguino2017</v>
      </c>
    </row>
    <row r="2062" spans="1:49" ht="14.5" x14ac:dyDescent="0.35">
      <c r="A2062" s="12">
        <v>2061</v>
      </c>
      <c r="B2062" s="15" t="s">
        <v>66</v>
      </c>
      <c r="C2062" s="12" t="s">
        <v>887</v>
      </c>
      <c r="D2062" s="12" t="s">
        <v>888</v>
      </c>
      <c r="E2062" s="12" t="s">
        <v>49</v>
      </c>
      <c r="F2062" s="13" t="s">
        <v>50</v>
      </c>
      <c r="G2062" s="13" t="s">
        <v>51</v>
      </c>
      <c r="H2062" s="16" t="s">
        <v>52</v>
      </c>
      <c r="I2062" s="16" t="s">
        <v>156</v>
      </c>
      <c r="J2062" s="17">
        <v>114168</v>
      </c>
      <c r="K2062" s="17"/>
      <c r="L2062" s="17"/>
      <c r="M2062" s="17" t="s">
        <v>334</v>
      </c>
      <c r="N2062" s="53" t="s">
        <v>98</v>
      </c>
      <c r="O2062" s="17" t="s">
        <v>101</v>
      </c>
      <c r="P2062" s="17"/>
      <c r="Q2062" s="17"/>
      <c r="R2062" s="17"/>
      <c r="S2062" s="17">
        <v>11.51952</v>
      </c>
      <c r="T2062" s="17">
        <v>11.966189999999999</v>
      </c>
      <c r="U2062" s="19">
        <f t="shared" si="139"/>
        <v>1.0387750531272135</v>
      </c>
      <c r="V2062" s="41">
        <f t="shared" si="142"/>
        <v>3.8775053127213521</v>
      </c>
      <c r="W2062" s="14"/>
      <c r="X2062" s="17" t="s">
        <v>58</v>
      </c>
      <c r="Y2062" s="14">
        <v>1000</v>
      </c>
      <c r="Z2062" s="17" t="s">
        <v>56</v>
      </c>
      <c r="AA2062" s="17"/>
      <c r="AB2062" s="17" t="s">
        <v>57</v>
      </c>
      <c r="AC2062" s="17">
        <v>2014</v>
      </c>
      <c r="AD2062" s="17">
        <v>0</v>
      </c>
      <c r="AE2062" s="17"/>
      <c r="AF2062" s="17"/>
      <c r="AG2062" s="14">
        <v>1975</v>
      </c>
      <c r="AH2062" s="14">
        <f t="shared" si="140"/>
        <v>39</v>
      </c>
      <c r="AI2062" s="17">
        <f t="shared" si="141"/>
        <v>39</v>
      </c>
      <c r="AJ2062" s="17"/>
      <c r="AK2062" s="17" t="s">
        <v>56</v>
      </c>
      <c r="AL2062" s="15" t="s">
        <v>894</v>
      </c>
      <c r="AM2062" s="17">
        <v>2017</v>
      </c>
      <c r="AN2062" s="12" t="s">
        <v>150</v>
      </c>
      <c r="AO2062" s="15" t="s">
        <v>56</v>
      </c>
      <c r="AP2062" s="15"/>
      <c r="AQ2062" s="15" t="s">
        <v>56</v>
      </c>
      <c r="AR2062" s="15" t="s">
        <v>58</v>
      </c>
      <c r="AS2062" s="15" t="s">
        <v>62</v>
      </c>
      <c r="AT2062" s="12"/>
      <c r="AU2062" s="45" t="s">
        <v>2579</v>
      </c>
      <c r="AV2062" s="15"/>
      <c r="AW2062" s="12" t="str">
        <f>B2062&amp;C2062&amp;L2062&amp;M2062&amp;O2062&amp;U2062&amp;AL2062&amp;AM2062</f>
        <v>AustraliaGreat Barrier Reef Marine Park no-entry zonesBranching coralcover1.03877505312721Castro-Sanguino2017</v>
      </c>
    </row>
    <row r="2063" spans="1:49" ht="14.5" x14ac:dyDescent="0.35">
      <c r="A2063" s="12">
        <v>2062</v>
      </c>
      <c r="B2063" s="15" t="s">
        <v>66</v>
      </c>
      <c r="C2063" s="12" t="s">
        <v>896</v>
      </c>
      <c r="D2063" s="12" t="s">
        <v>888</v>
      </c>
      <c r="E2063" s="12" t="s">
        <v>49</v>
      </c>
      <c r="F2063" s="13" t="s">
        <v>50</v>
      </c>
      <c r="G2063" s="13" t="s">
        <v>51</v>
      </c>
      <c r="H2063" s="16" t="s">
        <v>52</v>
      </c>
      <c r="I2063" s="16" t="s">
        <v>156</v>
      </c>
      <c r="J2063" s="17">
        <v>114168</v>
      </c>
      <c r="K2063" s="17"/>
      <c r="L2063" s="17"/>
      <c r="M2063" s="17" t="s">
        <v>102</v>
      </c>
      <c r="N2063" s="53" t="s">
        <v>98</v>
      </c>
      <c r="O2063" s="17" t="s">
        <v>101</v>
      </c>
      <c r="P2063" s="17"/>
      <c r="Q2063" s="17"/>
      <c r="R2063" s="17"/>
      <c r="S2063" s="17">
        <v>7.6858849999999999</v>
      </c>
      <c r="T2063" s="17">
        <v>6.9271729999999998</v>
      </c>
      <c r="U2063" s="19">
        <f t="shared" si="139"/>
        <v>0.90128501792571702</v>
      </c>
      <c r="V2063" s="41">
        <f t="shared" si="142"/>
        <v>-9.8714982074282975</v>
      </c>
      <c r="W2063" s="14"/>
      <c r="X2063" s="17" t="s">
        <v>58</v>
      </c>
      <c r="Y2063" s="14">
        <v>1000</v>
      </c>
      <c r="Z2063" s="17" t="s">
        <v>56</v>
      </c>
      <c r="AA2063" s="17"/>
      <c r="AB2063" s="17" t="s">
        <v>57</v>
      </c>
      <c r="AC2063" s="17">
        <v>2014</v>
      </c>
      <c r="AD2063" s="17">
        <v>0</v>
      </c>
      <c r="AE2063" s="17"/>
      <c r="AF2063" s="17"/>
      <c r="AG2063" s="14">
        <v>1975</v>
      </c>
      <c r="AH2063" s="14">
        <f t="shared" si="140"/>
        <v>39</v>
      </c>
      <c r="AI2063" s="17">
        <f t="shared" si="141"/>
        <v>39</v>
      </c>
      <c r="AJ2063" s="17"/>
      <c r="AK2063" s="17" t="s">
        <v>56</v>
      </c>
      <c r="AL2063" s="15" t="s">
        <v>894</v>
      </c>
      <c r="AM2063" s="17">
        <v>2017</v>
      </c>
      <c r="AN2063" s="12" t="s">
        <v>150</v>
      </c>
      <c r="AO2063" s="15" t="s">
        <v>56</v>
      </c>
      <c r="AP2063" s="15"/>
      <c r="AQ2063" s="15" t="s">
        <v>56</v>
      </c>
      <c r="AR2063" s="15" t="s">
        <v>58</v>
      </c>
      <c r="AS2063" s="15" t="s">
        <v>62</v>
      </c>
      <c r="AT2063" s="12"/>
      <c r="AU2063" s="45" t="s">
        <v>2579</v>
      </c>
      <c r="AV2063" s="15"/>
      <c r="AW2063" s="12" t="str">
        <f>B2063&amp;C2063&amp;L2063&amp;M2063&amp;O2063&amp;U2063&amp;AL2063&amp;AM2063</f>
        <v>AustraliaGreat Barrier Reef Marine Park no-take zonesCrustose coralline algaecover0.901285017925717Castro-Sanguino2017</v>
      </c>
    </row>
    <row r="2064" spans="1:49" ht="14.5" x14ac:dyDescent="0.35">
      <c r="A2064" s="12">
        <v>2063</v>
      </c>
      <c r="B2064" s="15" t="s">
        <v>66</v>
      </c>
      <c r="C2064" s="12" t="s">
        <v>887</v>
      </c>
      <c r="D2064" s="12" t="s">
        <v>888</v>
      </c>
      <c r="E2064" s="12" t="s">
        <v>49</v>
      </c>
      <c r="F2064" s="13" t="s">
        <v>50</v>
      </c>
      <c r="G2064" s="13" t="s">
        <v>51</v>
      </c>
      <c r="H2064" s="16" t="s">
        <v>52</v>
      </c>
      <c r="I2064" s="16" t="s">
        <v>156</v>
      </c>
      <c r="J2064" s="17">
        <v>114168</v>
      </c>
      <c r="K2064" s="17"/>
      <c r="L2064" s="17"/>
      <c r="M2064" s="17" t="s">
        <v>102</v>
      </c>
      <c r="N2064" s="53" t="s">
        <v>98</v>
      </c>
      <c r="O2064" s="17" t="s">
        <v>101</v>
      </c>
      <c r="P2064" s="17"/>
      <c r="Q2064" s="17"/>
      <c r="R2064" s="17"/>
      <c r="S2064" s="17">
        <v>7.6858849999999999</v>
      </c>
      <c r="T2064" s="17">
        <v>6.3198020000000001</v>
      </c>
      <c r="U2064" s="19">
        <f t="shared" si="139"/>
        <v>0.82226080666052126</v>
      </c>
      <c r="V2064" s="41">
        <f t="shared" si="142"/>
        <v>-17.773919333947873</v>
      </c>
      <c r="W2064" s="14"/>
      <c r="X2064" s="17" t="s">
        <v>58</v>
      </c>
      <c r="Y2064" s="14">
        <v>1000</v>
      </c>
      <c r="Z2064" s="17" t="s">
        <v>56</v>
      </c>
      <c r="AA2064" s="17"/>
      <c r="AB2064" s="17" t="s">
        <v>57</v>
      </c>
      <c r="AC2064" s="17">
        <v>2014</v>
      </c>
      <c r="AD2064" s="17">
        <v>0</v>
      </c>
      <c r="AE2064" s="17"/>
      <c r="AF2064" s="17"/>
      <c r="AG2064" s="14">
        <v>1975</v>
      </c>
      <c r="AH2064" s="14">
        <f t="shared" si="140"/>
        <v>39</v>
      </c>
      <c r="AI2064" s="17">
        <f t="shared" si="141"/>
        <v>39</v>
      </c>
      <c r="AJ2064" s="17"/>
      <c r="AK2064" s="17" t="s">
        <v>56</v>
      </c>
      <c r="AL2064" s="15" t="s">
        <v>894</v>
      </c>
      <c r="AM2064" s="17">
        <v>2017</v>
      </c>
      <c r="AN2064" s="12" t="s">
        <v>150</v>
      </c>
      <c r="AO2064" s="15" t="s">
        <v>56</v>
      </c>
      <c r="AP2064" s="15"/>
      <c r="AQ2064" s="15" t="s">
        <v>56</v>
      </c>
      <c r="AR2064" s="15" t="s">
        <v>58</v>
      </c>
      <c r="AS2064" s="15" t="s">
        <v>62</v>
      </c>
      <c r="AT2064" s="12"/>
      <c r="AU2064" s="45" t="s">
        <v>2579</v>
      </c>
      <c r="AV2064" s="15"/>
      <c r="AW2064" s="12" t="str">
        <f>B2064&amp;C2064&amp;L2064&amp;M2064&amp;O2064&amp;U2064&amp;AL2064&amp;AM2064</f>
        <v>AustraliaGreat Barrier Reef Marine Park no-entry zonesCrustose coralline algaecover0.822260806660521Castro-Sanguino2017</v>
      </c>
    </row>
    <row r="2065" spans="1:49" ht="14.5" x14ac:dyDescent="0.35">
      <c r="A2065" s="12">
        <v>2064</v>
      </c>
      <c r="B2065" s="15" t="s">
        <v>66</v>
      </c>
      <c r="C2065" s="12" t="s">
        <v>896</v>
      </c>
      <c r="D2065" s="12" t="s">
        <v>888</v>
      </c>
      <c r="E2065" s="12" t="s">
        <v>49</v>
      </c>
      <c r="F2065" s="13" t="s">
        <v>50</v>
      </c>
      <c r="G2065" s="13" t="s">
        <v>51</v>
      </c>
      <c r="H2065" s="16" t="s">
        <v>52</v>
      </c>
      <c r="I2065" s="16" t="s">
        <v>156</v>
      </c>
      <c r="J2065" s="17">
        <v>114168</v>
      </c>
      <c r="K2065" s="17"/>
      <c r="L2065" s="17" t="s">
        <v>902</v>
      </c>
      <c r="M2065" s="17" t="s">
        <v>903</v>
      </c>
      <c r="N2065" s="17" t="s">
        <v>120</v>
      </c>
      <c r="O2065" s="17" t="s">
        <v>101</v>
      </c>
      <c r="P2065" s="17"/>
      <c r="Q2065" s="17"/>
      <c r="R2065" s="17"/>
      <c r="S2065" s="17">
        <v>8.7037040000000001</v>
      </c>
      <c r="T2065" s="17">
        <v>9.0740739999999995</v>
      </c>
      <c r="U2065" s="19">
        <f t="shared" si="139"/>
        <v>1.0425531474875525</v>
      </c>
      <c r="V2065" s="41">
        <f t="shared" si="142"/>
        <v>4.2553147487552456</v>
      </c>
      <c r="W2065" s="14"/>
      <c r="X2065" s="17" t="s">
        <v>58</v>
      </c>
      <c r="Y2065" s="14">
        <v>1000</v>
      </c>
      <c r="Z2065" s="17" t="s">
        <v>56</v>
      </c>
      <c r="AA2065" s="17"/>
      <c r="AB2065" s="17" t="s">
        <v>57</v>
      </c>
      <c r="AC2065" s="17">
        <v>2014</v>
      </c>
      <c r="AD2065" s="17">
        <v>0</v>
      </c>
      <c r="AE2065" s="17"/>
      <c r="AF2065" s="17"/>
      <c r="AG2065" s="14">
        <v>1975</v>
      </c>
      <c r="AH2065" s="14">
        <f t="shared" si="140"/>
        <v>39</v>
      </c>
      <c r="AI2065" s="17">
        <f t="shared" si="141"/>
        <v>39</v>
      </c>
      <c r="AJ2065" s="17"/>
      <c r="AK2065" s="17" t="s">
        <v>56</v>
      </c>
      <c r="AL2065" s="15" t="s">
        <v>894</v>
      </c>
      <c r="AM2065" s="17">
        <v>2017</v>
      </c>
      <c r="AN2065" s="12" t="s">
        <v>150</v>
      </c>
      <c r="AO2065" s="15" t="s">
        <v>56</v>
      </c>
      <c r="AP2065" s="15"/>
      <c r="AQ2065" s="15" t="s">
        <v>56</v>
      </c>
      <c r="AR2065" s="15" t="s">
        <v>58</v>
      </c>
      <c r="AS2065" s="15" t="s">
        <v>62</v>
      </c>
      <c r="AT2065" s="12"/>
      <c r="AU2065" s="45" t="s">
        <v>2579</v>
      </c>
      <c r="AV2065" s="15"/>
      <c r="AW2065" s="12" t="str">
        <f>B2065&amp;C2065&amp;L2065&amp;M2065&amp;O2065&amp;U2065&amp;AL2065&amp;AM2065</f>
        <v>AustraliaGreat Barrier Reef Marine Park no-take zonesAcroporatabular Acroporacover1.04255314748755Castro-Sanguino2017</v>
      </c>
    </row>
    <row r="2066" spans="1:49" ht="14.5" x14ac:dyDescent="0.35">
      <c r="A2066" s="12">
        <v>2065</v>
      </c>
      <c r="B2066" s="15" t="s">
        <v>66</v>
      </c>
      <c r="C2066" s="12" t="s">
        <v>896</v>
      </c>
      <c r="D2066" s="12" t="s">
        <v>888</v>
      </c>
      <c r="E2066" s="15" t="s">
        <v>49</v>
      </c>
      <c r="F2066" s="13" t="s">
        <v>50</v>
      </c>
      <c r="G2066" s="13" t="s">
        <v>51</v>
      </c>
      <c r="H2066" s="16" t="s">
        <v>52</v>
      </c>
      <c r="I2066" s="16" t="s">
        <v>156</v>
      </c>
      <c r="J2066" s="17">
        <v>114168</v>
      </c>
      <c r="K2066" s="17"/>
      <c r="L2066" s="17"/>
      <c r="M2066" s="17" t="s">
        <v>291</v>
      </c>
      <c r="N2066" s="53" t="s">
        <v>98</v>
      </c>
      <c r="O2066" s="17" t="s">
        <v>101</v>
      </c>
      <c r="P2066" s="17"/>
      <c r="Q2066" s="17"/>
      <c r="R2066" s="17"/>
      <c r="S2066" s="17">
        <v>1.6091949999999999</v>
      </c>
      <c r="T2066" s="17">
        <v>5.862069</v>
      </c>
      <c r="U2066" s="20">
        <f t="shared" si="139"/>
        <v>3.6428580750002331</v>
      </c>
      <c r="V2066" s="41">
        <f t="shared" si="142"/>
        <v>264.28580750002328</v>
      </c>
      <c r="W2066" s="17"/>
      <c r="X2066" s="17" t="s">
        <v>58</v>
      </c>
      <c r="Y2066" s="14">
        <v>1000</v>
      </c>
      <c r="Z2066" s="17" t="s">
        <v>56</v>
      </c>
      <c r="AA2066" s="17"/>
      <c r="AB2066" s="17" t="s">
        <v>57</v>
      </c>
      <c r="AC2066" s="17">
        <v>2014</v>
      </c>
      <c r="AD2066" s="17">
        <v>0</v>
      </c>
      <c r="AE2066" s="17"/>
      <c r="AF2066" s="17"/>
      <c r="AG2066" s="14">
        <v>1975</v>
      </c>
      <c r="AH2066" s="14">
        <f t="shared" si="140"/>
        <v>39</v>
      </c>
      <c r="AI2066" s="17">
        <f t="shared" si="141"/>
        <v>39</v>
      </c>
      <c r="AJ2066" s="17"/>
      <c r="AK2066" s="17" t="s">
        <v>56</v>
      </c>
      <c r="AL2066" s="15" t="s">
        <v>894</v>
      </c>
      <c r="AM2066" s="17">
        <v>2017</v>
      </c>
      <c r="AN2066" s="12" t="s">
        <v>150</v>
      </c>
      <c r="AO2066" s="15" t="s">
        <v>56</v>
      </c>
      <c r="AP2066" s="15"/>
      <c r="AQ2066" s="15" t="s">
        <v>56</v>
      </c>
      <c r="AR2066" s="15" t="s">
        <v>58</v>
      </c>
      <c r="AS2066" s="15" t="s">
        <v>62</v>
      </c>
      <c r="AT2066" s="15"/>
      <c r="AU2066" s="45" t="s">
        <v>2579</v>
      </c>
      <c r="AV2066" s="15"/>
      <c r="AW2066" s="12" t="str">
        <f>B2066&amp;C2066&amp;L2066&amp;M2066&amp;O2066&amp;U2066&amp;AL2066&amp;AM2066</f>
        <v>AustraliaGreat Barrier Reef Marine Park no-take zonesMacroalgaecover3.64285807500023Castro-Sanguino2017</v>
      </c>
    </row>
    <row r="2067" spans="1:49" ht="14.5" x14ac:dyDescent="0.35">
      <c r="A2067" s="12">
        <v>2066</v>
      </c>
      <c r="B2067" s="15" t="s">
        <v>66</v>
      </c>
      <c r="C2067" s="12" t="s">
        <v>887</v>
      </c>
      <c r="D2067" s="12" t="s">
        <v>888</v>
      </c>
      <c r="E2067" s="12" t="s">
        <v>49</v>
      </c>
      <c r="F2067" s="13" t="s">
        <v>50</v>
      </c>
      <c r="G2067" s="13" t="s">
        <v>51</v>
      </c>
      <c r="H2067" s="16" t="s">
        <v>52</v>
      </c>
      <c r="I2067" s="16" t="s">
        <v>156</v>
      </c>
      <c r="J2067" s="17">
        <v>114168</v>
      </c>
      <c r="K2067" s="17"/>
      <c r="L2067" s="17"/>
      <c r="M2067" s="17" t="s">
        <v>291</v>
      </c>
      <c r="N2067" s="53" t="s">
        <v>98</v>
      </c>
      <c r="O2067" s="17" t="s">
        <v>101</v>
      </c>
      <c r="P2067" s="17"/>
      <c r="Q2067" s="17"/>
      <c r="R2067" s="17"/>
      <c r="S2067" s="17">
        <v>1.6091949999999999</v>
      </c>
      <c r="T2067" s="17">
        <v>2.0689660000000001</v>
      </c>
      <c r="U2067" s="19">
        <f t="shared" ref="U2067:U2130" si="143">IFERROR(IF(AND(Q2067="",R2067="",S2067="",T2067=""),"",IF(AND(Q2067&lt;&gt;"",R2067&lt;&gt;"",S2067&lt;&gt;"",T2067&lt;&gt;""),(T2067/R2067)/(S2067/Q2067),IF(AND(Q2067&lt;&gt;"",R2067&lt;&gt;""),R2067/Q2067,IF(AND(S2067&lt;&gt;"",T2067&lt;&gt;""),T2067/S2067,IF(AND(Q2067&lt;&gt;"",S2067&lt;&gt;""),Q2067/S2067,IF(AND(R2067&lt;&gt;"",T2067&lt;&gt;""),T2067/R2067)))))), "N/A")</f>
        <v>1.2857149071430125</v>
      </c>
      <c r="V2067" s="41">
        <f t="shared" si="142"/>
        <v>28.571490714301252</v>
      </c>
      <c r="W2067" s="14"/>
      <c r="X2067" s="17" t="s">
        <v>58</v>
      </c>
      <c r="Y2067" s="14">
        <v>1000</v>
      </c>
      <c r="Z2067" s="17" t="s">
        <v>56</v>
      </c>
      <c r="AA2067" s="17"/>
      <c r="AB2067" s="17" t="s">
        <v>57</v>
      </c>
      <c r="AC2067" s="17">
        <v>2014</v>
      </c>
      <c r="AD2067" s="17">
        <v>0</v>
      </c>
      <c r="AE2067" s="17"/>
      <c r="AF2067" s="17"/>
      <c r="AG2067" s="14">
        <v>1975</v>
      </c>
      <c r="AH2067" s="14">
        <f t="shared" si="140"/>
        <v>39</v>
      </c>
      <c r="AI2067" s="17">
        <f t="shared" si="141"/>
        <v>39</v>
      </c>
      <c r="AJ2067" s="17"/>
      <c r="AK2067" s="17" t="s">
        <v>56</v>
      </c>
      <c r="AL2067" s="15" t="s">
        <v>894</v>
      </c>
      <c r="AM2067" s="17">
        <v>2017</v>
      </c>
      <c r="AN2067" s="12" t="s">
        <v>150</v>
      </c>
      <c r="AO2067" s="15" t="s">
        <v>56</v>
      </c>
      <c r="AP2067" s="15"/>
      <c r="AQ2067" s="15" t="s">
        <v>56</v>
      </c>
      <c r="AR2067" s="15" t="s">
        <v>58</v>
      </c>
      <c r="AS2067" s="15" t="s">
        <v>62</v>
      </c>
      <c r="AT2067" s="12"/>
      <c r="AU2067" s="45" t="s">
        <v>2579</v>
      </c>
      <c r="AV2067" s="15"/>
      <c r="AW2067" s="12" t="str">
        <f>B2067&amp;C2067&amp;L2067&amp;M2067&amp;O2067&amp;U2067&amp;AL2067&amp;AM2067</f>
        <v>AustraliaGreat Barrier Reef Marine Park no-entry zonesMacroalgaecover1.28571490714301Castro-Sanguino2017</v>
      </c>
    </row>
    <row r="2068" spans="1:49" ht="14.5" x14ac:dyDescent="0.35">
      <c r="A2068" s="12">
        <v>2067</v>
      </c>
      <c r="B2068" s="15" t="s">
        <v>66</v>
      </c>
      <c r="C2068" s="12" t="s">
        <v>896</v>
      </c>
      <c r="D2068" s="15" t="s">
        <v>888</v>
      </c>
      <c r="E2068" s="12" t="s">
        <v>49</v>
      </c>
      <c r="F2068" s="13" t="s">
        <v>50</v>
      </c>
      <c r="G2068" s="13" t="s">
        <v>51</v>
      </c>
      <c r="H2068" s="16" t="s">
        <v>52</v>
      </c>
      <c r="I2068" s="16" t="s">
        <v>156</v>
      </c>
      <c r="J2068" s="17">
        <v>114168</v>
      </c>
      <c r="K2068" s="17"/>
      <c r="L2068" s="17"/>
      <c r="M2068" s="17" t="s">
        <v>904</v>
      </c>
      <c r="N2068" s="53" t="s">
        <v>98</v>
      </c>
      <c r="O2068" s="17" t="s">
        <v>70</v>
      </c>
      <c r="P2068" s="17"/>
      <c r="Q2068" s="17"/>
      <c r="R2068" s="17"/>
      <c r="S2068" s="17">
        <v>13.316459999999999</v>
      </c>
      <c r="T2068" s="17">
        <v>19.30837</v>
      </c>
      <c r="U2068" s="19">
        <f t="shared" si="143"/>
        <v>1.4499626777687165</v>
      </c>
      <c r="V2068" s="41">
        <f t="shared" si="142"/>
        <v>44.996267776871647</v>
      </c>
      <c r="W2068" s="14"/>
      <c r="X2068" s="17" t="s">
        <v>58</v>
      </c>
      <c r="Y2068" s="14">
        <v>1000</v>
      </c>
      <c r="Z2068" s="17" t="s">
        <v>56</v>
      </c>
      <c r="AA2068" s="17"/>
      <c r="AB2068" s="17" t="s">
        <v>57</v>
      </c>
      <c r="AC2068" s="17">
        <v>2014</v>
      </c>
      <c r="AD2068" s="17">
        <v>0</v>
      </c>
      <c r="AE2068" s="17"/>
      <c r="AF2068" s="17"/>
      <c r="AG2068" s="17">
        <v>1975</v>
      </c>
      <c r="AH2068" s="14">
        <f t="shared" si="140"/>
        <v>39</v>
      </c>
      <c r="AI2068" s="17">
        <f t="shared" si="141"/>
        <v>39</v>
      </c>
      <c r="AJ2068" s="17"/>
      <c r="AK2068" s="17" t="s">
        <v>56</v>
      </c>
      <c r="AL2068" s="15" t="s">
        <v>894</v>
      </c>
      <c r="AM2068" s="17">
        <v>2017</v>
      </c>
      <c r="AN2068" s="12" t="s">
        <v>150</v>
      </c>
      <c r="AO2068" s="15" t="s">
        <v>56</v>
      </c>
      <c r="AP2068" s="15"/>
      <c r="AQ2068" s="15" t="s">
        <v>56</v>
      </c>
      <c r="AR2068" s="15" t="s">
        <v>58</v>
      </c>
      <c r="AS2068" s="15" t="s">
        <v>62</v>
      </c>
      <c r="AT2068" s="12"/>
      <c r="AU2068" s="45" t="s">
        <v>2579</v>
      </c>
      <c r="AV2068" s="15"/>
      <c r="AW2068" s="12" t="str">
        <f>B2068&amp;C2068&amp;L2068&amp;M2068&amp;O2068&amp;U2068&amp;AL2068&amp;AM2068</f>
        <v>AustraliaGreat Barrier Reef Marine Park no-take zoneshighly targeted fishbiomassden1.44996267776872Castro-Sanguino2017</v>
      </c>
    </row>
    <row r="2069" spans="1:49" ht="14.5" x14ac:dyDescent="0.35">
      <c r="A2069" s="12">
        <v>2068</v>
      </c>
      <c r="B2069" s="15" t="s">
        <v>66</v>
      </c>
      <c r="C2069" s="12" t="s">
        <v>896</v>
      </c>
      <c r="D2069" s="15" t="s">
        <v>888</v>
      </c>
      <c r="E2069" s="15" t="s">
        <v>49</v>
      </c>
      <c r="F2069" s="13" t="s">
        <v>50</v>
      </c>
      <c r="G2069" s="13" t="s">
        <v>51</v>
      </c>
      <c r="H2069" s="16" t="s">
        <v>52</v>
      </c>
      <c r="I2069" s="16" t="s">
        <v>156</v>
      </c>
      <c r="J2069" s="17">
        <v>114168</v>
      </c>
      <c r="K2069" s="17"/>
      <c r="L2069" s="17"/>
      <c r="M2069" s="17" t="s">
        <v>905</v>
      </c>
      <c r="N2069" s="53" t="s">
        <v>98</v>
      </c>
      <c r="O2069" s="17" t="s">
        <v>70</v>
      </c>
      <c r="P2069" s="17"/>
      <c r="Q2069" s="17"/>
      <c r="R2069" s="17"/>
      <c r="S2069" s="17">
        <v>12.894640000000001</v>
      </c>
      <c r="T2069" s="17">
        <v>22.10153</v>
      </c>
      <c r="U2069" s="20">
        <f t="shared" si="143"/>
        <v>1.7140090766395959</v>
      </c>
      <c r="V2069" s="41">
        <f t="shared" si="142"/>
        <v>71.400907663959586</v>
      </c>
      <c r="W2069" s="17"/>
      <c r="X2069" s="17" t="s">
        <v>58</v>
      </c>
      <c r="Y2069" s="14">
        <v>1000</v>
      </c>
      <c r="Z2069" s="17" t="s">
        <v>56</v>
      </c>
      <c r="AA2069" s="17"/>
      <c r="AB2069" s="17" t="s">
        <v>57</v>
      </c>
      <c r="AC2069" s="17">
        <v>2014</v>
      </c>
      <c r="AD2069" s="17">
        <v>0</v>
      </c>
      <c r="AE2069" s="17"/>
      <c r="AF2069" s="17"/>
      <c r="AG2069" s="17">
        <v>1975</v>
      </c>
      <c r="AH2069" s="14">
        <f t="shared" si="140"/>
        <v>39</v>
      </c>
      <c r="AI2069" s="17">
        <f t="shared" si="141"/>
        <v>39</v>
      </c>
      <c r="AJ2069" s="17"/>
      <c r="AK2069" s="17" t="s">
        <v>56</v>
      </c>
      <c r="AL2069" s="15" t="s">
        <v>894</v>
      </c>
      <c r="AM2069" s="17">
        <v>2017</v>
      </c>
      <c r="AN2069" s="15" t="s">
        <v>150</v>
      </c>
      <c r="AO2069" s="15" t="s">
        <v>56</v>
      </c>
      <c r="AP2069" s="15"/>
      <c r="AQ2069" s="15" t="s">
        <v>56</v>
      </c>
      <c r="AR2069" s="15" t="s">
        <v>58</v>
      </c>
      <c r="AS2069" s="15" t="s">
        <v>62</v>
      </c>
      <c r="AT2069" s="15"/>
      <c r="AU2069" s="45" t="s">
        <v>2579</v>
      </c>
      <c r="AV2069" s="15"/>
      <c r="AW2069" s="12" t="str">
        <f>B2069&amp;C2069&amp;L2069&amp;M2069&amp;O2069&amp;U2069&amp;AL2069&amp;AM2069</f>
        <v>AustraliaGreat Barrier Reef Marine Park no-take zonesless targeted fishbiomassden1.7140090766396Castro-Sanguino2017</v>
      </c>
    </row>
    <row r="2070" spans="1:49" ht="14.5" x14ac:dyDescent="0.35">
      <c r="A2070" s="12">
        <v>2069</v>
      </c>
      <c r="B2070" s="15" t="s">
        <v>66</v>
      </c>
      <c r="C2070" s="12" t="s">
        <v>896</v>
      </c>
      <c r="D2070" s="15" t="s">
        <v>888</v>
      </c>
      <c r="E2070" s="15" t="s">
        <v>49</v>
      </c>
      <c r="F2070" s="13" t="s">
        <v>50</v>
      </c>
      <c r="G2070" s="13" t="s">
        <v>51</v>
      </c>
      <c r="H2070" s="16" t="s">
        <v>52</v>
      </c>
      <c r="I2070" s="16" t="s">
        <v>156</v>
      </c>
      <c r="J2070" s="17">
        <v>114168</v>
      </c>
      <c r="K2070" s="17"/>
      <c r="L2070" s="17"/>
      <c r="M2070" s="17" t="s">
        <v>906</v>
      </c>
      <c r="N2070" s="53" t="s">
        <v>98</v>
      </c>
      <c r="O2070" s="17" t="s">
        <v>70</v>
      </c>
      <c r="P2070" s="17"/>
      <c r="Q2070" s="17"/>
      <c r="R2070" s="17"/>
      <c r="S2070" s="17">
        <v>6.899483</v>
      </c>
      <c r="T2070" s="17">
        <v>7.7874559999999997</v>
      </c>
      <c r="U2070" s="20">
        <f t="shared" si="143"/>
        <v>1.1287013824079282</v>
      </c>
      <c r="V2070" s="41">
        <f t="shared" si="142"/>
        <v>12.870138240792816</v>
      </c>
      <c r="W2070" s="17"/>
      <c r="X2070" s="17" t="s">
        <v>58</v>
      </c>
      <c r="Y2070" s="14">
        <v>1000</v>
      </c>
      <c r="Z2070" s="17" t="s">
        <v>56</v>
      </c>
      <c r="AA2070" s="17"/>
      <c r="AB2070" s="17" t="s">
        <v>57</v>
      </c>
      <c r="AC2070" s="17">
        <v>2014</v>
      </c>
      <c r="AD2070" s="17">
        <v>0</v>
      </c>
      <c r="AE2070" s="17"/>
      <c r="AF2070" s="17"/>
      <c r="AG2070" s="17">
        <v>1975</v>
      </c>
      <c r="AH2070" s="14">
        <f t="shared" si="140"/>
        <v>39</v>
      </c>
      <c r="AI2070" s="17">
        <f t="shared" si="141"/>
        <v>39</v>
      </c>
      <c r="AJ2070" s="17"/>
      <c r="AK2070" s="17" t="s">
        <v>56</v>
      </c>
      <c r="AL2070" s="15" t="s">
        <v>894</v>
      </c>
      <c r="AM2070" s="17">
        <v>2017</v>
      </c>
      <c r="AN2070" s="15" t="s">
        <v>150</v>
      </c>
      <c r="AO2070" s="15" t="s">
        <v>56</v>
      </c>
      <c r="AP2070" s="15"/>
      <c r="AQ2070" s="15" t="s">
        <v>56</v>
      </c>
      <c r="AR2070" s="15" t="s">
        <v>58</v>
      </c>
      <c r="AS2070" s="15" t="s">
        <v>62</v>
      </c>
      <c r="AT2070" s="15"/>
      <c r="AU2070" s="45" t="s">
        <v>2579</v>
      </c>
      <c r="AV2070" s="15"/>
      <c r="AW2070" s="12" t="str">
        <f>B2070&amp;C2070&amp;L2070&amp;M2070&amp;O2070&amp;U2070&amp;AL2070&amp;AM2070</f>
        <v>AustraliaGreat Barrier Reef Marine Park no-take zonesnon-targeted fishbiomassden1.12870138240793Castro-Sanguino2017</v>
      </c>
    </row>
    <row r="2071" spans="1:49" ht="14.5" x14ac:dyDescent="0.35">
      <c r="A2071" s="12">
        <v>2070</v>
      </c>
      <c r="B2071" s="15" t="s">
        <v>66</v>
      </c>
      <c r="C2071" s="12" t="s">
        <v>896</v>
      </c>
      <c r="D2071" s="15" t="s">
        <v>888</v>
      </c>
      <c r="E2071" s="15" t="s">
        <v>49</v>
      </c>
      <c r="F2071" s="13" t="s">
        <v>50</v>
      </c>
      <c r="G2071" s="13" t="s">
        <v>51</v>
      </c>
      <c r="H2071" s="16" t="s">
        <v>52</v>
      </c>
      <c r="I2071" s="16" t="s">
        <v>156</v>
      </c>
      <c r="J2071" s="17">
        <v>114168</v>
      </c>
      <c r="K2071" s="17"/>
      <c r="L2071" s="17" t="s">
        <v>897</v>
      </c>
      <c r="M2071" s="17" t="s">
        <v>898</v>
      </c>
      <c r="N2071" s="17" t="s">
        <v>120</v>
      </c>
      <c r="O2071" s="17" t="s">
        <v>70</v>
      </c>
      <c r="P2071" s="17"/>
      <c r="Q2071" s="17"/>
      <c r="R2071" s="17"/>
      <c r="S2071" s="17">
        <v>5.9858333330000004</v>
      </c>
      <c r="T2071" s="17">
        <v>5.97</v>
      </c>
      <c r="U2071" s="20">
        <f t="shared" si="143"/>
        <v>0.99735486571055842</v>
      </c>
      <c r="V2071" s="41">
        <f t="shared" si="142"/>
        <v>-0.26451342894415752</v>
      </c>
      <c r="W2071" s="17"/>
      <c r="X2071" s="17" t="s">
        <v>58</v>
      </c>
      <c r="Y2071" s="14">
        <v>1000</v>
      </c>
      <c r="Z2071" s="17" t="s">
        <v>56</v>
      </c>
      <c r="AA2071" s="17"/>
      <c r="AB2071" s="17" t="s">
        <v>57</v>
      </c>
      <c r="AC2071" s="17">
        <v>2014</v>
      </c>
      <c r="AD2071" s="17">
        <v>0</v>
      </c>
      <c r="AE2071" s="17"/>
      <c r="AF2071" s="17"/>
      <c r="AG2071" s="17">
        <v>1975</v>
      </c>
      <c r="AH2071" s="14">
        <f t="shared" si="140"/>
        <v>39</v>
      </c>
      <c r="AI2071" s="17">
        <f t="shared" si="141"/>
        <v>39</v>
      </c>
      <c r="AJ2071" s="17"/>
      <c r="AK2071" s="17" t="s">
        <v>56</v>
      </c>
      <c r="AL2071" s="15" t="s">
        <v>894</v>
      </c>
      <c r="AM2071" s="17">
        <v>2017</v>
      </c>
      <c r="AN2071" s="15" t="s">
        <v>150</v>
      </c>
      <c r="AO2071" s="15" t="s">
        <v>56</v>
      </c>
      <c r="AP2071" s="15"/>
      <c r="AQ2071" s="15" t="s">
        <v>56</v>
      </c>
      <c r="AR2071" s="15" t="s">
        <v>58</v>
      </c>
      <c r="AS2071" s="15" t="s">
        <v>62</v>
      </c>
      <c r="AT2071" s="15"/>
      <c r="AU2071" s="45" t="s">
        <v>2579</v>
      </c>
      <c r="AV2071" s="15"/>
      <c r="AW2071" s="12" t="str">
        <f>B2071&amp;C2071&amp;L2071&amp;M2071&amp;O2071&amp;U2071&amp;AL2071&amp;AM2071</f>
        <v>AustraliaGreat Barrier Reef Marine Park no-take zonesPlectropomus spp.coral troutbiomassden0.997354865710558Castro-Sanguino2017</v>
      </c>
    </row>
    <row r="2072" spans="1:49" ht="14.5" x14ac:dyDescent="0.35">
      <c r="A2072" s="12">
        <v>2071</v>
      </c>
      <c r="B2072" s="15" t="s">
        <v>599</v>
      </c>
      <c r="C2072" s="15" t="s">
        <v>953</v>
      </c>
      <c r="D2072" s="15" t="s">
        <v>953</v>
      </c>
      <c r="E2072" s="15" t="s">
        <v>68</v>
      </c>
      <c r="F2072" s="13" t="s">
        <v>50</v>
      </c>
      <c r="G2072" s="13" t="s">
        <v>51</v>
      </c>
      <c r="H2072" s="16" t="s">
        <v>78</v>
      </c>
      <c r="I2072" s="16" t="s">
        <v>156</v>
      </c>
      <c r="J2072" s="17">
        <v>1.5</v>
      </c>
      <c r="K2072" s="17"/>
      <c r="L2072"/>
      <c r="M2072" s="17" t="s">
        <v>69</v>
      </c>
      <c r="N2072" s="14" t="s">
        <v>1070</v>
      </c>
      <c r="O2072" s="17" t="s">
        <v>55</v>
      </c>
      <c r="P2072" s="17"/>
      <c r="Q2072" s="17"/>
      <c r="R2072" s="17"/>
      <c r="S2072" s="17">
        <v>34</v>
      </c>
      <c r="T2072" s="17">
        <v>60</v>
      </c>
      <c r="U2072" s="20">
        <f t="shared" si="143"/>
        <v>1.7647058823529411</v>
      </c>
      <c r="V2072" s="41">
        <f t="shared" si="142"/>
        <v>76.470588235294116</v>
      </c>
      <c r="W2072" s="17"/>
      <c r="X2072" s="17" t="s">
        <v>56</v>
      </c>
      <c r="Z2072" s="17" t="s">
        <v>56</v>
      </c>
      <c r="AA2072" s="17"/>
      <c r="AB2072" s="17" t="s">
        <v>57</v>
      </c>
      <c r="AC2072" s="17">
        <v>2007</v>
      </c>
      <c r="AD2072" s="17">
        <v>0</v>
      </c>
      <c r="AE2072" s="17"/>
      <c r="AF2072" s="17"/>
      <c r="AG2072" s="17">
        <v>2005</v>
      </c>
      <c r="AH2072" s="14">
        <f t="shared" si="140"/>
        <v>2</v>
      </c>
      <c r="AI2072" s="17">
        <f t="shared" si="141"/>
        <v>2</v>
      </c>
      <c r="AJ2072" s="17"/>
      <c r="AK2072" s="17" t="s">
        <v>56</v>
      </c>
      <c r="AL2072" s="16" t="s">
        <v>955</v>
      </c>
      <c r="AM2072" s="17">
        <v>2010</v>
      </c>
      <c r="AN2072" s="15" t="s">
        <v>602</v>
      </c>
      <c r="AO2072" s="15" t="s">
        <v>56</v>
      </c>
      <c r="AP2072" s="15"/>
      <c r="AQ2072" s="15" t="s">
        <v>56</v>
      </c>
      <c r="AR2072" s="15" t="s">
        <v>58</v>
      </c>
      <c r="AS2072" s="15" t="s">
        <v>62</v>
      </c>
      <c r="AT2072" s="15"/>
      <c r="AU2072" s="45"/>
      <c r="AV2072" s="15"/>
      <c r="AW2072" s="12" t="str">
        <f>B2072&amp;C2072&amp;L2072&amp;M2072&amp;O2072&amp;U2072&amp;AL2072&amp;AM2072</f>
        <v>TaiwanHobihu No Take Areafishrichness1.76470588235294Tkachenko2010</v>
      </c>
    </row>
    <row r="2073" spans="1:49" ht="14.5" x14ac:dyDescent="0.35">
      <c r="A2073" s="12">
        <v>2072</v>
      </c>
      <c r="B2073" s="15" t="s">
        <v>796</v>
      </c>
      <c r="C2073" s="15" t="s">
        <v>739</v>
      </c>
      <c r="D2073" s="15" t="s">
        <v>739</v>
      </c>
      <c r="E2073" s="15" t="s">
        <v>2020</v>
      </c>
      <c r="F2073" s="13" t="s">
        <v>50</v>
      </c>
      <c r="G2073" s="13" t="s">
        <v>51</v>
      </c>
      <c r="H2073" s="16" t="s">
        <v>108</v>
      </c>
      <c r="I2073" s="16" t="s">
        <v>156</v>
      </c>
      <c r="J2073" s="17">
        <v>442</v>
      </c>
      <c r="K2073" s="17"/>
      <c r="L2073" s="17" t="s">
        <v>2021</v>
      </c>
      <c r="M2073" s="17" t="s">
        <v>839</v>
      </c>
      <c r="N2073" s="14" t="s">
        <v>85</v>
      </c>
      <c r="O2073" s="17" t="s">
        <v>104</v>
      </c>
      <c r="P2073" s="17" t="s">
        <v>2024</v>
      </c>
      <c r="Q2073" s="17"/>
      <c r="R2073" s="17"/>
      <c r="S2073" s="17">
        <v>227.83330000000001</v>
      </c>
      <c r="T2073" s="17">
        <v>207.16667000000001</v>
      </c>
      <c r="U2073" s="20">
        <f t="shared" si="143"/>
        <v>0.90929056463651281</v>
      </c>
      <c r="V2073" s="41">
        <f t="shared" si="142"/>
        <v>-9.0709435363487181</v>
      </c>
      <c r="W2073" s="17"/>
      <c r="X2073" s="17" t="s">
        <v>56</v>
      </c>
      <c r="Z2073" s="17" t="s">
        <v>56</v>
      </c>
      <c r="AA2073" s="17"/>
      <c r="AB2073" s="17" t="s">
        <v>57</v>
      </c>
      <c r="AC2073" s="17">
        <v>2011</v>
      </c>
      <c r="AD2073" s="17">
        <v>0</v>
      </c>
      <c r="AE2073" s="17"/>
      <c r="AF2073" s="17"/>
      <c r="AG2073" s="17">
        <v>1958</v>
      </c>
      <c r="AH2073" s="14">
        <f t="shared" si="140"/>
        <v>53</v>
      </c>
      <c r="AI2073" s="17">
        <f t="shared" si="141"/>
        <v>53</v>
      </c>
      <c r="AJ2073" s="17"/>
      <c r="AK2073" s="17" t="s">
        <v>58</v>
      </c>
      <c r="AL2073" s="16" t="s">
        <v>2022</v>
      </c>
      <c r="AM2073" s="17">
        <v>2012</v>
      </c>
      <c r="AN2073" s="15" t="s">
        <v>183</v>
      </c>
      <c r="AO2073" s="15" t="s">
        <v>56</v>
      </c>
      <c r="AP2073" s="15" t="s">
        <v>2023</v>
      </c>
      <c r="AQ2073" s="15" t="s">
        <v>56</v>
      </c>
      <c r="AR2073" s="15" t="s">
        <v>58</v>
      </c>
      <c r="AS2073" s="15" t="s">
        <v>62</v>
      </c>
      <c r="AT2073" s="15"/>
      <c r="AU2073" s="45" t="s">
        <v>2784</v>
      </c>
      <c r="AV2073" s="15"/>
      <c r="AW2073" s="12" t="str">
        <f>B2073&amp;C2073&amp;L2073&amp;M2073&amp;O2073&amp;U2073&amp;AL2073&amp;AM2073</f>
        <v>The BahamasExuma Cays Land and Sea ParkAliger gigasQueen conchsize0.909290564636513Stoner2012</v>
      </c>
    </row>
    <row r="2074" spans="1:49" ht="14.5" x14ac:dyDescent="0.35">
      <c r="A2074" s="12">
        <v>2073</v>
      </c>
      <c r="B2074" s="15" t="s">
        <v>75</v>
      </c>
      <c r="C2074" s="15" t="s">
        <v>1964</v>
      </c>
      <c r="D2074" s="15" t="s">
        <v>1964</v>
      </c>
      <c r="E2074" s="15" t="s">
        <v>1965</v>
      </c>
      <c r="F2074" s="13" t="s">
        <v>50</v>
      </c>
      <c r="G2074" s="13" t="s">
        <v>51</v>
      </c>
      <c r="H2074" s="16" t="s">
        <v>78</v>
      </c>
      <c r="I2074" s="16" t="s">
        <v>156</v>
      </c>
      <c r="J2074" s="17">
        <v>0.26</v>
      </c>
      <c r="K2074" s="17"/>
      <c r="L2074" s="17" t="s">
        <v>1969</v>
      </c>
      <c r="M2074" s="17"/>
      <c r="N2074" s="14" t="s">
        <v>85</v>
      </c>
      <c r="O2074" s="17" t="s">
        <v>70</v>
      </c>
      <c r="P2074" s="17"/>
      <c r="Q2074" s="17"/>
      <c r="R2074" s="17"/>
      <c r="S2074" s="17">
        <v>4.3899999999999997</v>
      </c>
      <c r="T2074" s="17">
        <v>9.75</v>
      </c>
      <c r="U2074" s="20">
        <f t="shared" si="143"/>
        <v>2.2209567198177678</v>
      </c>
      <c r="V2074" s="41">
        <f t="shared" si="142"/>
        <v>122.09567198177677</v>
      </c>
      <c r="W2074" s="17"/>
      <c r="X2074" s="17" t="s">
        <v>56</v>
      </c>
      <c r="Z2074" s="17" t="s">
        <v>56</v>
      </c>
      <c r="AA2074" s="17"/>
      <c r="AB2074" s="17" t="s">
        <v>57</v>
      </c>
      <c r="AC2074" s="17">
        <v>2012</v>
      </c>
      <c r="AD2074" s="17">
        <v>1</v>
      </c>
      <c r="AE2074" s="17"/>
      <c r="AF2074" s="17"/>
      <c r="AG2074" s="17">
        <v>1967</v>
      </c>
      <c r="AH2074" s="14">
        <f t="shared" si="140"/>
        <v>45</v>
      </c>
      <c r="AI2074" s="17">
        <f t="shared" si="141"/>
        <v>46</v>
      </c>
      <c r="AJ2074" s="17"/>
      <c r="AK2074" s="17" t="s">
        <v>56</v>
      </c>
      <c r="AL2074" s="16" t="s">
        <v>1966</v>
      </c>
      <c r="AM2074" s="17">
        <v>2017</v>
      </c>
      <c r="AN2074" s="15" t="s">
        <v>1967</v>
      </c>
      <c r="AO2074" s="15" t="s">
        <v>56</v>
      </c>
      <c r="AP2074" s="15"/>
      <c r="AQ2074" s="15" t="s">
        <v>56</v>
      </c>
      <c r="AR2074" s="15" t="s">
        <v>58</v>
      </c>
      <c r="AS2074" s="15" t="s">
        <v>62</v>
      </c>
      <c r="AT2074" s="15"/>
      <c r="AU2074" s="45"/>
      <c r="AV2074" s="15"/>
      <c r="AW2074" s="12" t="str">
        <f>B2074&amp;C2074&amp;L2074&amp;M2074&amp;O2074&amp;U2074&amp;AL2074&amp;AM2074</f>
        <v>United StatesThe University of Hawai’i Marine Laboratory RefugeScarus psittacusbiomassden2.22095671981777Stamoulis2017</v>
      </c>
    </row>
    <row r="2075" spans="1:49" ht="14.5" x14ac:dyDescent="0.35">
      <c r="A2075" s="12">
        <v>2074</v>
      </c>
      <c r="B2075" s="15" t="s">
        <v>75</v>
      </c>
      <c r="C2075" s="15" t="s">
        <v>1964</v>
      </c>
      <c r="D2075" s="15" t="s">
        <v>1964</v>
      </c>
      <c r="E2075" s="15" t="s">
        <v>1965</v>
      </c>
      <c r="F2075" s="13" t="s">
        <v>50</v>
      </c>
      <c r="G2075" s="13" t="s">
        <v>51</v>
      </c>
      <c r="H2075" s="16" t="s">
        <v>78</v>
      </c>
      <c r="I2075" s="16" t="s">
        <v>156</v>
      </c>
      <c r="J2075" s="17">
        <v>0.26</v>
      </c>
      <c r="K2075" s="17"/>
      <c r="L2075" s="17" t="s">
        <v>1970</v>
      </c>
      <c r="M2075" s="17"/>
      <c r="N2075" s="14" t="s">
        <v>85</v>
      </c>
      <c r="O2075" s="17" t="s">
        <v>70</v>
      </c>
      <c r="P2075" s="17"/>
      <c r="Q2075" s="17"/>
      <c r="R2075" s="17"/>
      <c r="S2075" s="17">
        <v>4.7300000000000004</v>
      </c>
      <c r="T2075" s="17">
        <v>7.01</v>
      </c>
      <c r="U2075" s="20">
        <f t="shared" si="143"/>
        <v>1.482029598308668</v>
      </c>
      <c r="V2075" s="41">
        <f t="shared" si="142"/>
        <v>48.202959830866796</v>
      </c>
      <c r="W2075" s="17"/>
      <c r="X2075" s="17" t="s">
        <v>56</v>
      </c>
      <c r="Z2075" s="17" t="s">
        <v>56</v>
      </c>
      <c r="AA2075" s="17"/>
      <c r="AB2075" s="17" t="s">
        <v>57</v>
      </c>
      <c r="AC2075" s="17">
        <v>2012</v>
      </c>
      <c r="AD2075" s="17">
        <v>1</v>
      </c>
      <c r="AE2075" s="17"/>
      <c r="AF2075" s="17"/>
      <c r="AG2075" s="17">
        <v>1967</v>
      </c>
      <c r="AH2075" s="14">
        <f t="shared" si="140"/>
        <v>45</v>
      </c>
      <c r="AI2075" s="17">
        <f t="shared" si="141"/>
        <v>46</v>
      </c>
      <c r="AJ2075" s="17"/>
      <c r="AK2075" s="17" t="s">
        <v>56</v>
      </c>
      <c r="AL2075" s="16" t="s">
        <v>1966</v>
      </c>
      <c r="AM2075" s="17">
        <v>2017</v>
      </c>
      <c r="AN2075" s="15" t="s">
        <v>1967</v>
      </c>
      <c r="AO2075" s="15" t="s">
        <v>56</v>
      </c>
      <c r="AP2075" s="15"/>
      <c r="AQ2075" s="15" t="s">
        <v>56</v>
      </c>
      <c r="AR2075" s="15" t="s">
        <v>58</v>
      </c>
      <c r="AS2075" s="15" t="s">
        <v>62</v>
      </c>
      <c r="AT2075" s="15"/>
      <c r="AU2075" s="45"/>
      <c r="AV2075" s="15"/>
      <c r="AW2075" s="12" t="str">
        <f>B2075&amp;C2075&amp;L2075&amp;M2075&amp;O2075&amp;U2075&amp;AL2075&amp;AM2075</f>
        <v>United StatesThe University of Hawai’i Marine Laboratory RefugeChlorurus spilurusbiomassden1.48202959830867Stamoulis2017</v>
      </c>
    </row>
    <row r="2076" spans="1:49" ht="14.5" x14ac:dyDescent="0.35">
      <c r="A2076" s="12">
        <v>2075</v>
      </c>
      <c r="B2076" s="15" t="s">
        <v>75</v>
      </c>
      <c r="C2076" s="15" t="s">
        <v>1964</v>
      </c>
      <c r="D2076" s="15" t="s">
        <v>1964</v>
      </c>
      <c r="E2076" s="12" t="s">
        <v>1965</v>
      </c>
      <c r="F2076" s="13" t="s">
        <v>50</v>
      </c>
      <c r="G2076" s="13" t="s">
        <v>51</v>
      </c>
      <c r="H2076" s="16" t="s">
        <v>78</v>
      </c>
      <c r="I2076" s="16" t="s">
        <v>156</v>
      </c>
      <c r="J2076" s="17">
        <v>0.26</v>
      </c>
      <c r="K2076" s="17"/>
      <c r="L2076" s="17" t="s">
        <v>1971</v>
      </c>
      <c r="M2076" s="17"/>
      <c r="N2076" s="14" t="s">
        <v>85</v>
      </c>
      <c r="O2076" s="17" t="s">
        <v>70</v>
      </c>
      <c r="P2076" s="17"/>
      <c r="Q2076" s="17"/>
      <c r="R2076" s="17"/>
      <c r="S2076" s="17">
        <v>1.71</v>
      </c>
      <c r="T2076" s="17">
        <v>5.19</v>
      </c>
      <c r="U2076" s="19">
        <f t="shared" si="143"/>
        <v>3.0350877192982457</v>
      </c>
      <c r="V2076" s="41">
        <f t="shared" si="142"/>
        <v>203.50877192982458</v>
      </c>
      <c r="W2076" s="14"/>
      <c r="X2076" s="17" t="s">
        <v>56</v>
      </c>
      <c r="Z2076" s="17" t="s">
        <v>56</v>
      </c>
      <c r="AA2076" s="17"/>
      <c r="AB2076" s="17" t="s">
        <v>57</v>
      </c>
      <c r="AC2076" s="17">
        <v>2012</v>
      </c>
      <c r="AD2076" s="17">
        <v>1</v>
      </c>
      <c r="AE2076" s="17"/>
      <c r="AF2076" s="17"/>
      <c r="AG2076" s="17">
        <v>1967</v>
      </c>
      <c r="AH2076" s="14">
        <f t="shared" si="140"/>
        <v>45</v>
      </c>
      <c r="AI2076" s="17">
        <f t="shared" si="141"/>
        <v>46</v>
      </c>
      <c r="AJ2076" s="17"/>
      <c r="AK2076" s="17" t="s">
        <v>56</v>
      </c>
      <c r="AL2076" s="16" t="s">
        <v>1966</v>
      </c>
      <c r="AM2076" s="17">
        <v>2017</v>
      </c>
      <c r="AN2076" s="15" t="s">
        <v>1967</v>
      </c>
      <c r="AO2076" s="15" t="s">
        <v>56</v>
      </c>
      <c r="AP2076" s="15"/>
      <c r="AQ2076" s="15" t="s">
        <v>56</v>
      </c>
      <c r="AR2076" s="15" t="s">
        <v>58</v>
      </c>
      <c r="AS2076" s="15" t="s">
        <v>62</v>
      </c>
      <c r="AT2076" s="12"/>
      <c r="AU2076" s="45"/>
      <c r="AV2076" s="15"/>
      <c r="AW2076" s="12" t="str">
        <f>B2076&amp;C2076&amp;L2076&amp;M2076&amp;O2076&amp;U2076&amp;AL2076&amp;AM2076</f>
        <v>United StatesThe University of Hawai’i Marine Laboratory RefugeChlorurus perspicillatusbiomassden3.03508771929825Stamoulis2017</v>
      </c>
    </row>
    <row r="2077" spans="1:49" ht="14.5" x14ac:dyDescent="0.35">
      <c r="A2077" s="12">
        <v>2076</v>
      </c>
      <c r="B2077" s="15" t="s">
        <v>75</v>
      </c>
      <c r="C2077" s="15" t="s">
        <v>1964</v>
      </c>
      <c r="D2077" s="15" t="s">
        <v>1964</v>
      </c>
      <c r="E2077" s="15" t="s">
        <v>1965</v>
      </c>
      <c r="F2077" s="16" t="s">
        <v>50</v>
      </c>
      <c r="G2077" s="16" t="s">
        <v>51</v>
      </c>
      <c r="H2077" s="16" t="s">
        <v>78</v>
      </c>
      <c r="I2077" s="16" t="s">
        <v>156</v>
      </c>
      <c r="J2077" s="17">
        <v>0.26</v>
      </c>
      <c r="K2077" s="17"/>
      <c r="L2077" s="17" t="s">
        <v>1780</v>
      </c>
      <c r="M2077" s="17"/>
      <c r="N2077" s="14" t="s">
        <v>85</v>
      </c>
      <c r="O2077" s="17" t="s">
        <v>70</v>
      </c>
      <c r="P2077" s="17"/>
      <c r="Q2077" s="17"/>
      <c r="R2077" s="17"/>
      <c r="S2077" s="17">
        <v>0.02</v>
      </c>
      <c r="T2077" s="17">
        <v>3.73</v>
      </c>
      <c r="U2077" s="20">
        <f t="shared" si="143"/>
        <v>186.5</v>
      </c>
      <c r="V2077" s="41">
        <f t="shared" si="142"/>
        <v>18550</v>
      </c>
      <c r="W2077" s="17"/>
      <c r="X2077" s="17" t="s">
        <v>56</v>
      </c>
      <c r="Y2077" s="17"/>
      <c r="Z2077" s="17" t="s">
        <v>56</v>
      </c>
      <c r="AA2077" s="17"/>
      <c r="AB2077" s="17" t="s">
        <v>57</v>
      </c>
      <c r="AC2077" s="17">
        <v>2012</v>
      </c>
      <c r="AD2077" s="17">
        <v>1</v>
      </c>
      <c r="AE2077" s="17"/>
      <c r="AF2077" s="17"/>
      <c r="AG2077" s="17">
        <v>1967</v>
      </c>
      <c r="AH2077" s="14">
        <f t="shared" si="140"/>
        <v>45</v>
      </c>
      <c r="AI2077" s="17">
        <f t="shared" si="141"/>
        <v>46</v>
      </c>
      <c r="AJ2077" s="17"/>
      <c r="AK2077" s="17" t="s">
        <v>56</v>
      </c>
      <c r="AL2077" s="16" t="s">
        <v>1966</v>
      </c>
      <c r="AM2077" s="17">
        <v>2017</v>
      </c>
      <c r="AN2077" s="15" t="s">
        <v>1967</v>
      </c>
      <c r="AO2077" s="15" t="s">
        <v>56</v>
      </c>
      <c r="AP2077" s="15"/>
      <c r="AQ2077" s="15" t="s">
        <v>56</v>
      </c>
      <c r="AR2077" s="15" t="s">
        <v>58</v>
      </c>
      <c r="AS2077" s="15" t="s">
        <v>62</v>
      </c>
      <c r="AT2077" s="15"/>
      <c r="AU2077" s="45" t="s">
        <v>2845</v>
      </c>
      <c r="AV2077" s="15"/>
      <c r="AW2077" s="12" t="str">
        <f>B2077&amp;C2077&amp;L2077&amp;M2077&amp;O2077&amp;U2077&amp;AL2077&amp;AM2077</f>
        <v>United StatesThe University of Hawai’i Marine Laboratory RefugeAcanthurus xanthopterusbiomassden186.5Stamoulis2017</v>
      </c>
    </row>
    <row r="2078" spans="1:49" ht="14.5" x14ac:dyDescent="0.35">
      <c r="A2078" s="12">
        <v>2077</v>
      </c>
      <c r="B2078" s="15" t="s">
        <v>75</v>
      </c>
      <c r="C2078" s="15" t="s">
        <v>1964</v>
      </c>
      <c r="D2078" s="15" t="s">
        <v>1964</v>
      </c>
      <c r="E2078" s="12" t="s">
        <v>1965</v>
      </c>
      <c r="F2078" s="13" t="s">
        <v>50</v>
      </c>
      <c r="G2078" s="13" t="s">
        <v>51</v>
      </c>
      <c r="H2078" s="16" t="s">
        <v>78</v>
      </c>
      <c r="I2078" s="16" t="s">
        <v>156</v>
      </c>
      <c r="J2078" s="17">
        <v>0.26</v>
      </c>
      <c r="K2078" s="17"/>
      <c r="L2078" s="17" t="s">
        <v>1555</v>
      </c>
      <c r="M2078" s="17"/>
      <c r="N2078" s="14" t="s">
        <v>85</v>
      </c>
      <c r="O2078" s="17" t="s">
        <v>70</v>
      </c>
      <c r="P2078" s="17"/>
      <c r="Q2078" s="17"/>
      <c r="R2078" s="17"/>
      <c r="S2078" s="17">
        <v>0.98</v>
      </c>
      <c r="T2078" s="17">
        <v>2.87</v>
      </c>
      <c r="U2078" s="19">
        <f t="shared" si="143"/>
        <v>2.9285714285714288</v>
      </c>
      <c r="V2078" s="41">
        <f t="shared" si="142"/>
        <v>192.85714285714289</v>
      </c>
      <c r="W2078" s="14"/>
      <c r="X2078" s="17" t="s">
        <v>56</v>
      </c>
      <c r="Y2078" s="17"/>
      <c r="Z2078" s="17" t="s">
        <v>56</v>
      </c>
      <c r="AA2078" s="17"/>
      <c r="AB2078" s="17" t="s">
        <v>57</v>
      </c>
      <c r="AC2078" s="17">
        <v>2012</v>
      </c>
      <c r="AD2078" s="17">
        <v>1</v>
      </c>
      <c r="AE2078" s="17"/>
      <c r="AF2078" s="17"/>
      <c r="AG2078" s="17">
        <v>1967</v>
      </c>
      <c r="AH2078" s="14">
        <f t="shared" si="140"/>
        <v>45</v>
      </c>
      <c r="AI2078" s="17">
        <f t="shared" si="141"/>
        <v>46</v>
      </c>
      <c r="AJ2078" s="17"/>
      <c r="AK2078" s="17" t="s">
        <v>56</v>
      </c>
      <c r="AL2078" s="16" t="s">
        <v>1966</v>
      </c>
      <c r="AM2078" s="17">
        <v>2017</v>
      </c>
      <c r="AN2078" s="15" t="s">
        <v>1967</v>
      </c>
      <c r="AO2078" s="15" t="s">
        <v>56</v>
      </c>
      <c r="AP2078" s="15"/>
      <c r="AQ2078" s="15" t="s">
        <v>56</v>
      </c>
      <c r="AR2078" s="15" t="s">
        <v>58</v>
      </c>
      <c r="AS2078" s="15" t="s">
        <v>62</v>
      </c>
      <c r="AT2078" s="12"/>
      <c r="AU2078" s="45"/>
      <c r="AV2078" s="15"/>
      <c r="AW2078" s="12" t="str">
        <f>B2078&amp;C2078&amp;L2078&amp;M2078&amp;O2078&amp;U2078&amp;AL2078&amp;AM2078</f>
        <v>United StatesThe University of Hawai’i Marine Laboratory RefugeAcanthurus triostegusbiomassden2.92857142857143Stamoulis2017</v>
      </c>
    </row>
    <row r="2079" spans="1:49" ht="14.5" x14ac:dyDescent="0.35">
      <c r="A2079" s="12">
        <v>2078</v>
      </c>
      <c r="B2079" s="15" t="s">
        <v>75</v>
      </c>
      <c r="C2079" s="15" t="s">
        <v>1964</v>
      </c>
      <c r="D2079" s="15" t="s">
        <v>1964</v>
      </c>
      <c r="E2079" s="12" t="s">
        <v>1965</v>
      </c>
      <c r="F2079" s="13" t="s">
        <v>50</v>
      </c>
      <c r="G2079" s="13" t="s">
        <v>51</v>
      </c>
      <c r="H2079" s="16" t="s">
        <v>78</v>
      </c>
      <c r="I2079" s="16" t="s">
        <v>156</v>
      </c>
      <c r="J2079" s="17">
        <v>0.26</v>
      </c>
      <c r="K2079" s="17"/>
      <c r="L2079" s="17" t="s">
        <v>1972</v>
      </c>
      <c r="M2079" s="17"/>
      <c r="N2079" s="14" t="s">
        <v>85</v>
      </c>
      <c r="O2079" s="17" t="s">
        <v>70</v>
      </c>
      <c r="P2079" s="17"/>
      <c r="Q2079" s="17"/>
      <c r="R2079" s="17"/>
      <c r="S2079" s="17">
        <v>0.32</v>
      </c>
      <c r="T2079" s="17">
        <v>1.52</v>
      </c>
      <c r="U2079" s="19">
        <f t="shared" si="143"/>
        <v>4.75</v>
      </c>
      <c r="V2079" s="41">
        <f t="shared" si="142"/>
        <v>375</v>
      </c>
      <c r="W2079" s="14"/>
      <c r="X2079" s="17" t="s">
        <v>56</v>
      </c>
      <c r="Y2079" s="17"/>
      <c r="Z2079" s="17" t="s">
        <v>56</v>
      </c>
      <c r="AA2079" s="17"/>
      <c r="AB2079" s="17" t="s">
        <v>57</v>
      </c>
      <c r="AC2079" s="17">
        <v>2012</v>
      </c>
      <c r="AD2079" s="17">
        <v>1</v>
      </c>
      <c r="AE2079" s="17"/>
      <c r="AF2079" s="17"/>
      <c r="AG2079" s="17">
        <v>1967</v>
      </c>
      <c r="AH2079" s="14">
        <f t="shared" si="140"/>
        <v>45</v>
      </c>
      <c r="AI2079" s="17">
        <f t="shared" si="141"/>
        <v>46</v>
      </c>
      <c r="AJ2079" s="17"/>
      <c r="AK2079" s="17" t="s">
        <v>56</v>
      </c>
      <c r="AL2079" s="16" t="s">
        <v>1966</v>
      </c>
      <c r="AM2079" s="17">
        <v>2017</v>
      </c>
      <c r="AN2079" s="15" t="s">
        <v>1967</v>
      </c>
      <c r="AO2079" s="15" t="s">
        <v>56</v>
      </c>
      <c r="AP2079" s="15"/>
      <c r="AQ2079" s="15" t="s">
        <v>56</v>
      </c>
      <c r="AR2079" s="15" t="s">
        <v>58</v>
      </c>
      <c r="AS2079" s="15" t="s">
        <v>62</v>
      </c>
      <c r="AT2079" s="12"/>
      <c r="AU2079" s="45"/>
      <c r="AV2079" s="15"/>
      <c r="AW2079" s="12" t="str">
        <f>B2079&amp;C2079&amp;L2079&amp;M2079&amp;O2079&amp;U2079&amp;AL2079&amp;AM2079</f>
        <v>United StatesThe University of Hawai’i Marine Laboratory RefugeAcanthurus blochiibiomassden4.75Stamoulis2017</v>
      </c>
    </row>
    <row r="2080" spans="1:49" ht="14.5" x14ac:dyDescent="0.35">
      <c r="A2080" s="12">
        <v>2079</v>
      </c>
      <c r="B2080" s="15" t="s">
        <v>75</v>
      </c>
      <c r="C2080" s="15" t="s">
        <v>1964</v>
      </c>
      <c r="D2080" s="15" t="s">
        <v>1964</v>
      </c>
      <c r="E2080" s="12" t="s">
        <v>1965</v>
      </c>
      <c r="F2080" s="13" t="s">
        <v>50</v>
      </c>
      <c r="G2080" s="13" t="s">
        <v>51</v>
      </c>
      <c r="H2080" s="16" t="s">
        <v>78</v>
      </c>
      <c r="I2080" s="16" t="s">
        <v>156</v>
      </c>
      <c r="J2080" s="17">
        <v>0.26</v>
      </c>
      <c r="K2080" s="17"/>
      <c r="L2080" s="17" t="s">
        <v>1973</v>
      </c>
      <c r="M2080" s="17"/>
      <c r="N2080" s="14" t="s">
        <v>85</v>
      </c>
      <c r="O2080" s="17" t="s">
        <v>70</v>
      </c>
      <c r="P2080" s="17"/>
      <c r="Q2080" s="17"/>
      <c r="R2080" s="17"/>
      <c r="S2080" s="17">
        <v>0.04</v>
      </c>
      <c r="T2080" s="17">
        <v>0.6</v>
      </c>
      <c r="U2080" s="19">
        <f t="shared" si="143"/>
        <v>15</v>
      </c>
      <c r="V2080" s="41">
        <f t="shared" si="142"/>
        <v>1400</v>
      </c>
      <c r="W2080" s="14"/>
      <c r="X2080" s="17" t="s">
        <v>56</v>
      </c>
      <c r="Y2080" s="17"/>
      <c r="Z2080" s="17" t="s">
        <v>56</v>
      </c>
      <c r="AA2080" s="17"/>
      <c r="AB2080" s="17" t="s">
        <v>57</v>
      </c>
      <c r="AC2080" s="17">
        <v>2012</v>
      </c>
      <c r="AD2080" s="17">
        <v>1</v>
      </c>
      <c r="AE2080" s="17"/>
      <c r="AF2080" s="17"/>
      <c r="AG2080" s="17">
        <v>1967</v>
      </c>
      <c r="AH2080" s="14">
        <f t="shared" si="140"/>
        <v>45</v>
      </c>
      <c r="AI2080" s="17">
        <f t="shared" si="141"/>
        <v>46</v>
      </c>
      <c r="AJ2080" s="17"/>
      <c r="AK2080" s="17" t="s">
        <v>56</v>
      </c>
      <c r="AL2080" s="16" t="s">
        <v>1966</v>
      </c>
      <c r="AM2080" s="17">
        <v>2017</v>
      </c>
      <c r="AN2080" s="15" t="s">
        <v>1967</v>
      </c>
      <c r="AO2080" s="15" t="s">
        <v>56</v>
      </c>
      <c r="AP2080" s="15"/>
      <c r="AQ2080" s="15" t="s">
        <v>56</v>
      </c>
      <c r="AR2080" s="15" t="s">
        <v>58</v>
      </c>
      <c r="AS2080" s="15" t="s">
        <v>62</v>
      </c>
      <c r="AT2080" s="12"/>
      <c r="AU2080" s="45"/>
      <c r="AV2080" s="15"/>
      <c r="AW2080" s="12" t="str">
        <f>B2080&amp;C2080&amp;L2080&amp;M2080&amp;O2080&amp;U2080&amp;AL2080&amp;AM2080</f>
        <v>United StatesThe University of Hawai’i Marine Laboratory RefugeAcanthurus dussumieribiomassden15Stamoulis2017</v>
      </c>
    </row>
    <row r="2081" spans="1:49" ht="14.5" x14ac:dyDescent="0.35">
      <c r="A2081" s="12">
        <v>2080</v>
      </c>
      <c r="B2081" s="15" t="s">
        <v>75</v>
      </c>
      <c r="C2081" s="15" t="s">
        <v>1964</v>
      </c>
      <c r="D2081" s="15" t="s">
        <v>1964</v>
      </c>
      <c r="E2081" s="12" t="s">
        <v>1965</v>
      </c>
      <c r="F2081" s="13" t="s">
        <v>50</v>
      </c>
      <c r="G2081" s="13" t="s">
        <v>51</v>
      </c>
      <c r="H2081" s="16" t="s">
        <v>78</v>
      </c>
      <c r="I2081" s="16" t="s">
        <v>156</v>
      </c>
      <c r="J2081" s="17">
        <v>0.26</v>
      </c>
      <c r="K2081" s="17"/>
      <c r="L2081" s="17" t="s">
        <v>1974</v>
      </c>
      <c r="M2081" s="17"/>
      <c r="N2081" s="14" t="s">
        <v>85</v>
      </c>
      <c r="O2081" s="17" t="s">
        <v>70</v>
      </c>
      <c r="P2081" s="17"/>
      <c r="Q2081" s="17"/>
      <c r="R2081" s="17"/>
      <c r="S2081" s="17">
        <v>0.19</v>
      </c>
      <c r="T2081" s="17">
        <v>0.45</v>
      </c>
      <c r="U2081" s="19">
        <f t="shared" si="143"/>
        <v>2.3684210526315788</v>
      </c>
      <c r="V2081" s="41">
        <f t="shared" si="142"/>
        <v>136.84210526315786</v>
      </c>
      <c r="W2081" s="14"/>
      <c r="X2081" s="17" t="s">
        <v>56</v>
      </c>
      <c r="Y2081" s="17"/>
      <c r="Z2081" s="17" t="s">
        <v>56</v>
      </c>
      <c r="AA2081" s="17"/>
      <c r="AB2081" s="17" t="s">
        <v>57</v>
      </c>
      <c r="AC2081" s="17">
        <v>2012</v>
      </c>
      <c r="AD2081" s="17">
        <v>1</v>
      </c>
      <c r="AE2081" s="17"/>
      <c r="AF2081" s="17"/>
      <c r="AG2081" s="17">
        <v>1967</v>
      </c>
      <c r="AH2081" s="14">
        <f t="shared" si="140"/>
        <v>45</v>
      </c>
      <c r="AI2081" s="17">
        <f t="shared" si="141"/>
        <v>46</v>
      </c>
      <c r="AJ2081" s="17"/>
      <c r="AK2081" s="17" t="s">
        <v>56</v>
      </c>
      <c r="AL2081" s="16" t="s">
        <v>1966</v>
      </c>
      <c r="AM2081" s="17">
        <v>2017</v>
      </c>
      <c r="AN2081" s="15" t="s">
        <v>1967</v>
      </c>
      <c r="AO2081" s="15" t="s">
        <v>56</v>
      </c>
      <c r="AP2081" s="15"/>
      <c r="AQ2081" s="15" t="s">
        <v>56</v>
      </c>
      <c r="AR2081" s="15" t="s">
        <v>58</v>
      </c>
      <c r="AS2081" s="15" t="s">
        <v>62</v>
      </c>
      <c r="AT2081" s="12"/>
      <c r="AU2081" s="45"/>
      <c r="AV2081" s="15"/>
      <c r="AW2081" s="12" t="str">
        <f>B2081&amp;C2081&amp;L2081&amp;M2081&amp;O2081&amp;U2081&amp;AL2081&amp;AM2081</f>
        <v>United StatesThe University of Hawai’i Marine Laboratory RefugeZebrasoma veliferumbiomassden2.36842105263158Stamoulis2017</v>
      </c>
    </row>
    <row r="2082" spans="1:49" ht="14.5" x14ac:dyDescent="0.35">
      <c r="A2082" s="12">
        <v>2081</v>
      </c>
      <c r="B2082" s="15" t="s">
        <v>75</v>
      </c>
      <c r="C2082" s="15" t="s">
        <v>1964</v>
      </c>
      <c r="D2082" s="15" t="s">
        <v>1964</v>
      </c>
      <c r="E2082" s="12" t="s">
        <v>1965</v>
      </c>
      <c r="F2082" s="13" t="s">
        <v>50</v>
      </c>
      <c r="G2082" s="13" t="s">
        <v>51</v>
      </c>
      <c r="H2082" s="16" t="s">
        <v>78</v>
      </c>
      <c r="I2082" s="16" t="s">
        <v>156</v>
      </c>
      <c r="J2082" s="17">
        <v>0.26</v>
      </c>
      <c r="K2082" s="17"/>
      <c r="L2082" s="17" t="s">
        <v>1975</v>
      </c>
      <c r="M2082" s="17"/>
      <c r="N2082" s="14" t="s">
        <v>85</v>
      </c>
      <c r="O2082" s="17" t="s">
        <v>70</v>
      </c>
      <c r="P2082" s="17"/>
      <c r="Q2082" s="17"/>
      <c r="R2082" s="17"/>
      <c r="S2082" s="17">
        <v>0.27</v>
      </c>
      <c r="T2082" s="17">
        <v>0.41</v>
      </c>
      <c r="U2082" s="19">
        <f t="shared" si="143"/>
        <v>1.5185185185185184</v>
      </c>
      <c r="V2082" s="41">
        <f t="shared" si="142"/>
        <v>51.851851851851841</v>
      </c>
      <c r="W2082" s="14"/>
      <c r="X2082" s="17" t="s">
        <v>56</v>
      </c>
      <c r="Y2082" s="17"/>
      <c r="Z2082" s="17" t="s">
        <v>56</v>
      </c>
      <c r="AA2082" s="17"/>
      <c r="AB2082" s="17" t="s">
        <v>57</v>
      </c>
      <c r="AC2082" s="17">
        <v>2012</v>
      </c>
      <c r="AD2082" s="17">
        <v>1</v>
      </c>
      <c r="AE2082" s="17"/>
      <c r="AF2082" s="17"/>
      <c r="AG2082" s="17">
        <v>1967</v>
      </c>
      <c r="AH2082" s="14">
        <f t="shared" si="140"/>
        <v>45</v>
      </c>
      <c r="AI2082" s="17">
        <f t="shared" si="141"/>
        <v>46</v>
      </c>
      <c r="AJ2082" s="17"/>
      <c r="AK2082" s="17" t="s">
        <v>56</v>
      </c>
      <c r="AL2082" s="16" t="s">
        <v>1966</v>
      </c>
      <c r="AM2082" s="17">
        <v>2017</v>
      </c>
      <c r="AN2082" s="15" t="s">
        <v>1967</v>
      </c>
      <c r="AO2082" s="15" t="s">
        <v>56</v>
      </c>
      <c r="AP2082" s="15"/>
      <c r="AQ2082" s="15" t="s">
        <v>56</v>
      </c>
      <c r="AR2082" s="15" t="s">
        <v>58</v>
      </c>
      <c r="AS2082" s="15" t="s">
        <v>62</v>
      </c>
      <c r="AT2082" s="12"/>
      <c r="AU2082" s="45"/>
      <c r="AV2082" s="15"/>
      <c r="AW2082" s="12" t="str">
        <f>B2082&amp;C2082&amp;L2082&amp;M2082&amp;O2082&amp;U2082&amp;AL2082&amp;AM2082</f>
        <v>United StatesThe University of Hawai’i Marine Laboratory RefugeZebrasoma flavescensbiomassden1.51851851851852Stamoulis2017</v>
      </c>
    </row>
    <row r="2083" spans="1:49" ht="14.5" x14ac:dyDescent="0.35">
      <c r="A2083" s="12">
        <v>2082</v>
      </c>
      <c r="B2083" s="15" t="s">
        <v>75</v>
      </c>
      <c r="C2083" s="15" t="s">
        <v>1964</v>
      </c>
      <c r="D2083" s="15" t="s">
        <v>1964</v>
      </c>
      <c r="E2083" s="12" t="s">
        <v>1965</v>
      </c>
      <c r="F2083" s="13" t="s">
        <v>50</v>
      </c>
      <c r="G2083" s="13" t="s">
        <v>51</v>
      </c>
      <c r="H2083" s="16" t="s">
        <v>78</v>
      </c>
      <c r="I2083" s="16" t="s">
        <v>156</v>
      </c>
      <c r="J2083" s="17">
        <v>0.26</v>
      </c>
      <c r="K2083" s="17"/>
      <c r="L2083" s="17" t="s">
        <v>1976</v>
      </c>
      <c r="M2083" s="17"/>
      <c r="N2083" s="14" t="s">
        <v>85</v>
      </c>
      <c r="O2083" s="17" t="s">
        <v>70</v>
      </c>
      <c r="P2083" s="17"/>
      <c r="Q2083" s="17"/>
      <c r="R2083" s="17"/>
      <c r="S2083" s="17">
        <v>0.1</v>
      </c>
      <c r="T2083" s="17">
        <v>0.39</v>
      </c>
      <c r="U2083" s="19">
        <f t="shared" si="143"/>
        <v>3.9</v>
      </c>
      <c r="V2083" s="41">
        <f t="shared" si="142"/>
        <v>290</v>
      </c>
      <c r="W2083" s="14"/>
      <c r="X2083" s="17" t="s">
        <v>56</v>
      </c>
      <c r="Y2083" s="17"/>
      <c r="Z2083" s="17" t="s">
        <v>56</v>
      </c>
      <c r="AA2083" s="17"/>
      <c r="AB2083" s="17" t="s">
        <v>57</v>
      </c>
      <c r="AC2083" s="17">
        <v>2012</v>
      </c>
      <c r="AD2083" s="17">
        <v>1</v>
      </c>
      <c r="AE2083" s="17"/>
      <c r="AF2083" s="17"/>
      <c r="AG2083" s="17">
        <v>1967</v>
      </c>
      <c r="AH2083" s="14">
        <f t="shared" si="140"/>
        <v>45</v>
      </c>
      <c r="AI2083" s="17">
        <f t="shared" si="141"/>
        <v>46</v>
      </c>
      <c r="AJ2083" s="17"/>
      <c r="AK2083" s="17" t="s">
        <v>56</v>
      </c>
      <c r="AL2083" s="16" t="s">
        <v>1966</v>
      </c>
      <c r="AM2083" s="17">
        <v>2017</v>
      </c>
      <c r="AN2083" s="15" t="s">
        <v>1967</v>
      </c>
      <c r="AO2083" s="15" t="s">
        <v>56</v>
      </c>
      <c r="AP2083" s="15"/>
      <c r="AQ2083" s="15" t="s">
        <v>56</v>
      </c>
      <c r="AR2083" s="15" t="s">
        <v>58</v>
      </c>
      <c r="AS2083" s="15" t="s">
        <v>62</v>
      </c>
      <c r="AT2083" s="12"/>
      <c r="AU2083" s="45"/>
      <c r="AV2083" s="15"/>
      <c r="AW2083" s="12" t="str">
        <f>B2083&amp;C2083&amp;L2083&amp;M2083&amp;O2083&amp;U2083&amp;AL2083&amp;AM2083</f>
        <v>United StatesThe University of Hawai’i Marine Laboratory RefugeNaso unicornisbiomassden3.9Stamoulis2017</v>
      </c>
    </row>
    <row r="2084" spans="1:49" ht="14.5" x14ac:dyDescent="0.35">
      <c r="A2084" s="12">
        <v>2083</v>
      </c>
      <c r="B2084" s="15" t="s">
        <v>75</v>
      </c>
      <c r="C2084" s="15" t="s">
        <v>1964</v>
      </c>
      <c r="D2084" s="15" t="s">
        <v>1964</v>
      </c>
      <c r="E2084" s="15" t="s">
        <v>1965</v>
      </c>
      <c r="F2084" s="13" t="s">
        <v>50</v>
      </c>
      <c r="G2084" s="13" t="s">
        <v>51</v>
      </c>
      <c r="H2084" s="16" t="s">
        <v>78</v>
      </c>
      <c r="I2084" s="16" t="s">
        <v>156</v>
      </c>
      <c r="J2084" s="17">
        <v>0.26</v>
      </c>
      <c r="K2084" s="17"/>
      <c r="L2084" s="17" t="s">
        <v>1977</v>
      </c>
      <c r="M2084" s="17"/>
      <c r="N2084" s="14" t="s">
        <v>85</v>
      </c>
      <c r="O2084" s="17" t="s">
        <v>70</v>
      </c>
      <c r="P2084" s="17"/>
      <c r="Q2084" s="17"/>
      <c r="R2084" s="17"/>
      <c r="S2084" s="17">
        <v>0</v>
      </c>
      <c r="T2084" s="17">
        <v>0.36</v>
      </c>
      <c r="U2084" s="20" t="str">
        <f t="shared" si="143"/>
        <v>N/A</v>
      </c>
      <c r="V2084" s="41" t="str">
        <f t="shared" si="142"/>
        <v>N/A</v>
      </c>
      <c r="W2084" s="17"/>
      <c r="X2084" s="17" t="s">
        <v>56</v>
      </c>
      <c r="Y2084" s="17"/>
      <c r="Z2084" s="17" t="s">
        <v>56</v>
      </c>
      <c r="AA2084" s="17"/>
      <c r="AB2084" s="17" t="s">
        <v>57</v>
      </c>
      <c r="AC2084" s="17">
        <v>2012</v>
      </c>
      <c r="AD2084" s="17">
        <v>1</v>
      </c>
      <c r="AE2084" s="17"/>
      <c r="AF2084" s="17"/>
      <c r="AG2084" s="17">
        <v>1967</v>
      </c>
      <c r="AH2084" s="14">
        <f t="shared" si="140"/>
        <v>45</v>
      </c>
      <c r="AI2084" s="17">
        <f t="shared" si="141"/>
        <v>46</v>
      </c>
      <c r="AJ2084" s="17"/>
      <c r="AK2084" s="17" t="s">
        <v>56</v>
      </c>
      <c r="AL2084" s="16" t="s">
        <v>1966</v>
      </c>
      <c r="AM2084" s="17">
        <v>2017</v>
      </c>
      <c r="AN2084" s="15" t="s">
        <v>1967</v>
      </c>
      <c r="AO2084" s="15" t="s">
        <v>56</v>
      </c>
      <c r="AP2084" s="15"/>
      <c r="AQ2084" s="15" t="s">
        <v>56</v>
      </c>
      <c r="AR2084" s="15" t="s">
        <v>58</v>
      </c>
      <c r="AS2084" s="15" t="s">
        <v>62</v>
      </c>
      <c r="AT2084" s="15"/>
      <c r="AU2084" s="45"/>
      <c r="AV2084" s="15"/>
      <c r="AW2084" s="12" t="str">
        <f>B2084&amp;C2084&amp;L2084&amp;M2084&amp;O2084&amp;U2084&amp;AL2084&amp;AM2084</f>
        <v>United StatesThe University of Hawai’i Marine Laboratory RefugeNaso brevirostrisbiomassdenN/AStamoulis2017</v>
      </c>
    </row>
    <row r="2085" spans="1:49" ht="14.5" x14ac:dyDescent="0.35">
      <c r="A2085" s="12">
        <v>2084</v>
      </c>
      <c r="B2085" s="15" t="s">
        <v>75</v>
      </c>
      <c r="C2085" s="15" t="s">
        <v>1964</v>
      </c>
      <c r="D2085" s="15" t="s">
        <v>1964</v>
      </c>
      <c r="E2085" s="15" t="s">
        <v>1965</v>
      </c>
      <c r="F2085" s="13" t="s">
        <v>50</v>
      </c>
      <c r="G2085" s="13" t="s">
        <v>51</v>
      </c>
      <c r="H2085" s="16" t="s">
        <v>78</v>
      </c>
      <c r="I2085" s="16" t="s">
        <v>156</v>
      </c>
      <c r="J2085" s="17">
        <v>0.26</v>
      </c>
      <c r="K2085" s="17"/>
      <c r="L2085" s="17" t="s">
        <v>1978</v>
      </c>
      <c r="M2085" s="17"/>
      <c r="N2085" s="14" t="s">
        <v>120</v>
      </c>
      <c r="O2085" s="17" t="s">
        <v>70</v>
      </c>
      <c r="P2085" s="17"/>
      <c r="Q2085" s="17"/>
      <c r="R2085" s="17"/>
      <c r="S2085" s="17">
        <v>0.27</v>
      </c>
      <c r="T2085" s="17">
        <v>0.2</v>
      </c>
      <c r="U2085" s="20">
        <f t="shared" si="143"/>
        <v>0.7407407407407407</v>
      </c>
      <c r="V2085" s="41">
        <f t="shared" si="142"/>
        <v>-25.925925925925931</v>
      </c>
      <c r="W2085" s="17"/>
      <c r="X2085" s="17" t="s">
        <v>56</v>
      </c>
      <c r="Y2085" s="17"/>
      <c r="Z2085" s="17" t="s">
        <v>56</v>
      </c>
      <c r="AA2085" s="17"/>
      <c r="AB2085" s="17" t="s">
        <v>57</v>
      </c>
      <c r="AC2085" s="17">
        <v>2012</v>
      </c>
      <c r="AD2085" s="17">
        <v>1</v>
      </c>
      <c r="AE2085" s="17"/>
      <c r="AF2085" s="17"/>
      <c r="AG2085" s="17">
        <v>1967</v>
      </c>
      <c r="AH2085" s="14">
        <f t="shared" si="140"/>
        <v>45</v>
      </c>
      <c r="AI2085" s="17">
        <f t="shared" si="141"/>
        <v>46</v>
      </c>
      <c r="AJ2085" s="17"/>
      <c r="AK2085" s="17" t="s">
        <v>56</v>
      </c>
      <c r="AL2085" s="16" t="s">
        <v>1966</v>
      </c>
      <c r="AM2085" s="17">
        <v>2017</v>
      </c>
      <c r="AN2085" s="15" t="s">
        <v>1967</v>
      </c>
      <c r="AO2085" s="15" t="s">
        <v>56</v>
      </c>
      <c r="AP2085" s="15"/>
      <c r="AQ2085" s="15" t="s">
        <v>56</v>
      </c>
      <c r="AR2085" s="15" t="s">
        <v>58</v>
      </c>
      <c r="AS2085" s="15" t="s">
        <v>62</v>
      </c>
      <c r="AT2085" s="15"/>
      <c r="AU2085" s="45"/>
      <c r="AV2085" s="15"/>
      <c r="AW2085" s="12" t="str">
        <f>B2085&amp;C2085&amp;L2085&amp;M2085&amp;O2085&amp;U2085&amp;AL2085&amp;AM2085</f>
        <v>United StatesThe University of Hawai’i Marine Laboratory RefugeScarus spp.biomassden0.740740740740741Stamoulis2017</v>
      </c>
    </row>
    <row r="2086" spans="1:49" ht="14.5" x14ac:dyDescent="0.35">
      <c r="A2086" s="12">
        <v>2085</v>
      </c>
      <c r="B2086" s="15" t="s">
        <v>75</v>
      </c>
      <c r="C2086" s="15" t="s">
        <v>1964</v>
      </c>
      <c r="D2086" s="15" t="s">
        <v>1964</v>
      </c>
      <c r="E2086" s="12" t="s">
        <v>1965</v>
      </c>
      <c r="F2086" s="13" t="s">
        <v>50</v>
      </c>
      <c r="G2086" s="13" t="s">
        <v>51</v>
      </c>
      <c r="H2086" s="16" t="s">
        <v>78</v>
      </c>
      <c r="I2086" s="16" t="s">
        <v>156</v>
      </c>
      <c r="J2086" s="17">
        <v>0.26</v>
      </c>
      <c r="K2086" s="17"/>
      <c r="L2086" s="17" t="s">
        <v>1979</v>
      </c>
      <c r="M2086" s="17"/>
      <c r="N2086" s="14" t="s">
        <v>85</v>
      </c>
      <c r="O2086" s="17" t="s">
        <v>70</v>
      </c>
      <c r="P2086" s="17"/>
      <c r="Q2086" s="17"/>
      <c r="R2086" s="17"/>
      <c r="S2086" s="17">
        <v>7.0000000000000007E-2</v>
      </c>
      <c r="T2086" s="17">
        <v>0.2</v>
      </c>
      <c r="U2086" s="19">
        <f t="shared" si="143"/>
        <v>2.8571428571428572</v>
      </c>
      <c r="V2086" s="41">
        <f t="shared" si="142"/>
        <v>185.71428571428572</v>
      </c>
      <c r="W2086" s="14"/>
      <c r="X2086" s="17" t="s">
        <v>56</v>
      </c>
      <c r="Y2086" s="17"/>
      <c r="Z2086" s="17" t="s">
        <v>56</v>
      </c>
      <c r="AA2086" s="17"/>
      <c r="AB2086" s="17" t="s">
        <v>57</v>
      </c>
      <c r="AC2086" s="17">
        <v>2012</v>
      </c>
      <c r="AD2086" s="17">
        <v>1</v>
      </c>
      <c r="AE2086" s="17"/>
      <c r="AF2086" s="17"/>
      <c r="AG2086" s="17">
        <v>1967</v>
      </c>
      <c r="AH2086" s="14">
        <f t="shared" si="140"/>
        <v>45</v>
      </c>
      <c r="AI2086" s="17">
        <f t="shared" si="141"/>
        <v>46</v>
      </c>
      <c r="AJ2086" s="17"/>
      <c r="AK2086" s="17" t="s">
        <v>56</v>
      </c>
      <c r="AL2086" s="16" t="s">
        <v>1966</v>
      </c>
      <c r="AM2086" s="17">
        <v>2017</v>
      </c>
      <c r="AN2086" s="15" t="s">
        <v>1967</v>
      </c>
      <c r="AO2086" s="15" t="s">
        <v>56</v>
      </c>
      <c r="AP2086" s="15"/>
      <c r="AQ2086" s="15" t="s">
        <v>56</v>
      </c>
      <c r="AR2086" s="15" t="s">
        <v>58</v>
      </c>
      <c r="AS2086" s="15" t="s">
        <v>62</v>
      </c>
      <c r="AT2086" s="12"/>
      <c r="AU2086" s="45"/>
      <c r="AV2086" s="15"/>
      <c r="AW2086" s="12" t="str">
        <f>B2086&amp;C2086&amp;L2086&amp;M2086&amp;O2086&amp;U2086&amp;AL2086&amp;AM2086</f>
        <v>United StatesThe University of Hawai’i Marine Laboratory RefugeAcanthurus leucopareiusbiomassden2.85714285714286Stamoulis2017</v>
      </c>
    </row>
    <row r="2087" spans="1:49" ht="14.5" x14ac:dyDescent="0.35">
      <c r="A2087" s="12">
        <v>2086</v>
      </c>
      <c r="B2087" s="15" t="s">
        <v>968</v>
      </c>
      <c r="C2087" s="15" t="s">
        <v>969</v>
      </c>
      <c r="D2087" s="15" t="s">
        <v>970</v>
      </c>
      <c r="E2087" s="15" t="s">
        <v>971</v>
      </c>
      <c r="F2087" s="13" t="s">
        <v>50</v>
      </c>
      <c r="G2087" s="13" t="s">
        <v>51</v>
      </c>
      <c r="H2087" s="16" t="s">
        <v>329</v>
      </c>
      <c r="I2087" s="16" t="s">
        <v>156</v>
      </c>
      <c r="J2087" s="17">
        <v>0.05</v>
      </c>
      <c r="K2087" s="80"/>
      <c r="L2087" s="17"/>
      <c r="M2087" s="17" t="s">
        <v>786</v>
      </c>
      <c r="N2087" s="14" t="s">
        <v>1070</v>
      </c>
      <c r="O2087" s="17" t="s">
        <v>101</v>
      </c>
      <c r="P2087" s="17"/>
      <c r="Q2087" s="17"/>
      <c r="R2087" s="17"/>
      <c r="S2087" s="17">
        <v>33.700000000000003</v>
      </c>
      <c r="T2087" s="17">
        <v>37.924999999999997</v>
      </c>
      <c r="U2087" s="20">
        <f t="shared" si="143"/>
        <v>1.1253709198813056</v>
      </c>
      <c r="V2087" s="41">
        <f t="shared" si="142"/>
        <v>12.537091988130555</v>
      </c>
      <c r="W2087" s="17"/>
      <c r="X2087" s="17" t="s">
        <v>56</v>
      </c>
      <c r="Y2087" s="17"/>
      <c r="Z2087" s="17" t="s">
        <v>56</v>
      </c>
      <c r="AA2087" s="17"/>
      <c r="AB2087" s="17" t="s">
        <v>57</v>
      </c>
      <c r="AC2087" s="17">
        <v>2001</v>
      </c>
      <c r="AD2087" s="17">
        <v>4</v>
      </c>
      <c r="AE2087" s="17"/>
      <c r="AF2087" s="17"/>
      <c r="AG2087" s="17">
        <v>2001</v>
      </c>
      <c r="AH2087" s="14">
        <f t="shared" si="140"/>
        <v>0</v>
      </c>
      <c r="AI2087" s="17">
        <f t="shared" si="141"/>
        <v>4</v>
      </c>
      <c r="AJ2087" s="17"/>
      <c r="AK2087" s="17" t="s">
        <v>58</v>
      </c>
      <c r="AL2087" s="16" t="s">
        <v>972</v>
      </c>
      <c r="AM2087" s="17">
        <v>2007</v>
      </c>
      <c r="AN2087" s="15" t="s">
        <v>190</v>
      </c>
      <c r="AO2087" s="15" t="s">
        <v>56</v>
      </c>
      <c r="AP2087" s="15"/>
      <c r="AQ2087" s="15" t="s">
        <v>56</v>
      </c>
      <c r="AR2087" s="15" t="s">
        <v>58</v>
      </c>
      <c r="AS2087" s="15" t="s">
        <v>62</v>
      </c>
      <c r="AT2087" s="15"/>
      <c r="AU2087" s="45" t="s">
        <v>2870</v>
      </c>
      <c r="AV2087" s="15"/>
      <c r="AW2087" s="12" t="str">
        <f>B2087&amp;C2087&amp;L2087&amp;M2087&amp;O2087&amp;U2087&amp;AL2087&amp;AM2087</f>
        <v>IndonesiaHoga No Take Areacoralcover1.12537091988131Unsworth2007</v>
      </c>
    </row>
    <row r="2088" spans="1:49" ht="14.5" x14ac:dyDescent="0.35">
      <c r="A2088" s="12">
        <v>2087</v>
      </c>
      <c r="B2088" s="15" t="s">
        <v>968</v>
      </c>
      <c r="C2088" s="15" t="s">
        <v>969</v>
      </c>
      <c r="D2088" s="15" t="s">
        <v>970</v>
      </c>
      <c r="E2088" s="12" t="s">
        <v>971</v>
      </c>
      <c r="F2088" s="13" t="s">
        <v>50</v>
      </c>
      <c r="G2088" s="13" t="s">
        <v>51</v>
      </c>
      <c r="H2088" s="16" t="s">
        <v>329</v>
      </c>
      <c r="I2088" s="16" t="s">
        <v>156</v>
      </c>
      <c r="J2088" s="17">
        <v>0.05</v>
      </c>
      <c r="K2088" s="80"/>
      <c r="L2088" s="17" t="s">
        <v>902</v>
      </c>
      <c r="M2088" s="17"/>
      <c r="N2088" s="17" t="s">
        <v>120</v>
      </c>
      <c r="O2088" s="17" t="s">
        <v>101</v>
      </c>
      <c r="P2088" s="17"/>
      <c r="Q2088" s="17"/>
      <c r="R2088" s="17"/>
      <c r="S2088" s="17">
        <v>6.625</v>
      </c>
      <c r="T2088" s="17">
        <v>12.55</v>
      </c>
      <c r="U2088" s="19">
        <f t="shared" si="143"/>
        <v>1.8943396226415095</v>
      </c>
      <c r="V2088" s="41">
        <f t="shared" si="142"/>
        <v>89.433962264150949</v>
      </c>
      <c r="W2088" s="14"/>
      <c r="X2088" s="17" t="s">
        <v>56</v>
      </c>
      <c r="Z2088" s="17" t="s">
        <v>56</v>
      </c>
      <c r="AA2088" s="17"/>
      <c r="AB2088" s="17" t="s">
        <v>57</v>
      </c>
      <c r="AC2088" s="17">
        <v>2001</v>
      </c>
      <c r="AD2088" s="17">
        <v>4</v>
      </c>
      <c r="AE2088" s="17"/>
      <c r="AF2088" s="17"/>
      <c r="AG2088" s="17">
        <v>2001</v>
      </c>
      <c r="AH2088" s="14">
        <f t="shared" si="140"/>
        <v>0</v>
      </c>
      <c r="AI2088" s="17">
        <f t="shared" si="141"/>
        <v>4</v>
      </c>
      <c r="AJ2088" s="17"/>
      <c r="AK2088" s="17" t="s">
        <v>58</v>
      </c>
      <c r="AL2088" s="16" t="s">
        <v>972</v>
      </c>
      <c r="AM2088" s="17">
        <v>2007</v>
      </c>
      <c r="AN2088" s="15" t="s">
        <v>190</v>
      </c>
      <c r="AO2088" s="15" t="s">
        <v>56</v>
      </c>
      <c r="AP2088" s="15"/>
      <c r="AQ2088" s="15" t="s">
        <v>56</v>
      </c>
      <c r="AR2088" s="15" t="s">
        <v>58</v>
      </c>
      <c r="AS2088" s="15" t="s">
        <v>62</v>
      </c>
      <c r="AT2088" s="12"/>
      <c r="AU2088" s="45" t="s">
        <v>2870</v>
      </c>
      <c r="AV2088" s="15"/>
      <c r="AW2088" s="12" t="str">
        <f>B2088&amp;C2088&amp;L2088&amp;M2088&amp;O2088&amp;U2088&amp;AL2088&amp;AM2088</f>
        <v>IndonesiaHoga No Take AreaAcroporacover1.89433962264151Unsworth2007</v>
      </c>
    </row>
    <row r="2089" spans="1:49" ht="14.5" x14ac:dyDescent="0.35">
      <c r="A2089" s="12">
        <v>2088</v>
      </c>
      <c r="B2089" s="15" t="s">
        <v>968</v>
      </c>
      <c r="C2089" s="15" t="s">
        <v>969</v>
      </c>
      <c r="D2089" s="15" t="s">
        <v>970</v>
      </c>
      <c r="E2089" s="12" t="s">
        <v>971</v>
      </c>
      <c r="F2089" s="13" t="s">
        <v>50</v>
      </c>
      <c r="G2089" s="13" t="s">
        <v>51</v>
      </c>
      <c r="H2089" s="16" t="s">
        <v>329</v>
      </c>
      <c r="I2089" s="16" t="s">
        <v>156</v>
      </c>
      <c r="J2089" s="17">
        <v>0.05</v>
      </c>
      <c r="K2089" s="80"/>
      <c r="L2089" s="17"/>
      <c r="M2089" s="17" t="s">
        <v>473</v>
      </c>
      <c r="N2089" s="53" t="s">
        <v>98</v>
      </c>
      <c r="O2089" s="17" t="s">
        <v>101</v>
      </c>
      <c r="P2089" s="17"/>
      <c r="Q2089" s="17"/>
      <c r="R2089" s="17"/>
      <c r="S2089" s="17">
        <v>15</v>
      </c>
      <c r="T2089" s="17">
        <v>13.1</v>
      </c>
      <c r="U2089" s="19">
        <f t="shared" si="143"/>
        <v>0.87333333333333329</v>
      </c>
      <c r="V2089" s="41">
        <f t="shared" si="142"/>
        <v>-12.666666666666671</v>
      </c>
      <c r="W2089" s="14"/>
      <c r="X2089" s="17" t="s">
        <v>56</v>
      </c>
      <c r="Z2089" s="17" t="s">
        <v>56</v>
      </c>
      <c r="AA2089" s="17"/>
      <c r="AB2089" s="17" t="s">
        <v>57</v>
      </c>
      <c r="AC2089" s="17">
        <v>2001</v>
      </c>
      <c r="AD2089" s="17">
        <v>4</v>
      </c>
      <c r="AE2089" s="17"/>
      <c r="AF2089" s="17"/>
      <c r="AG2089" s="17">
        <v>2001</v>
      </c>
      <c r="AH2089" s="14">
        <f t="shared" si="140"/>
        <v>0</v>
      </c>
      <c r="AI2089" s="17">
        <f t="shared" si="141"/>
        <v>4</v>
      </c>
      <c r="AJ2089" s="17"/>
      <c r="AK2089" s="17" t="s">
        <v>58</v>
      </c>
      <c r="AL2089" s="16" t="s">
        <v>972</v>
      </c>
      <c r="AM2089" s="17">
        <v>2007</v>
      </c>
      <c r="AN2089" s="15" t="s">
        <v>190</v>
      </c>
      <c r="AO2089" s="15" t="s">
        <v>56</v>
      </c>
      <c r="AP2089" s="15"/>
      <c r="AQ2089" s="15" t="s">
        <v>56</v>
      </c>
      <c r="AR2089" s="15" t="s">
        <v>58</v>
      </c>
      <c r="AS2089" s="15" t="s">
        <v>62</v>
      </c>
      <c r="AT2089" s="12"/>
      <c r="AU2089" s="45" t="s">
        <v>2870</v>
      </c>
      <c r="AV2089" s="15"/>
      <c r="AW2089" s="12" t="str">
        <f>B2089&amp;C2089&amp;L2089&amp;M2089&amp;O2089&amp;U2089&amp;AL2089&amp;AM2089</f>
        <v>IndonesiaHoga No Take AreaAlgaecover0.873333333333333Unsworth2007</v>
      </c>
    </row>
    <row r="2090" spans="1:49" ht="14.5" x14ac:dyDescent="0.35">
      <c r="A2090" s="12">
        <v>2089</v>
      </c>
      <c r="B2090" s="15" t="s">
        <v>968</v>
      </c>
      <c r="C2090" s="15" t="s">
        <v>969</v>
      </c>
      <c r="D2090" s="15" t="s">
        <v>970</v>
      </c>
      <c r="E2090" s="12" t="s">
        <v>971</v>
      </c>
      <c r="F2090" s="13" t="s">
        <v>50</v>
      </c>
      <c r="G2090" s="13" t="s">
        <v>51</v>
      </c>
      <c r="H2090" s="16" t="s">
        <v>329</v>
      </c>
      <c r="I2090" s="16" t="s">
        <v>156</v>
      </c>
      <c r="J2090" s="17">
        <v>0.05</v>
      </c>
      <c r="K2090" s="80"/>
      <c r="L2090" s="14" t="s">
        <v>1476</v>
      </c>
      <c r="M2090" s="14" t="s">
        <v>961</v>
      </c>
      <c r="N2090" s="14" t="s">
        <v>170</v>
      </c>
      <c r="O2090" s="17" t="s">
        <v>55</v>
      </c>
      <c r="P2090" s="17"/>
      <c r="Q2090" s="17"/>
      <c r="R2090" s="17"/>
      <c r="S2090" s="17">
        <v>1.3970149300000001</v>
      </c>
      <c r="T2090" s="17">
        <v>2.8910447800000001</v>
      </c>
      <c r="U2090" s="19">
        <f t="shared" si="143"/>
        <v>2.0694444403682928</v>
      </c>
      <c r="V2090" s="41">
        <f t="shared" si="142"/>
        <v>106.94444403682928</v>
      </c>
      <c r="W2090" s="14"/>
      <c r="X2090" s="17" t="s">
        <v>56</v>
      </c>
      <c r="Z2090" s="17" t="s">
        <v>56</v>
      </c>
      <c r="AA2090" s="17"/>
      <c r="AB2090" s="17" t="s">
        <v>57</v>
      </c>
      <c r="AC2090" s="17">
        <v>2001</v>
      </c>
      <c r="AD2090" s="17">
        <v>4</v>
      </c>
      <c r="AE2090" s="17"/>
      <c r="AF2090" s="17"/>
      <c r="AG2090" s="17">
        <v>2001</v>
      </c>
      <c r="AH2090" s="14">
        <f t="shared" si="140"/>
        <v>0</v>
      </c>
      <c r="AI2090" s="17">
        <f t="shared" si="141"/>
        <v>4</v>
      </c>
      <c r="AJ2090" s="17"/>
      <c r="AK2090" s="17" t="s">
        <v>58</v>
      </c>
      <c r="AL2090" s="16" t="s">
        <v>972</v>
      </c>
      <c r="AM2090" s="17">
        <v>2007</v>
      </c>
      <c r="AN2090" s="15" t="s">
        <v>190</v>
      </c>
      <c r="AO2090" s="15" t="s">
        <v>56</v>
      </c>
      <c r="AP2090" s="15"/>
      <c r="AQ2090" s="15" t="s">
        <v>56</v>
      </c>
      <c r="AR2090" s="15" t="s">
        <v>58</v>
      </c>
      <c r="AS2090" s="15" t="s">
        <v>62</v>
      </c>
      <c r="AT2090" s="12"/>
      <c r="AU2090" s="45" t="s">
        <v>2870</v>
      </c>
      <c r="AV2090" s="15"/>
      <c r="AW2090" s="12" t="str">
        <f>B2090&amp;C2090&amp;L2090&amp;M2090&amp;O2090&amp;U2090&amp;AL2090&amp;AM2090</f>
        <v>IndonesiaHoga No Take AreaEpinephelidaegroupersrichness2.06944444036829Unsworth2007</v>
      </c>
    </row>
    <row r="2091" spans="1:49" ht="14.5" x14ac:dyDescent="0.35">
      <c r="A2091" s="12">
        <v>2090</v>
      </c>
      <c r="B2091" s="15" t="s">
        <v>968</v>
      </c>
      <c r="C2091" s="15" t="s">
        <v>969</v>
      </c>
      <c r="D2091" s="15" t="s">
        <v>970</v>
      </c>
      <c r="E2091" s="15" t="s">
        <v>971</v>
      </c>
      <c r="F2091" s="16" t="s">
        <v>50</v>
      </c>
      <c r="G2091" s="16" t="s">
        <v>51</v>
      </c>
      <c r="H2091" s="16" t="s">
        <v>329</v>
      </c>
      <c r="I2091" s="16" t="s">
        <v>156</v>
      </c>
      <c r="J2091" s="17">
        <v>0.05</v>
      </c>
      <c r="K2091" s="80"/>
      <c r="L2091" s="17" t="s">
        <v>973</v>
      </c>
      <c r="M2091" s="17"/>
      <c r="N2091" s="14" t="s">
        <v>85</v>
      </c>
      <c r="O2091" s="17" t="s">
        <v>86</v>
      </c>
      <c r="P2091" s="17"/>
      <c r="Q2091" s="17"/>
      <c r="R2091" s="17"/>
      <c r="S2091" s="17">
        <v>2.88</v>
      </c>
      <c r="T2091" s="17">
        <v>10.26</v>
      </c>
      <c r="U2091" s="20">
        <f t="shared" si="143"/>
        <v>3.5625</v>
      </c>
      <c r="V2091" s="41">
        <f t="shared" si="142"/>
        <v>256.25</v>
      </c>
      <c r="W2091" s="17"/>
      <c r="X2091" s="17" t="s">
        <v>56</v>
      </c>
      <c r="Z2091" s="17" t="s">
        <v>56</v>
      </c>
      <c r="AA2091" s="17"/>
      <c r="AB2091" s="17" t="s">
        <v>57</v>
      </c>
      <c r="AC2091" s="17">
        <v>2001</v>
      </c>
      <c r="AD2091" s="17">
        <v>4</v>
      </c>
      <c r="AE2091" s="17"/>
      <c r="AF2091" s="17"/>
      <c r="AG2091" s="17">
        <v>2001</v>
      </c>
      <c r="AH2091" s="14">
        <f t="shared" si="140"/>
        <v>0</v>
      </c>
      <c r="AI2091" s="17">
        <f t="shared" si="141"/>
        <v>4</v>
      </c>
      <c r="AJ2091" s="17"/>
      <c r="AK2091" s="17" t="s">
        <v>58</v>
      </c>
      <c r="AL2091" s="16" t="s">
        <v>972</v>
      </c>
      <c r="AM2091" s="17">
        <v>2007</v>
      </c>
      <c r="AN2091" s="12" t="s">
        <v>190</v>
      </c>
      <c r="AO2091" s="15" t="s">
        <v>56</v>
      </c>
      <c r="AP2091" s="15"/>
      <c r="AQ2091" s="15" t="s">
        <v>56</v>
      </c>
      <c r="AR2091" s="15" t="s">
        <v>58</v>
      </c>
      <c r="AS2091" s="15" t="s">
        <v>62</v>
      </c>
      <c r="AT2091" s="15"/>
      <c r="AU2091" s="45" t="s">
        <v>2870</v>
      </c>
      <c r="AV2091" s="15"/>
      <c r="AW2091" s="12" t="str">
        <f>B2091&amp;C2091&amp;L2091&amp;M2091&amp;O2091&amp;U2091&amp;AL2091&amp;AM2091</f>
        <v>IndonesiaHoga No Take AreaCephalopholis urodetadensity3.5625Unsworth2007</v>
      </c>
    </row>
    <row r="2092" spans="1:49" ht="14.5" x14ac:dyDescent="0.35">
      <c r="A2092" s="12">
        <v>2091</v>
      </c>
      <c r="B2092" s="15" t="s">
        <v>968</v>
      </c>
      <c r="C2092" s="15" t="s">
        <v>969</v>
      </c>
      <c r="D2092" s="15" t="s">
        <v>970</v>
      </c>
      <c r="E2092" s="15" t="s">
        <v>971</v>
      </c>
      <c r="F2092" s="16" t="s">
        <v>50</v>
      </c>
      <c r="G2092" s="16" t="s">
        <v>51</v>
      </c>
      <c r="H2092" s="16" t="s">
        <v>329</v>
      </c>
      <c r="I2092" s="16" t="s">
        <v>156</v>
      </c>
      <c r="J2092" s="17">
        <v>0.05</v>
      </c>
      <c r="K2092" s="80"/>
      <c r="L2092" s="17" t="s">
        <v>974</v>
      </c>
      <c r="M2092" s="17"/>
      <c r="N2092" s="14" t="s">
        <v>85</v>
      </c>
      <c r="O2092" s="17" t="s">
        <v>86</v>
      </c>
      <c r="P2092" s="17"/>
      <c r="Q2092" s="17"/>
      <c r="R2092" s="17"/>
      <c r="S2092" s="17">
        <v>0</v>
      </c>
      <c r="T2092" s="17">
        <v>3.66</v>
      </c>
      <c r="U2092" s="20" t="str">
        <f t="shared" si="143"/>
        <v>N/A</v>
      </c>
      <c r="V2092" s="41" t="str">
        <f t="shared" si="142"/>
        <v>N/A</v>
      </c>
      <c r="W2092" s="17"/>
      <c r="X2092" s="17" t="s">
        <v>56</v>
      </c>
      <c r="Z2092" s="17" t="s">
        <v>56</v>
      </c>
      <c r="AA2092" s="17"/>
      <c r="AB2092" s="17" t="s">
        <v>57</v>
      </c>
      <c r="AC2092" s="17">
        <v>2001</v>
      </c>
      <c r="AD2092" s="17">
        <v>4</v>
      </c>
      <c r="AE2092" s="17"/>
      <c r="AF2092" s="17"/>
      <c r="AG2092" s="17">
        <v>2001</v>
      </c>
      <c r="AH2092" s="14">
        <f t="shared" si="140"/>
        <v>0</v>
      </c>
      <c r="AI2092" s="17">
        <f t="shared" si="141"/>
        <v>4</v>
      </c>
      <c r="AJ2092" s="17"/>
      <c r="AK2092" s="17" t="s">
        <v>58</v>
      </c>
      <c r="AL2092" s="16" t="s">
        <v>972</v>
      </c>
      <c r="AM2092" s="17">
        <v>2007</v>
      </c>
      <c r="AN2092" s="12" t="s">
        <v>190</v>
      </c>
      <c r="AO2092" s="15" t="s">
        <v>56</v>
      </c>
      <c r="AP2092" s="15"/>
      <c r="AQ2092" s="15" t="s">
        <v>56</v>
      </c>
      <c r="AR2092" s="15" t="s">
        <v>58</v>
      </c>
      <c r="AS2092" s="15" t="s">
        <v>62</v>
      </c>
      <c r="AT2092" s="15"/>
      <c r="AU2092" s="45" t="s">
        <v>2870</v>
      </c>
      <c r="AV2092" s="15"/>
      <c r="AW2092" s="12" t="str">
        <f>B2092&amp;C2092&amp;L2092&amp;M2092&amp;O2092&amp;U2092&amp;AL2092&amp;AM2092</f>
        <v>IndonesiaHoga No Take AreaCephalopholis cyanostigmadensityN/AUnsworth2007</v>
      </c>
    </row>
    <row r="2093" spans="1:49" ht="14.5" x14ac:dyDescent="0.35">
      <c r="A2093" s="12">
        <v>2092</v>
      </c>
      <c r="B2093" s="15" t="s">
        <v>968</v>
      </c>
      <c r="C2093" s="15" t="s">
        <v>969</v>
      </c>
      <c r="D2093" s="15" t="s">
        <v>970</v>
      </c>
      <c r="E2093" s="12" t="s">
        <v>971</v>
      </c>
      <c r="F2093" s="13" t="s">
        <v>50</v>
      </c>
      <c r="G2093" s="13" t="s">
        <v>51</v>
      </c>
      <c r="H2093" s="16" t="s">
        <v>329</v>
      </c>
      <c r="I2093" s="16" t="s">
        <v>156</v>
      </c>
      <c r="J2093" s="17">
        <v>0.05</v>
      </c>
      <c r="K2093" s="80"/>
      <c r="L2093" s="17" t="s">
        <v>975</v>
      </c>
      <c r="M2093" s="17"/>
      <c r="N2093" s="14" t="s">
        <v>85</v>
      </c>
      <c r="O2093" s="17" t="s">
        <v>86</v>
      </c>
      <c r="P2093" s="17"/>
      <c r="Q2093" s="17"/>
      <c r="R2093" s="17"/>
      <c r="S2093" s="17">
        <v>2.78</v>
      </c>
      <c r="T2093" s="17">
        <v>8.76</v>
      </c>
      <c r="U2093" s="19">
        <f t="shared" si="143"/>
        <v>3.1510791366906474</v>
      </c>
      <c r="V2093" s="41">
        <f t="shared" si="142"/>
        <v>215.10791366906474</v>
      </c>
      <c r="W2093" s="14"/>
      <c r="X2093" s="17" t="s">
        <v>56</v>
      </c>
      <c r="Z2093" s="17" t="s">
        <v>56</v>
      </c>
      <c r="AA2093" s="17"/>
      <c r="AB2093" s="17" t="s">
        <v>57</v>
      </c>
      <c r="AC2093" s="17">
        <v>2001</v>
      </c>
      <c r="AD2093" s="17">
        <v>4</v>
      </c>
      <c r="AE2093" s="17"/>
      <c r="AF2093" s="17"/>
      <c r="AG2093" s="17">
        <v>2001</v>
      </c>
      <c r="AH2093" s="14">
        <f t="shared" si="140"/>
        <v>0</v>
      </c>
      <c r="AI2093" s="17">
        <f t="shared" si="141"/>
        <v>4</v>
      </c>
      <c r="AJ2093" s="17"/>
      <c r="AK2093" s="17" t="s">
        <v>58</v>
      </c>
      <c r="AL2093" s="16" t="s">
        <v>972</v>
      </c>
      <c r="AM2093" s="17">
        <v>2007</v>
      </c>
      <c r="AN2093" s="12" t="s">
        <v>190</v>
      </c>
      <c r="AO2093" s="15" t="s">
        <v>56</v>
      </c>
      <c r="AP2093" s="15"/>
      <c r="AQ2093" s="15" t="s">
        <v>56</v>
      </c>
      <c r="AR2093" s="15" t="s">
        <v>58</v>
      </c>
      <c r="AS2093" s="15" t="s">
        <v>62</v>
      </c>
      <c r="AT2093" s="12"/>
      <c r="AU2093" s="45" t="s">
        <v>2870</v>
      </c>
      <c r="AV2093" s="15"/>
      <c r="AW2093" s="12" t="str">
        <f>B2093&amp;C2093&amp;L2093&amp;M2093&amp;O2093&amp;U2093&amp;AL2093&amp;AM2093</f>
        <v>IndonesiaHoga No Take AreaCephalopholis spilopareadensity3.15107913669065Unsworth2007</v>
      </c>
    </row>
    <row r="2094" spans="1:49" ht="14.5" x14ac:dyDescent="0.35">
      <c r="A2094" s="12">
        <v>2093</v>
      </c>
      <c r="B2094" s="15" t="s">
        <v>968</v>
      </c>
      <c r="C2094" s="15" t="s">
        <v>969</v>
      </c>
      <c r="D2094" s="15" t="s">
        <v>970</v>
      </c>
      <c r="E2094" s="15" t="s">
        <v>971</v>
      </c>
      <c r="F2094" s="13" t="s">
        <v>50</v>
      </c>
      <c r="G2094" s="13" t="s">
        <v>51</v>
      </c>
      <c r="H2094" s="16" t="s">
        <v>329</v>
      </c>
      <c r="I2094" s="16" t="s">
        <v>156</v>
      </c>
      <c r="J2094" s="17">
        <v>0.05</v>
      </c>
      <c r="K2094" s="80"/>
      <c r="L2094" s="17" t="s">
        <v>976</v>
      </c>
      <c r="M2094" s="17"/>
      <c r="N2094" s="14" t="s">
        <v>85</v>
      </c>
      <c r="O2094" s="17" t="s">
        <v>86</v>
      </c>
      <c r="P2094" s="17"/>
      <c r="Q2094" s="17"/>
      <c r="R2094" s="17"/>
      <c r="S2094" s="17">
        <v>2.2400000000000002</v>
      </c>
      <c r="T2094" s="17">
        <v>2</v>
      </c>
      <c r="U2094" s="20">
        <f t="shared" si="143"/>
        <v>0.89285714285714279</v>
      </c>
      <c r="V2094" s="41">
        <f t="shared" si="142"/>
        <v>-10.714285714285721</v>
      </c>
      <c r="W2094" s="17"/>
      <c r="X2094" s="17" t="s">
        <v>56</v>
      </c>
      <c r="Y2094" s="17"/>
      <c r="Z2094" s="17" t="s">
        <v>56</v>
      </c>
      <c r="AA2094" s="17"/>
      <c r="AB2094" s="17" t="s">
        <v>57</v>
      </c>
      <c r="AC2094" s="17">
        <v>2001</v>
      </c>
      <c r="AD2094" s="17">
        <v>4</v>
      </c>
      <c r="AE2094" s="17"/>
      <c r="AF2094" s="17"/>
      <c r="AG2094" s="17">
        <v>2001</v>
      </c>
      <c r="AH2094" s="14">
        <f t="shared" si="140"/>
        <v>0</v>
      </c>
      <c r="AI2094" s="17">
        <f t="shared" si="141"/>
        <v>4</v>
      </c>
      <c r="AJ2094" s="17"/>
      <c r="AK2094" s="17" t="s">
        <v>58</v>
      </c>
      <c r="AL2094" s="16" t="s">
        <v>972</v>
      </c>
      <c r="AM2094" s="17">
        <v>2007</v>
      </c>
      <c r="AN2094" s="15" t="s">
        <v>190</v>
      </c>
      <c r="AO2094" s="15" t="s">
        <v>56</v>
      </c>
      <c r="AP2094" s="15"/>
      <c r="AQ2094" s="15" t="s">
        <v>56</v>
      </c>
      <c r="AR2094" s="15" t="s">
        <v>58</v>
      </c>
      <c r="AS2094" s="15" t="s">
        <v>62</v>
      </c>
      <c r="AT2094" s="15"/>
      <c r="AU2094" s="45" t="s">
        <v>2870</v>
      </c>
      <c r="AV2094" s="15"/>
      <c r="AW2094" s="12" t="str">
        <f>B2094&amp;C2094&amp;L2094&amp;M2094&amp;O2094&amp;U2094&amp;AL2094&amp;AM2094</f>
        <v>IndonesiaHoga No Take AreaCephalopholis argusdensity0.892857142857143Unsworth2007</v>
      </c>
    </row>
    <row r="2095" spans="1:49" ht="14.5" x14ac:dyDescent="0.35">
      <c r="A2095" s="12">
        <v>2094</v>
      </c>
      <c r="B2095" s="12" t="s">
        <v>968</v>
      </c>
      <c r="C2095" s="15" t="s">
        <v>969</v>
      </c>
      <c r="D2095" s="15" t="s">
        <v>970</v>
      </c>
      <c r="E2095" s="15" t="s">
        <v>971</v>
      </c>
      <c r="F2095" s="13" t="s">
        <v>50</v>
      </c>
      <c r="G2095" s="13" t="s">
        <v>51</v>
      </c>
      <c r="H2095" s="16" t="s">
        <v>329</v>
      </c>
      <c r="I2095" s="16" t="s">
        <v>156</v>
      </c>
      <c r="J2095" s="17">
        <v>0.05</v>
      </c>
      <c r="K2095" s="80"/>
      <c r="L2095" s="17" t="s">
        <v>977</v>
      </c>
      <c r="M2095" s="17"/>
      <c r="N2095" s="14" t="s">
        <v>85</v>
      </c>
      <c r="O2095" s="17" t="s">
        <v>86</v>
      </c>
      <c r="P2095" s="17"/>
      <c r="Q2095" s="17"/>
      <c r="R2095" s="17"/>
      <c r="S2095" s="17">
        <v>2</v>
      </c>
      <c r="T2095" s="17">
        <v>4.84</v>
      </c>
      <c r="U2095" s="20">
        <f t="shared" si="143"/>
        <v>2.42</v>
      </c>
      <c r="V2095" s="41">
        <f t="shared" si="142"/>
        <v>142</v>
      </c>
      <c r="W2095" s="17"/>
      <c r="X2095" s="17" t="s">
        <v>56</v>
      </c>
      <c r="Z2095" s="17" t="s">
        <v>56</v>
      </c>
      <c r="AA2095" s="17"/>
      <c r="AB2095" s="17" t="s">
        <v>57</v>
      </c>
      <c r="AC2095" s="17">
        <v>2001</v>
      </c>
      <c r="AD2095" s="17">
        <v>4</v>
      </c>
      <c r="AE2095" s="17"/>
      <c r="AF2095" s="17"/>
      <c r="AG2095" s="17">
        <v>2001</v>
      </c>
      <c r="AH2095" s="14">
        <f t="shared" si="140"/>
        <v>0</v>
      </c>
      <c r="AI2095" s="17">
        <f t="shared" si="141"/>
        <v>4</v>
      </c>
      <c r="AJ2095" s="17"/>
      <c r="AK2095" s="17" t="s">
        <v>58</v>
      </c>
      <c r="AL2095" s="16" t="s">
        <v>972</v>
      </c>
      <c r="AM2095" s="17">
        <v>2007</v>
      </c>
      <c r="AN2095" s="12" t="s">
        <v>190</v>
      </c>
      <c r="AO2095" s="15" t="s">
        <v>56</v>
      </c>
      <c r="AP2095" s="15"/>
      <c r="AQ2095" s="15" t="s">
        <v>56</v>
      </c>
      <c r="AR2095" s="15" t="s">
        <v>58</v>
      </c>
      <c r="AS2095" s="15" t="s">
        <v>62</v>
      </c>
      <c r="AT2095" s="15"/>
      <c r="AU2095" s="45" t="s">
        <v>2870</v>
      </c>
      <c r="AV2095" s="15"/>
      <c r="AW2095" s="12" t="str">
        <f>B2095&amp;C2095&amp;L2095&amp;M2095&amp;O2095&amp;U2095&amp;AL2095&amp;AM2095</f>
        <v>IndonesiaHoga No Take AreaCephalopholis sexmaculatadensity2.42Unsworth2007</v>
      </c>
    </row>
    <row r="2096" spans="1:49" ht="14.5" x14ac:dyDescent="0.35">
      <c r="A2096" s="12">
        <v>2095</v>
      </c>
      <c r="B2096" s="12" t="s">
        <v>968</v>
      </c>
      <c r="C2096" s="15" t="s">
        <v>969</v>
      </c>
      <c r="D2096" s="15" t="s">
        <v>970</v>
      </c>
      <c r="E2096" s="15" t="s">
        <v>971</v>
      </c>
      <c r="F2096" s="13" t="s">
        <v>50</v>
      </c>
      <c r="G2096" s="13" t="s">
        <v>51</v>
      </c>
      <c r="H2096" s="16" t="s">
        <v>329</v>
      </c>
      <c r="I2096" s="16" t="s">
        <v>156</v>
      </c>
      <c r="J2096" s="17">
        <v>0.05</v>
      </c>
      <c r="K2096" s="80"/>
      <c r="L2096" s="17" t="s">
        <v>978</v>
      </c>
      <c r="M2096" s="17"/>
      <c r="N2096" s="14" t="s">
        <v>85</v>
      </c>
      <c r="O2096" s="17" t="s">
        <v>86</v>
      </c>
      <c r="P2096" s="17"/>
      <c r="Q2096" s="17"/>
      <c r="R2096" s="17"/>
      <c r="S2096" s="17">
        <v>17.440000000000001</v>
      </c>
      <c r="T2096" s="17">
        <v>14.6</v>
      </c>
      <c r="U2096" s="20">
        <f t="shared" si="143"/>
        <v>0.83715596330275222</v>
      </c>
      <c r="V2096" s="41">
        <f t="shared" si="142"/>
        <v>-16.284403669724778</v>
      </c>
      <c r="W2096" s="17"/>
      <c r="X2096" s="17" t="s">
        <v>56</v>
      </c>
      <c r="Z2096" s="17" t="s">
        <v>56</v>
      </c>
      <c r="AA2096" s="17"/>
      <c r="AB2096" s="17" t="s">
        <v>57</v>
      </c>
      <c r="AC2096" s="17">
        <v>2001</v>
      </c>
      <c r="AD2096" s="17">
        <v>4</v>
      </c>
      <c r="AE2096" s="17"/>
      <c r="AF2096" s="17"/>
      <c r="AG2096" s="17">
        <v>2001</v>
      </c>
      <c r="AH2096" s="14">
        <f t="shared" si="140"/>
        <v>0</v>
      </c>
      <c r="AI2096" s="17">
        <f t="shared" si="141"/>
        <v>4</v>
      </c>
      <c r="AJ2096" s="17"/>
      <c r="AK2096" s="17" t="s">
        <v>58</v>
      </c>
      <c r="AL2096" s="16" t="s">
        <v>972</v>
      </c>
      <c r="AM2096" s="17">
        <v>2007</v>
      </c>
      <c r="AN2096" s="12" t="s">
        <v>190</v>
      </c>
      <c r="AO2096" s="15" t="s">
        <v>56</v>
      </c>
      <c r="AP2096" s="15"/>
      <c r="AQ2096" s="15" t="s">
        <v>56</v>
      </c>
      <c r="AR2096" s="15" t="s">
        <v>58</v>
      </c>
      <c r="AS2096" s="15" t="s">
        <v>62</v>
      </c>
      <c r="AT2096" s="15"/>
      <c r="AU2096" s="45" t="s">
        <v>2870</v>
      </c>
      <c r="AV2096" s="15"/>
      <c r="AW2096" s="12" t="str">
        <f>B2096&amp;C2096&amp;L2096&amp;M2096&amp;O2096&amp;U2096&amp;AL2096&amp;AM2096</f>
        <v>IndonesiaHoga No Take AreaEphinephelus merradensity0.837155963302752Unsworth2007</v>
      </c>
    </row>
    <row r="2097" spans="1:49" ht="14.5" x14ac:dyDescent="0.35">
      <c r="A2097" s="12">
        <v>2096</v>
      </c>
      <c r="B2097" s="12" t="s">
        <v>968</v>
      </c>
      <c r="C2097" s="15" t="s">
        <v>969</v>
      </c>
      <c r="D2097" s="15" t="s">
        <v>970</v>
      </c>
      <c r="E2097" s="15" t="s">
        <v>971</v>
      </c>
      <c r="F2097" s="16" t="s">
        <v>50</v>
      </c>
      <c r="G2097" s="16" t="s">
        <v>51</v>
      </c>
      <c r="H2097" s="16" t="s">
        <v>329</v>
      </c>
      <c r="I2097" s="16" t="s">
        <v>156</v>
      </c>
      <c r="J2097" s="17">
        <v>0.05</v>
      </c>
      <c r="K2097" s="80"/>
      <c r="L2097" s="17" t="s">
        <v>979</v>
      </c>
      <c r="M2097" s="17"/>
      <c r="N2097" s="14" t="s">
        <v>85</v>
      </c>
      <c r="O2097" s="17" t="s">
        <v>86</v>
      </c>
      <c r="P2097" s="17"/>
      <c r="Q2097" s="17"/>
      <c r="R2097" s="17"/>
      <c r="S2097" s="17">
        <v>0.44</v>
      </c>
      <c r="T2097" s="17">
        <v>3.02</v>
      </c>
      <c r="U2097" s="20">
        <f t="shared" si="143"/>
        <v>6.8636363636363633</v>
      </c>
      <c r="V2097" s="41">
        <f t="shared" si="142"/>
        <v>586.36363636363637</v>
      </c>
      <c r="W2097" s="17"/>
      <c r="X2097" s="17" t="s">
        <v>56</v>
      </c>
      <c r="Z2097" s="17" t="s">
        <v>56</v>
      </c>
      <c r="AA2097" s="17"/>
      <c r="AB2097" s="17" t="s">
        <v>57</v>
      </c>
      <c r="AC2097" s="17">
        <v>2001</v>
      </c>
      <c r="AD2097" s="17">
        <v>4</v>
      </c>
      <c r="AE2097" s="17"/>
      <c r="AF2097" s="17"/>
      <c r="AG2097" s="17">
        <v>2001</v>
      </c>
      <c r="AH2097" s="14">
        <f t="shared" si="140"/>
        <v>0</v>
      </c>
      <c r="AI2097" s="17">
        <f t="shared" si="141"/>
        <v>4</v>
      </c>
      <c r="AJ2097" s="17"/>
      <c r="AK2097" s="17" t="s">
        <v>58</v>
      </c>
      <c r="AL2097" s="16" t="s">
        <v>972</v>
      </c>
      <c r="AM2097" s="17">
        <v>2007</v>
      </c>
      <c r="AN2097" s="12" t="s">
        <v>190</v>
      </c>
      <c r="AO2097" s="15" t="s">
        <v>56</v>
      </c>
      <c r="AP2097" s="15"/>
      <c r="AQ2097" s="15" t="s">
        <v>56</v>
      </c>
      <c r="AR2097" s="15" t="s">
        <v>58</v>
      </c>
      <c r="AS2097" s="15" t="s">
        <v>62</v>
      </c>
      <c r="AT2097" s="15"/>
      <c r="AU2097" s="45" t="s">
        <v>2870</v>
      </c>
      <c r="AV2097" s="15"/>
      <c r="AW2097" s="12" t="str">
        <f>B2097&amp;C2097&amp;L2097&amp;M2097&amp;O2097&amp;U2097&amp;AL2097&amp;AM2097</f>
        <v>IndonesiaHoga No Take AreaEphinephelus fasciatusdensity6.86363636363636Unsworth2007</v>
      </c>
    </row>
    <row r="2098" spans="1:49" ht="14.5" x14ac:dyDescent="0.35">
      <c r="A2098" s="12">
        <v>2097</v>
      </c>
      <c r="B2098" s="15" t="s">
        <v>968</v>
      </c>
      <c r="C2098" s="15" t="s">
        <v>969</v>
      </c>
      <c r="D2098" s="15" t="s">
        <v>970</v>
      </c>
      <c r="E2098" s="15" t="s">
        <v>971</v>
      </c>
      <c r="F2098" s="13" t="s">
        <v>50</v>
      </c>
      <c r="G2098" s="13" t="s">
        <v>51</v>
      </c>
      <c r="H2098" s="16" t="s">
        <v>329</v>
      </c>
      <c r="I2098" s="16" t="s">
        <v>156</v>
      </c>
      <c r="J2098" s="17">
        <v>0.05</v>
      </c>
      <c r="K2098" s="80"/>
      <c r="L2098" s="17" t="s">
        <v>980</v>
      </c>
      <c r="M2098" s="17"/>
      <c r="N2098" s="14" t="s">
        <v>85</v>
      </c>
      <c r="O2098" s="17" t="s">
        <v>86</v>
      </c>
      <c r="P2098" s="17"/>
      <c r="Q2098" s="17"/>
      <c r="R2098" s="17"/>
      <c r="S2098" s="17">
        <v>0.78</v>
      </c>
      <c r="T2098" s="17">
        <v>0.9</v>
      </c>
      <c r="U2098" s="20">
        <f t="shared" si="143"/>
        <v>1.1538461538461537</v>
      </c>
      <c r="V2098" s="41">
        <f t="shared" si="142"/>
        <v>15.384615384615374</v>
      </c>
      <c r="W2098" s="17"/>
      <c r="X2098" s="17" t="s">
        <v>56</v>
      </c>
      <c r="Y2098" s="17"/>
      <c r="Z2098" s="17" t="s">
        <v>56</v>
      </c>
      <c r="AA2098" s="17"/>
      <c r="AB2098" s="17" t="s">
        <v>57</v>
      </c>
      <c r="AC2098" s="17">
        <v>2001</v>
      </c>
      <c r="AD2098" s="17">
        <v>4</v>
      </c>
      <c r="AE2098" s="17"/>
      <c r="AF2098" s="17"/>
      <c r="AG2098" s="17">
        <v>2001</v>
      </c>
      <c r="AH2098" s="14">
        <f t="shared" si="140"/>
        <v>0</v>
      </c>
      <c r="AI2098" s="17">
        <f t="shared" si="141"/>
        <v>4</v>
      </c>
      <c r="AJ2098" s="17"/>
      <c r="AK2098" s="17" t="s">
        <v>58</v>
      </c>
      <c r="AL2098" s="16" t="s">
        <v>972</v>
      </c>
      <c r="AM2098" s="17">
        <v>2007</v>
      </c>
      <c r="AN2098" s="15" t="s">
        <v>190</v>
      </c>
      <c r="AO2098" s="15" t="s">
        <v>56</v>
      </c>
      <c r="AP2098" s="15"/>
      <c r="AQ2098" s="15" t="s">
        <v>56</v>
      </c>
      <c r="AR2098" s="15" t="s">
        <v>58</v>
      </c>
      <c r="AS2098" s="15" t="s">
        <v>62</v>
      </c>
      <c r="AT2098" s="15"/>
      <c r="AU2098" s="45" t="s">
        <v>2870</v>
      </c>
      <c r="AV2098" s="15"/>
      <c r="AW2098" s="12" t="str">
        <f>B2098&amp;C2098&amp;L2098&amp;M2098&amp;O2098&amp;U2098&amp;AL2098&amp;AM2098</f>
        <v>IndonesiaHoga No Take AreaAnyperodon leucogrammicusdensity1.15384615384615Unsworth2007</v>
      </c>
    </row>
    <row r="2099" spans="1:49" ht="14.5" x14ac:dyDescent="0.35">
      <c r="A2099" s="12">
        <v>2098</v>
      </c>
      <c r="B2099" s="12" t="s">
        <v>968</v>
      </c>
      <c r="C2099" s="15" t="s">
        <v>969</v>
      </c>
      <c r="D2099" s="15" t="s">
        <v>970</v>
      </c>
      <c r="E2099" s="12" t="s">
        <v>971</v>
      </c>
      <c r="F2099" s="13" t="s">
        <v>50</v>
      </c>
      <c r="G2099" s="13" t="s">
        <v>51</v>
      </c>
      <c r="H2099" s="13" t="s">
        <v>329</v>
      </c>
      <c r="I2099" s="13" t="s">
        <v>156</v>
      </c>
      <c r="J2099" s="14">
        <v>0.05</v>
      </c>
      <c r="K2099" s="80"/>
      <c r="L2099" s="14" t="s">
        <v>981</v>
      </c>
      <c r="M2099" s="14"/>
      <c r="N2099" s="14" t="s">
        <v>85</v>
      </c>
      <c r="O2099" s="14" t="s">
        <v>86</v>
      </c>
      <c r="P2099" s="14"/>
      <c r="Q2099" s="14"/>
      <c r="R2099" s="14"/>
      <c r="S2099" s="14">
        <v>0</v>
      </c>
      <c r="T2099" s="14">
        <v>0.88</v>
      </c>
      <c r="U2099" s="19" t="str">
        <f t="shared" si="143"/>
        <v>N/A</v>
      </c>
      <c r="V2099" s="41" t="str">
        <f t="shared" si="142"/>
        <v>N/A</v>
      </c>
      <c r="W2099" s="14"/>
      <c r="X2099" s="14" t="s">
        <v>56</v>
      </c>
      <c r="Z2099" s="14" t="s">
        <v>56</v>
      </c>
      <c r="AA2099" s="17"/>
      <c r="AB2099" s="14" t="s">
        <v>57</v>
      </c>
      <c r="AC2099" s="14">
        <v>2001</v>
      </c>
      <c r="AD2099" s="14">
        <v>4</v>
      </c>
      <c r="AE2099" s="14"/>
      <c r="AF2099" s="14"/>
      <c r="AG2099" s="14">
        <v>2001</v>
      </c>
      <c r="AH2099" s="14">
        <f t="shared" si="140"/>
        <v>0</v>
      </c>
      <c r="AI2099" s="17">
        <f t="shared" si="141"/>
        <v>4</v>
      </c>
      <c r="AJ2099" s="14"/>
      <c r="AK2099" s="14" t="s">
        <v>58</v>
      </c>
      <c r="AL2099" s="13" t="s">
        <v>972</v>
      </c>
      <c r="AM2099" s="14">
        <v>2007</v>
      </c>
      <c r="AN2099" s="15" t="s">
        <v>190</v>
      </c>
      <c r="AO2099" s="12" t="s">
        <v>56</v>
      </c>
      <c r="AP2099" s="12"/>
      <c r="AQ2099" s="12" t="s">
        <v>56</v>
      </c>
      <c r="AR2099" s="12" t="s">
        <v>58</v>
      </c>
      <c r="AS2099" s="12" t="s">
        <v>62</v>
      </c>
      <c r="AT2099" s="12"/>
      <c r="AU2099" s="45" t="s">
        <v>2870</v>
      </c>
      <c r="AV2099" s="15"/>
      <c r="AW2099" s="12" t="str">
        <f>B2099&amp;C2099&amp;L2099&amp;M2099&amp;O2099&amp;U2099&amp;AL2099&amp;AM2099</f>
        <v>IndonesiaHoga No Take AreaGracilla albomarginatadensityN/AUnsworth2007</v>
      </c>
    </row>
    <row r="2100" spans="1:49" ht="14.5" x14ac:dyDescent="0.35">
      <c r="A2100" s="12">
        <v>2099</v>
      </c>
      <c r="B2100" s="12" t="s">
        <v>2675</v>
      </c>
      <c r="C2100" s="15" t="s">
        <v>2833</v>
      </c>
      <c r="D2100" s="15" t="s">
        <v>1889</v>
      </c>
      <c r="E2100" s="12" t="s">
        <v>89</v>
      </c>
      <c r="F2100" s="13" t="s">
        <v>50</v>
      </c>
      <c r="G2100" s="13" t="s">
        <v>51</v>
      </c>
      <c r="H2100" s="13" t="s">
        <v>108</v>
      </c>
      <c r="I2100" s="13" t="s">
        <v>156</v>
      </c>
      <c r="J2100" s="14" t="s">
        <v>509</v>
      </c>
      <c r="K2100" s="14"/>
      <c r="L2100" s="14"/>
      <c r="M2100" s="14" t="s">
        <v>1438</v>
      </c>
      <c r="N2100" s="14" t="s">
        <v>98</v>
      </c>
      <c r="O2100" s="17" t="s">
        <v>70</v>
      </c>
      <c r="P2100" s="14" t="s">
        <v>1439</v>
      </c>
      <c r="Q2100" s="14"/>
      <c r="R2100" s="14"/>
      <c r="S2100" s="14">
        <v>69.900000000000006</v>
      </c>
      <c r="T2100" s="14">
        <v>304.3</v>
      </c>
      <c r="U2100" s="19">
        <f t="shared" si="143"/>
        <v>4.3533619456366237</v>
      </c>
      <c r="V2100" s="41">
        <f t="shared" si="142"/>
        <v>335.33619456366239</v>
      </c>
      <c r="W2100" s="14"/>
      <c r="X2100" s="14" t="s">
        <v>56</v>
      </c>
      <c r="Z2100" s="14" t="s">
        <v>58</v>
      </c>
      <c r="AA2100" s="17"/>
      <c r="AB2100" s="14" t="s">
        <v>57</v>
      </c>
      <c r="AC2100" s="14">
        <v>2013</v>
      </c>
      <c r="AD2100" s="14">
        <v>1</v>
      </c>
      <c r="AE2100" s="14"/>
      <c r="AF2100" s="14"/>
      <c r="AG2100" s="14" t="s">
        <v>509</v>
      </c>
      <c r="AH2100" s="14" t="str">
        <f t="shared" si="140"/>
        <v>NA</v>
      </c>
      <c r="AI2100" s="17" t="str">
        <f t="shared" si="141"/>
        <v>NA</v>
      </c>
      <c r="AJ2100" s="14"/>
      <c r="AK2100" s="14" t="s">
        <v>56</v>
      </c>
      <c r="AL2100" s="13" t="s">
        <v>1440</v>
      </c>
      <c r="AM2100" s="14">
        <v>2018</v>
      </c>
      <c r="AN2100" s="15" t="s">
        <v>257</v>
      </c>
      <c r="AO2100" s="12" t="s">
        <v>56</v>
      </c>
      <c r="AP2100" s="12"/>
      <c r="AQ2100" s="12" t="s">
        <v>56</v>
      </c>
      <c r="AR2100" s="12" t="s">
        <v>58</v>
      </c>
      <c r="AS2100" s="12" t="s">
        <v>62</v>
      </c>
      <c r="AT2100" s="12"/>
      <c r="AU2100" s="45" t="s">
        <v>2677</v>
      </c>
      <c r="AV2100" s="15"/>
      <c r="AW2100" s="12" t="str">
        <f>B2100&amp;C2100&amp;L2100&amp;M2100&amp;O2100&amp;U2100&amp;AL2100&amp;AM2100</f>
        <v>St Martin Island (Netherlands &amp; France)St. Maarten Reserve (name unknown)predatorsbiomassden4.35336194563662Steneck2018</v>
      </c>
    </row>
    <row r="2101" spans="1:49" ht="14.5" x14ac:dyDescent="0.35">
      <c r="A2101" s="12">
        <v>2100</v>
      </c>
      <c r="B2101" s="15" t="s">
        <v>1881</v>
      </c>
      <c r="C2101" s="15" t="s">
        <v>2832</v>
      </c>
      <c r="D2101" s="15" t="s">
        <v>1882</v>
      </c>
      <c r="E2101" s="12" t="s">
        <v>89</v>
      </c>
      <c r="F2101" s="13" t="s">
        <v>50</v>
      </c>
      <c r="G2101" s="13" t="s">
        <v>51</v>
      </c>
      <c r="H2101" s="16" t="s">
        <v>108</v>
      </c>
      <c r="I2101" s="16" t="s">
        <v>156</v>
      </c>
      <c r="J2101" s="17" t="s">
        <v>509</v>
      </c>
      <c r="K2101" s="17"/>
      <c r="L2101" s="17"/>
      <c r="M2101" s="17" t="s">
        <v>1438</v>
      </c>
      <c r="N2101" s="14" t="s">
        <v>98</v>
      </c>
      <c r="O2101" s="17" t="s">
        <v>70</v>
      </c>
      <c r="P2101" s="17" t="s">
        <v>1439</v>
      </c>
      <c r="Q2101" s="17"/>
      <c r="R2101" s="17"/>
      <c r="S2101" s="17">
        <v>793.6</v>
      </c>
      <c r="T2101" s="17">
        <v>1405.3</v>
      </c>
      <c r="U2101" s="19">
        <f t="shared" si="143"/>
        <v>1.7707913306451613</v>
      </c>
      <c r="V2101" s="41">
        <f t="shared" si="142"/>
        <v>77.079133064516128</v>
      </c>
      <c r="W2101" s="14"/>
      <c r="X2101" s="17" t="s">
        <v>56</v>
      </c>
      <c r="Y2101" s="17"/>
      <c r="Z2101" s="17" t="s">
        <v>58</v>
      </c>
      <c r="AA2101" s="17"/>
      <c r="AB2101" s="17" t="s">
        <v>57</v>
      </c>
      <c r="AC2101" s="17">
        <v>2013</v>
      </c>
      <c r="AD2101" s="17">
        <v>1</v>
      </c>
      <c r="AE2101" s="17"/>
      <c r="AF2101" s="17"/>
      <c r="AG2101" s="17" t="s">
        <v>509</v>
      </c>
      <c r="AH2101" s="14" t="str">
        <f t="shared" si="140"/>
        <v>NA</v>
      </c>
      <c r="AI2101" s="17" t="str">
        <f t="shared" si="141"/>
        <v>NA</v>
      </c>
      <c r="AJ2101" s="17"/>
      <c r="AK2101" s="17" t="s">
        <v>56</v>
      </c>
      <c r="AL2101" s="16" t="s">
        <v>1440</v>
      </c>
      <c r="AM2101" s="17">
        <v>2018</v>
      </c>
      <c r="AN2101" s="15" t="s">
        <v>257</v>
      </c>
      <c r="AO2101" s="15" t="s">
        <v>56</v>
      </c>
      <c r="AP2101" s="15"/>
      <c r="AQ2101" s="15" t="s">
        <v>56</v>
      </c>
      <c r="AR2101" s="15" t="s">
        <v>58</v>
      </c>
      <c r="AS2101" s="15" t="s">
        <v>62</v>
      </c>
      <c r="AT2101" s="12"/>
      <c r="AU2101" s="45" t="s">
        <v>2677</v>
      </c>
      <c r="AV2101" s="15"/>
      <c r="AW2101" s="12" t="str">
        <f>B2101&amp;C2101&amp;L2101&amp;M2101&amp;O2101&amp;U2101&amp;AL2101&amp;AM2101</f>
        <v>U.S. Virgin IslandsSt. Croix Reserve (name unknown)predatorsbiomassden1.77079133064516Steneck2018</v>
      </c>
    </row>
    <row r="2102" spans="1:49" ht="14.5" x14ac:dyDescent="0.35">
      <c r="A2102" s="12">
        <v>2101</v>
      </c>
      <c r="B2102" s="15" t="s">
        <v>1887</v>
      </c>
      <c r="C2102" s="15" t="s">
        <v>2830</v>
      </c>
      <c r="D2102" s="15" t="s">
        <v>1888</v>
      </c>
      <c r="E2102" s="12" t="s">
        <v>89</v>
      </c>
      <c r="F2102" s="13" t="s">
        <v>50</v>
      </c>
      <c r="G2102" s="13" t="s">
        <v>51</v>
      </c>
      <c r="H2102" s="16" t="s">
        <v>108</v>
      </c>
      <c r="I2102" s="16" t="s">
        <v>156</v>
      </c>
      <c r="J2102" s="17" t="s">
        <v>509</v>
      </c>
      <c r="K2102" s="17"/>
      <c r="L2102" s="17"/>
      <c r="M2102" s="17" t="s">
        <v>1438</v>
      </c>
      <c r="N2102" s="14" t="s">
        <v>98</v>
      </c>
      <c r="O2102" s="17" t="s">
        <v>70</v>
      </c>
      <c r="P2102" s="17" t="s">
        <v>1439</v>
      </c>
      <c r="Q2102" s="17"/>
      <c r="R2102" s="17"/>
      <c r="S2102" s="17">
        <v>272.3</v>
      </c>
      <c r="T2102" s="17">
        <v>652.29999999999995</v>
      </c>
      <c r="U2102" s="19">
        <f t="shared" si="143"/>
        <v>2.3955196474476677</v>
      </c>
      <c r="V2102" s="41">
        <f t="shared" si="142"/>
        <v>139.55196474476676</v>
      </c>
      <c r="W2102" s="14"/>
      <c r="X2102" s="17" t="s">
        <v>56</v>
      </c>
      <c r="Y2102" s="17"/>
      <c r="Z2102" s="17" t="s">
        <v>58</v>
      </c>
      <c r="AA2102" s="17"/>
      <c r="AB2102" s="17" t="s">
        <v>57</v>
      </c>
      <c r="AC2102" s="17">
        <v>2013</v>
      </c>
      <c r="AD2102" s="17">
        <v>1</v>
      </c>
      <c r="AE2102" s="17"/>
      <c r="AF2102" s="17"/>
      <c r="AG2102" s="17" t="s">
        <v>509</v>
      </c>
      <c r="AH2102" s="14" t="str">
        <f t="shared" si="140"/>
        <v>NA</v>
      </c>
      <c r="AI2102" s="17" t="str">
        <f t="shared" si="141"/>
        <v>NA</v>
      </c>
      <c r="AJ2102" s="17"/>
      <c r="AK2102" s="17" t="s">
        <v>56</v>
      </c>
      <c r="AL2102" s="16" t="s">
        <v>1440</v>
      </c>
      <c r="AM2102" s="17">
        <v>2018</v>
      </c>
      <c r="AN2102" s="15" t="s">
        <v>257</v>
      </c>
      <c r="AO2102" s="15" t="s">
        <v>56</v>
      </c>
      <c r="AP2102" s="15"/>
      <c r="AQ2102" s="15" t="s">
        <v>56</v>
      </c>
      <c r="AR2102" s="15" t="s">
        <v>58</v>
      </c>
      <c r="AS2102" s="15" t="s">
        <v>62</v>
      </c>
      <c r="AT2102" s="12"/>
      <c r="AU2102" s="45" t="s">
        <v>2677</v>
      </c>
      <c r="AV2102" s="15"/>
      <c r="AW2102" s="12" t="str">
        <f>B2102&amp;C2102&amp;L2102&amp;M2102&amp;O2102&amp;U2102&amp;AL2102&amp;AM2102</f>
        <v>Saint LuciaSt. Lucia reserve (name unknown)predatorsbiomassden2.39551964744767Steneck2018</v>
      </c>
    </row>
    <row r="2103" spans="1:49" ht="14.5" x14ac:dyDescent="0.35">
      <c r="A2103" s="12">
        <v>2102</v>
      </c>
      <c r="B2103" s="15" t="s">
        <v>2676</v>
      </c>
      <c r="C2103" s="15" t="s">
        <v>2831</v>
      </c>
      <c r="D2103" s="15" t="s">
        <v>1437</v>
      </c>
      <c r="E2103" s="12" t="s">
        <v>89</v>
      </c>
      <c r="F2103" s="13" t="s">
        <v>50</v>
      </c>
      <c r="G2103" s="13" t="s">
        <v>51</v>
      </c>
      <c r="H2103" s="16" t="s">
        <v>108</v>
      </c>
      <c r="I2103" s="16" t="s">
        <v>156</v>
      </c>
      <c r="J2103" s="17" t="s">
        <v>509</v>
      </c>
      <c r="K2103" s="17"/>
      <c r="L2103" s="17"/>
      <c r="M2103" s="17" t="s">
        <v>1438</v>
      </c>
      <c r="N2103" s="14" t="s">
        <v>98</v>
      </c>
      <c r="O2103" s="17" t="s">
        <v>70</v>
      </c>
      <c r="P2103" s="17" t="s">
        <v>1439</v>
      </c>
      <c r="Q2103" s="17"/>
      <c r="R2103" s="17"/>
      <c r="S2103" s="17">
        <v>507</v>
      </c>
      <c r="T2103" s="17">
        <v>1180.5</v>
      </c>
      <c r="U2103" s="19">
        <f t="shared" si="143"/>
        <v>2.3284023668639051</v>
      </c>
      <c r="V2103" s="41">
        <f t="shared" si="142"/>
        <v>132.84023668639051</v>
      </c>
      <c r="W2103" s="14"/>
      <c r="X2103" s="17" t="s">
        <v>56</v>
      </c>
      <c r="Y2103" s="17"/>
      <c r="Z2103" s="17" t="s">
        <v>58</v>
      </c>
      <c r="AA2103" s="17"/>
      <c r="AB2103" s="17" t="s">
        <v>57</v>
      </c>
      <c r="AC2103" s="17">
        <v>2013</v>
      </c>
      <c r="AD2103" s="17">
        <v>1</v>
      </c>
      <c r="AE2103" s="17"/>
      <c r="AF2103" s="17"/>
      <c r="AG2103" s="17" t="s">
        <v>509</v>
      </c>
      <c r="AH2103" s="14" t="str">
        <f t="shared" si="140"/>
        <v>NA</v>
      </c>
      <c r="AI2103" s="17" t="str">
        <f t="shared" si="141"/>
        <v>NA</v>
      </c>
      <c r="AJ2103" s="17"/>
      <c r="AK2103" s="17" t="s">
        <v>56</v>
      </c>
      <c r="AL2103" s="16" t="s">
        <v>1440</v>
      </c>
      <c r="AM2103" s="17">
        <v>2018</v>
      </c>
      <c r="AN2103" s="15" t="s">
        <v>257</v>
      </c>
      <c r="AO2103" s="15" t="s">
        <v>56</v>
      </c>
      <c r="AP2103" s="15"/>
      <c r="AQ2103" s="15" t="s">
        <v>56</v>
      </c>
      <c r="AR2103" s="15" t="s">
        <v>58</v>
      </c>
      <c r="AS2103" s="15" t="s">
        <v>62</v>
      </c>
      <c r="AT2103" s="12"/>
      <c r="AU2103" s="45" t="s">
        <v>2835</v>
      </c>
      <c r="AV2103" s="15"/>
      <c r="AW2103" s="12" t="str">
        <f>B2103&amp;C2103&amp;L2103&amp;M2103&amp;O2103&amp;U2103&amp;AL2103&amp;AM2103</f>
        <v>St Vincent and the GrenadinesMustique reserve (name unknown)predatorsbiomassden2.32840236686391Steneck2018</v>
      </c>
    </row>
    <row r="2104" spans="1:49" ht="14.5" x14ac:dyDescent="0.35">
      <c r="A2104" s="12">
        <v>2103</v>
      </c>
      <c r="B2104" s="12" t="s">
        <v>2676</v>
      </c>
      <c r="C2104" s="15" t="s">
        <v>2834</v>
      </c>
      <c r="D2104" s="15" t="s">
        <v>1899</v>
      </c>
      <c r="E2104" s="12" t="s">
        <v>89</v>
      </c>
      <c r="F2104" s="13" t="s">
        <v>50</v>
      </c>
      <c r="G2104" s="13" t="s">
        <v>51</v>
      </c>
      <c r="H2104" s="13" t="s">
        <v>108</v>
      </c>
      <c r="I2104" s="13" t="s">
        <v>156</v>
      </c>
      <c r="J2104" s="14" t="s">
        <v>509</v>
      </c>
      <c r="K2104" s="17"/>
      <c r="L2104" s="14"/>
      <c r="M2104" s="14" t="s">
        <v>1438</v>
      </c>
      <c r="N2104" s="14" t="s">
        <v>98</v>
      </c>
      <c r="O2104" s="14" t="s">
        <v>70</v>
      </c>
      <c r="P2104" s="14" t="s">
        <v>1439</v>
      </c>
      <c r="Q2104" s="14"/>
      <c r="R2104" s="14"/>
      <c r="S2104" s="14">
        <v>188.6</v>
      </c>
      <c r="T2104" s="14">
        <v>965.2</v>
      </c>
      <c r="U2104" s="19">
        <f t="shared" si="143"/>
        <v>5.1177094379639456</v>
      </c>
      <c r="V2104" s="41">
        <f t="shared" si="142"/>
        <v>411.77094379639459</v>
      </c>
      <c r="W2104" s="14"/>
      <c r="X2104" s="14" t="s">
        <v>56</v>
      </c>
      <c r="Z2104" s="14" t="s">
        <v>58</v>
      </c>
      <c r="AA2104" s="17"/>
      <c r="AB2104" s="14" t="s">
        <v>57</v>
      </c>
      <c r="AC2104" s="14">
        <v>2013</v>
      </c>
      <c r="AD2104" s="14">
        <v>1</v>
      </c>
      <c r="AE2104" s="14"/>
      <c r="AF2104" s="14"/>
      <c r="AG2104" s="14" t="s">
        <v>509</v>
      </c>
      <c r="AH2104" s="14" t="str">
        <f t="shared" si="140"/>
        <v>NA</v>
      </c>
      <c r="AI2104" s="17" t="str">
        <f t="shared" si="141"/>
        <v>NA</v>
      </c>
      <c r="AJ2104" s="14"/>
      <c r="AK2104" s="14" t="s">
        <v>56</v>
      </c>
      <c r="AL2104" s="13" t="s">
        <v>1440</v>
      </c>
      <c r="AM2104" s="14">
        <v>2018</v>
      </c>
      <c r="AN2104" s="12" t="s">
        <v>257</v>
      </c>
      <c r="AO2104" s="12" t="s">
        <v>56</v>
      </c>
      <c r="AP2104" s="12"/>
      <c r="AQ2104" s="12" t="s">
        <v>56</v>
      </c>
      <c r="AR2104" s="12" t="s">
        <v>58</v>
      </c>
      <c r="AS2104" s="12" t="s">
        <v>62</v>
      </c>
      <c r="AT2104" s="12"/>
      <c r="AU2104" s="45" t="s">
        <v>2677</v>
      </c>
      <c r="AV2104" s="15"/>
      <c r="AW2104" s="12" t="str">
        <f>B2104&amp;C2104&amp;L2104&amp;M2104&amp;O2104&amp;U2104&amp;AL2104&amp;AM2104</f>
        <v>St Vincent and the GrenadinesTabago Cays Marine Park (name unknown)predatorsbiomassden5.11770943796395Steneck2018</v>
      </c>
    </row>
    <row r="2105" spans="1:49" ht="14.5" x14ac:dyDescent="0.35">
      <c r="A2105" s="12">
        <v>2104</v>
      </c>
      <c r="B2105" s="12" t="s">
        <v>2675</v>
      </c>
      <c r="C2105" s="15" t="s">
        <v>2833</v>
      </c>
      <c r="D2105" s="15" t="s">
        <v>1889</v>
      </c>
      <c r="E2105" s="12" t="s">
        <v>89</v>
      </c>
      <c r="F2105" s="13" t="s">
        <v>50</v>
      </c>
      <c r="G2105" s="13" t="s">
        <v>51</v>
      </c>
      <c r="H2105" s="13" t="s">
        <v>108</v>
      </c>
      <c r="I2105" s="13" t="s">
        <v>156</v>
      </c>
      <c r="J2105" s="14" t="s">
        <v>509</v>
      </c>
      <c r="K2105" s="14"/>
      <c r="L2105" s="14" t="s">
        <v>267</v>
      </c>
      <c r="M2105" s="14" t="s">
        <v>268</v>
      </c>
      <c r="N2105" s="14" t="s">
        <v>170</v>
      </c>
      <c r="O2105" s="14" t="s">
        <v>70</v>
      </c>
      <c r="P2105" s="14" t="s">
        <v>1439</v>
      </c>
      <c r="Q2105" s="14"/>
      <c r="R2105" s="14"/>
      <c r="S2105" s="14">
        <v>649.5</v>
      </c>
      <c r="T2105" s="14">
        <v>765</v>
      </c>
      <c r="U2105" s="19">
        <f t="shared" si="143"/>
        <v>1.1778290993071594</v>
      </c>
      <c r="V2105" s="41">
        <f t="shared" si="142"/>
        <v>17.782909930715938</v>
      </c>
      <c r="W2105" s="14"/>
      <c r="X2105" s="14" t="s">
        <v>56</v>
      </c>
      <c r="Z2105" s="14" t="s">
        <v>58</v>
      </c>
      <c r="AA2105" s="17"/>
      <c r="AB2105" s="14" t="s">
        <v>57</v>
      </c>
      <c r="AC2105" s="14">
        <v>2013</v>
      </c>
      <c r="AD2105" s="14">
        <v>1</v>
      </c>
      <c r="AE2105" s="14"/>
      <c r="AF2105" s="14"/>
      <c r="AG2105" s="14" t="s">
        <v>509</v>
      </c>
      <c r="AH2105" s="14" t="str">
        <f t="shared" si="140"/>
        <v>NA</v>
      </c>
      <c r="AI2105" s="17" t="str">
        <f t="shared" si="141"/>
        <v>NA</v>
      </c>
      <c r="AJ2105" s="14"/>
      <c r="AK2105" s="14" t="s">
        <v>56</v>
      </c>
      <c r="AL2105" s="13" t="s">
        <v>1440</v>
      </c>
      <c r="AM2105" s="14">
        <v>2018</v>
      </c>
      <c r="AN2105" s="12" t="s">
        <v>257</v>
      </c>
      <c r="AO2105" s="12" t="s">
        <v>56</v>
      </c>
      <c r="AP2105" s="12"/>
      <c r="AQ2105" s="12" t="s">
        <v>56</v>
      </c>
      <c r="AR2105" s="12" t="s">
        <v>58</v>
      </c>
      <c r="AS2105" s="12" t="s">
        <v>62</v>
      </c>
      <c r="AT2105" s="12"/>
      <c r="AU2105" s="45" t="s">
        <v>2677</v>
      </c>
      <c r="AV2105" s="15"/>
      <c r="AW2105" s="12" t="str">
        <f>B2105&amp;C2105&amp;L2105&amp;M2105&amp;O2105&amp;U2105&amp;AL2105&amp;AM2105</f>
        <v>St Martin Island (Netherlands &amp; France)St. Maarten Reserve (name unknown)ScaridaeParrotfishbiomassden1.17782909930716Steneck2018</v>
      </c>
    </row>
    <row r="2106" spans="1:49" ht="14.5" x14ac:dyDescent="0.35">
      <c r="A2106" s="12">
        <v>2105</v>
      </c>
      <c r="B2106" s="15" t="s">
        <v>1881</v>
      </c>
      <c r="C2106" s="15" t="s">
        <v>2832</v>
      </c>
      <c r="D2106" s="15" t="s">
        <v>1882</v>
      </c>
      <c r="E2106" s="15" t="s">
        <v>89</v>
      </c>
      <c r="F2106" s="16" t="s">
        <v>50</v>
      </c>
      <c r="G2106" s="16" t="s">
        <v>51</v>
      </c>
      <c r="H2106" s="16" t="s">
        <v>108</v>
      </c>
      <c r="I2106" s="16" t="s">
        <v>156</v>
      </c>
      <c r="J2106" s="17" t="s">
        <v>509</v>
      </c>
      <c r="K2106" s="17"/>
      <c r="L2106" s="17" t="s">
        <v>267</v>
      </c>
      <c r="M2106" s="17" t="s">
        <v>268</v>
      </c>
      <c r="N2106" s="17" t="s">
        <v>170</v>
      </c>
      <c r="O2106" s="17" t="s">
        <v>70</v>
      </c>
      <c r="P2106" s="17" t="s">
        <v>1439</v>
      </c>
      <c r="Q2106" s="17"/>
      <c r="R2106" s="17"/>
      <c r="S2106" s="17">
        <v>793.6</v>
      </c>
      <c r="T2106" s="17">
        <v>1405.3</v>
      </c>
      <c r="U2106" s="20">
        <f t="shared" si="143"/>
        <v>1.7707913306451613</v>
      </c>
      <c r="V2106" s="41">
        <f t="shared" si="142"/>
        <v>77.079133064516128</v>
      </c>
      <c r="W2106" s="17"/>
      <c r="X2106" s="17" t="s">
        <v>56</v>
      </c>
      <c r="Y2106" s="17"/>
      <c r="Z2106" s="17" t="s">
        <v>58</v>
      </c>
      <c r="AA2106" s="17"/>
      <c r="AB2106" s="17" t="s">
        <v>57</v>
      </c>
      <c r="AC2106" s="17">
        <v>2013</v>
      </c>
      <c r="AD2106" s="17">
        <v>1</v>
      </c>
      <c r="AE2106" s="17"/>
      <c r="AF2106" s="17"/>
      <c r="AG2106" s="17" t="s">
        <v>509</v>
      </c>
      <c r="AH2106" s="14" t="str">
        <f t="shared" si="140"/>
        <v>NA</v>
      </c>
      <c r="AI2106" s="17" t="str">
        <f t="shared" si="141"/>
        <v>NA</v>
      </c>
      <c r="AJ2106" s="17"/>
      <c r="AK2106" s="17" t="s">
        <v>56</v>
      </c>
      <c r="AL2106" s="16" t="s">
        <v>1440</v>
      </c>
      <c r="AM2106" s="17">
        <v>2018</v>
      </c>
      <c r="AN2106" s="15" t="s">
        <v>257</v>
      </c>
      <c r="AO2106" s="15" t="s">
        <v>56</v>
      </c>
      <c r="AP2106" s="15"/>
      <c r="AQ2106" s="15" t="s">
        <v>56</v>
      </c>
      <c r="AR2106" s="15" t="s">
        <v>58</v>
      </c>
      <c r="AS2106" s="15" t="s">
        <v>62</v>
      </c>
      <c r="AT2106" s="15"/>
      <c r="AU2106" s="45" t="s">
        <v>2677</v>
      </c>
      <c r="AV2106" s="15"/>
      <c r="AW2106" s="12" t="str">
        <f>B2106&amp;C2106&amp;L2106&amp;M2106&amp;O2106&amp;U2106&amp;AL2106&amp;AM2106</f>
        <v>U.S. Virgin IslandsSt. Croix Reserve (name unknown)ScaridaeParrotfishbiomassden1.77079133064516Steneck2018</v>
      </c>
    </row>
    <row r="2107" spans="1:49" ht="14.5" x14ac:dyDescent="0.35">
      <c r="A2107" s="12">
        <v>2106</v>
      </c>
      <c r="B2107" s="12" t="s">
        <v>1887</v>
      </c>
      <c r="C2107" s="15" t="s">
        <v>2830</v>
      </c>
      <c r="D2107" s="15" t="s">
        <v>1888</v>
      </c>
      <c r="E2107" s="12" t="s">
        <v>89</v>
      </c>
      <c r="F2107" s="13" t="s">
        <v>50</v>
      </c>
      <c r="G2107" s="13" t="s">
        <v>51</v>
      </c>
      <c r="H2107" s="13" t="s">
        <v>108</v>
      </c>
      <c r="I2107" s="13" t="s">
        <v>156</v>
      </c>
      <c r="J2107" s="14" t="s">
        <v>509</v>
      </c>
      <c r="K2107" s="14"/>
      <c r="L2107" s="14" t="s">
        <v>267</v>
      </c>
      <c r="M2107" s="14" t="s">
        <v>268</v>
      </c>
      <c r="N2107" s="14" t="s">
        <v>170</v>
      </c>
      <c r="O2107" s="14" t="s">
        <v>70</v>
      </c>
      <c r="P2107" s="14" t="s">
        <v>1439</v>
      </c>
      <c r="Q2107" s="14"/>
      <c r="R2107" s="14"/>
      <c r="S2107" s="14">
        <v>316.3</v>
      </c>
      <c r="T2107" s="14">
        <v>2001.1</v>
      </c>
      <c r="U2107" s="19">
        <f t="shared" si="143"/>
        <v>6.3265886816313621</v>
      </c>
      <c r="V2107" s="41">
        <f t="shared" si="142"/>
        <v>532.65886816313616</v>
      </c>
      <c r="W2107" s="14"/>
      <c r="X2107" s="14" t="s">
        <v>56</v>
      </c>
      <c r="Z2107" s="14" t="s">
        <v>58</v>
      </c>
      <c r="AA2107" s="17"/>
      <c r="AB2107" s="14" t="s">
        <v>57</v>
      </c>
      <c r="AC2107" s="14">
        <v>2013</v>
      </c>
      <c r="AD2107" s="14">
        <v>1</v>
      </c>
      <c r="AE2107" s="14"/>
      <c r="AF2107" s="14"/>
      <c r="AG2107" s="14" t="s">
        <v>509</v>
      </c>
      <c r="AH2107" s="14" t="str">
        <f t="shared" si="140"/>
        <v>NA</v>
      </c>
      <c r="AI2107" s="17" t="str">
        <f t="shared" si="141"/>
        <v>NA</v>
      </c>
      <c r="AJ2107" s="14"/>
      <c r="AK2107" s="14" t="s">
        <v>56</v>
      </c>
      <c r="AL2107" s="13" t="s">
        <v>1440</v>
      </c>
      <c r="AM2107" s="14">
        <v>2018</v>
      </c>
      <c r="AN2107" s="12" t="s">
        <v>257</v>
      </c>
      <c r="AO2107" s="12" t="s">
        <v>56</v>
      </c>
      <c r="AP2107" s="12"/>
      <c r="AQ2107" s="12" t="s">
        <v>56</v>
      </c>
      <c r="AR2107" s="12" t="s">
        <v>58</v>
      </c>
      <c r="AS2107" s="12" t="s">
        <v>62</v>
      </c>
      <c r="AT2107" s="12"/>
      <c r="AU2107" s="45" t="s">
        <v>2677</v>
      </c>
      <c r="AV2107" s="15"/>
      <c r="AW2107" s="12" t="str">
        <f>B2107&amp;C2107&amp;L2107&amp;M2107&amp;O2107&amp;U2107&amp;AL2107&amp;AM2107</f>
        <v>Saint LuciaSt. Lucia reserve (name unknown)ScaridaeParrotfishbiomassden6.32658868163136Steneck2018</v>
      </c>
    </row>
    <row r="2108" spans="1:49" ht="14.5" x14ac:dyDescent="0.35">
      <c r="A2108" s="12">
        <v>2107</v>
      </c>
      <c r="B2108" s="15" t="s">
        <v>2676</v>
      </c>
      <c r="C2108" s="15" t="s">
        <v>2831</v>
      </c>
      <c r="D2108" s="15" t="s">
        <v>1437</v>
      </c>
      <c r="E2108" s="15" t="s">
        <v>89</v>
      </c>
      <c r="F2108" s="16" t="s">
        <v>50</v>
      </c>
      <c r="G2108" s="16" t="s">
        <v>51</v>
      </c>
      <c r="H2108" s="16" t="s">
        <v>108</v>
      </c>
      <c r="I2108" s="16" t="s">
        <v>156</v>
      </c>
      <c r="J2108" s="17" t="s">
        <v>509</v>
      </c>
      <c r="K2108" s="17"/>
      <c r="L2108" s="17" t="s">
        <v>267</v>
      </c>
      <c r="M2108" s="17" t="s">
        <v>268</v>
      </c>
      <c r="N2108" s="17" t="s">
        <v>170</v>
      </c>
      <c r="O2108" s="17" t="s">
        <v>70</v>
      </c>
      <c r="P2108" s="17" t="s">
        <v>1439</v>
      </c>
      <c r="Q2108" s="17"/>
      <c r="R2108" s="17"/>
      <c r="S2108" s="17">
        <v>872</v>
      </c>
      <c r="T2108" s="17">
        <v>1696.7</v>
      </c>
      <c r="U2108" s="20">
        <f t="shared" si="143"/>
        <v>1.9457568807339449</v>
      </c>
      <c r="V2108" s="41">
        <f t="shared" si="142"/>
        <v>94.575688073394488</v>
      </c>
      <c r="W2108" s="17"/>
      <c r="X2108" s="17" t="s">
        <v>56</v>
      </c>
      <c r="Y2108" s="17"/>
      <c r="Z2108" s="17" t="s">
        <v>58</v>
      </c>
      <c r="AA2108" s="17"/>
      <c r="AB2108" s="17" t="s">
        <v>57</v>
      </c>
      <c r="AC2108" s="17">
        <v>2013</v>
      </c>
      <c r="AD2108" s="17">
        <v>1</v>
      </c>
      <c r="AE2108" s="17"/>
      <c r="AF2108" s="17"/>
      <c r="AG2108" s="17" t="s">
        <v>509</v>
      </c>
      <c r="AH2108" s="14" t="str">
        <f t="shared" si="140"/>
        <v>NA</v>
      </c>
      <c r="AI2108" s="17" t="str">
        <f t="shared" si="141"/>
        <v>NA</v>
      </c>
      <c r="AJ2108" s="17"/>
      <c r="AK2108" s="17" t="s">
        <v>56</v>
      </c>
      <c r="AL2108" s="16" t="s">
        <v>1440</v>
      </c>
      <c r="AM2108" s="17">
        <v>2018</v>
      </c>
      <c r="AN2108" s="15" t="s">
        <v>257</v>
      </c>
      <c r="AO2108" s="15" t="s">
        <v>56</v>
      </c>
      <c r="AP2108" s="15"/>
      <c r="AQ2108" s="15" t="s">
        <v>56</v>
      </c>
      <c r="AR2108" s="15" t="s">
        <v>58</v>
      </c>
      <c r="AS2108" s="15" t="s">
        <v>62</v>
      </c>
      <c r="AT2108" s="15"/>
      <c r="AU2108" s="45" t="s">
        <v>2677</v>
      </c>
      <c r="AV2108" s="15"/>
      <c r="AW2108" s="12" t="str">
        <f>B2108&amp;C2108&amp;L2108&amp;M2108&amp;O2108&amp;U2108&amp;AL2108&amp;AM2108</f>
        <v>St Vincent and the GrenadinesMustique reserve (name unknown)ScaridaeParrotfishbiomassden1.94575688073394Steneck2018</v>
      </c>
    </row>
    <row r="2109" spans="1:49" ht="14.5" x14ac:dyDescent="0.35">
      <c r="A2109" s="12">
        <v>2108</v>
      </c>
      <c r="B2109" s="12" t="s">
        <v>2676</v>
      </c>
      <c r="C2109" s="15" t="s">
        <v>2834</v>
      </c>
      <c r="D2109" s="15" t="s">
        <v>1899</v>
      </c>
      <c r="E2109" s="12" t="s">
        <v>89</v>
      </c>
      <c r="F2109" s="13" t="s">
        <v>50</v>
      </c>
      <c r="G2109" s="13" t="s">
        <v>51</v>
      </c>
      <c r="H2109" s="13" t="s">
        <v>108</v>
      </c>
      <c r="I2109" s="13" t="s">
        <v>156</v>
      </c>
      <c r="J2109" s="14" t="s">
        <v>509</v>
      </c>
      <c r="K2109" s="14"/>
      <c r="L2109" s="14" t="s">
        <v>267</v>
      </c>
      <c r="M2109" s="14" t="s">
        <v>268</v>
      </c>
      <c r="N2109" s="14" t="s">
        <v>170</v>
      </c>
      <c r="O2109" s="17" t="s">
        <v>70</v>
      </c>
      <c r="P2109" s="14" t="s">
        <v>1439</v>
      </c>
      <c r="Q2109" s="14"/>
      <c r="R2109" s="14"/>
      <c r="S2109" s="14">
        <v>722.8</v>
      </c>
      <c r="T2109" s="14">
        <v>1364.1</v>
      </c>
      <c r="U2109" s="19">
        <f t="shared" si="143"/>
        <v>1.8872440509131156</v>
      </c>
      <c r="V2109" s="41">
        <f t="shared" si="142"/>
        <v>88.724405091311567</v>
      </c>
      <c r="W2109" s="14"/>
      <c r="X2109" s="14" t="s">
        <v>56</v>
      </c>
      <c r="Z2109" s="14" t="s">
        <v>58</v>
      </c>
      <c r="AA2109" s="17"/>
      <c r="AB2109" s="14" t="s">
        <v>57</v>
      </c>
      <c r="AC2109" s="14">
        <v>2013</v>
      </c>
      <c r="AD2109" s="14">
        <v>1</v>
      </c>
      <c r="AE2109" s="14"/>
      <c r="AF2109" s="14"/>
      <c r="AG2109" s="14" t="s">
        <v>509</v>
      </c>
      <c r="AH2109" s="14" t="str">
        <f t="shared" si="140"/>
        <v>NA</v>
      </c>
      <c r="AI2109" s="17" t="str">
        <f t="shared" si="141"/>
        <v>NA</v>
      </c>
      <c r="AJ2109" s="14"/>
      <c r="AK2109" s="14" t="s">
        <v>56</v>
      </c>
      <c r="AL2109" s="13" t="s">
        <v>1440</v>
      </c>
      <c r="AM2109" s="14">
        <v>2018</v>
      </c>
      <c r="AN2109" s="12" t="s">
        <v>257</v>
      </c>
      <c r="AO2109" s="12" t="s">
        <v>56</v>
      </c>
      <c r="AP2109" s="12"/>
      <c r="AQ2109" s="12" t="s">
        <v>56</v>
      </c>
      <c r="AR2109" s="12" t="s">
        <v>58</v>
      </c>
      <c r="AS2109" s="12" t="s">
        <v>62</v>
      </c>
      <c r="AT2109" s="12"/>
      <c r="AU2109" s="45" t="s">
        <v>2677</v>
      </c>
      <c r="AV2109" s="15"/>
      <c r="AW2109" s="12" t="str">
        <f>B2109&amp;C2109&amp;L2109&amp;M2109&amp;O2109&amp;U2109&amp;AL2109&amp;AM2109</f>
        <v>St Vincent and the GrenadinesTabago Cays Marine Park (name unknown)ScaridaeParrotfishbiomassden1.88724405091312Steneck2018</v>
      </c>
    </row>
    <row r="2110" spans="1:49" ht="14.5" x14ac:dyDescent="0.35">
      <c r="A2110" s="12">
        <v>2109</v>
      </c>
      <c r="B2110" s="12" t="s">
        <v>2675</v>
      </c>
      <c r="C2110" s="15" t="s">
        <v>2833</v>
      </c>
      <c r="D2110" s="15" t="s">
        <v>1889</v>
      </c>
      <c r="E2110" s="12" t="s">
        <v>89</v>
      </c>
      <c r="F2110" s="13" t="s">
        <v>50</v>
      </c>
      <c r="G2110" s="13" t="s">
        <v>51</v>
      </c>
      <c r="H2110" s="13" t="s">
        <v>108</v>
      </c>
      <c r="I2110" s="13" t="s">
        <v>156</v>
      </c>
      <c r="J2110" s="14" t="s">
        <v>509</v>
      </c>
      <c r="K2110" s="14"/>
      <c r="L2110" s="14"/>
      <c r="M2110" s="14" t="s">
        <v>1441</v>
      </c>
      <c r="N2110" s="53" t="s">
        <v>98</v>
      </c>
      <c r="O2110" s="17" t="s">
        <v>101</v>
      </c>
      <c r="P2110" s="14"/>
      <c r="Q2110" s="14"/>
      <c r="R2110" s="14"/>
      <c r="S2110" s="14">
        <v>13.6</v>
      </c>
      <c r="T2110" s="14">
        <v>11.9</v>
      </c>
      <c r="U2110" s="19">
        <f t="shared" si="143"/>
        <v>0.875</v>
      </c>
      <c r="V2110" s="41">
        <f t="shared" si="142"/>
        <v>-12.5</v>
      </c>
      <c r="W2110" s="14"/>
      <c r="X2110" s="14" t="s">
        <v>56</v>
      </c>
      <c r="Z2110" s="14" t="s">
        <v>58</v>
      </c>
      <c r="AA2110" s="17"/>
      <c r="AB2110" s="14" t="s">
        <v>57</v>
      </c>
      <c r="AC2110" s="14">
        <v>2013</v>
      </c>
      <c r="AD2110" s="14">
        <v>1</v>
      </c>
      <c r="AE2110" s="14"/>
      <c r="AF2110" s="14"/>
      <c r="AG2110" s="14" t="s">
        <v>509</v>
      </c>
      <c r="AH2110" s="14" t="str">
        <f t="shared" si="140"/>
        <v>NA</v>
      </c>
      <c r="AI2110" s="17" t="str">
        <f t="shared" si="141"/>
        <v>NA</v>
      </c>
      <c r="AJ2110" s="14"/>
      <c r="AK2110" s="14" t="s">
        <v>56</v>
      </c>
      <c r="AL2110" s="13" t="s">
        <v>1440</v>
      </c>
      <c r="AM2110" s="14">
        <v>2018</v>
      </c>
      <c r="AN2110" s="12" t="s">
        <v>257</v>
      </c>
      <c r="AO2110" s="12" t="s">
        <v>56</v>
      </c>
      <c r="AP2110" s="12"/>
      <c r="AQ2110" s="12" t="s">
        <v>56</v>
      </c>
      <c r="AR2110" s="12" t="s">
        <v>58</v>
      </c>
      <c r="AS2110" s="12" t="s">
        <v>62</v>
      </c>
      <c r="AT2110" s="12"/>
      <c r="AU2110" s="45" t="s">
        <v>2677</v>
      </c>
      <c r="AV2110" s="15"/>
      <c r="AW2110" s="12" t="str">
        <f>B2110&amp;C2110&amp;L2110&amp;M2110&amp;O2110&amp;U2110&amp;AL2110&amp;AM2110</f>
        <v>St Martin Island (Netherlands &amp; France)St. Maarten Reserve (name unknown)Stony coralcover0.875Steneck2018</v>
      </c>
    </row>
    <row r="2111" spans="1:49" ht="14.5" x14ac:dyDescent="0.35">
      <c r="A2111" s="12">
        <v>2110</v>
      </c>
      <c r="B2111" s="12" t="s">
        <v>1881</v>
      </c>
      <c r="C2111" s="15" t="s">
        <v>2832</v>
      </c>
      <c r="D2111" s="15" t="s">
        <v>1882</v>
      </c>
      <c r="E2111" s="12" t="s">
        <v>89</v>
      </c>
      <c r="F2111" s="13" t="s">
        <v>50</v>
      </c>
      <c r="G2111" s="13" t="s">
        <v>51</v>
      </c>
      <c r="H2111" s="13" t="s">
        <v>108</v>
      </c>
      <c r="I2111" s="13" t="s">
        <v>156</v>
      </c>
      <c r="J2111" s="14" t="s">
        <v>509</v>
      </c>
      <c r="K2111" s="14"/>
      <c r="L2111" s="14"/>
      <c r="M2111" s="14" t="s">
        <v>1441</v>
      </c>
      <c r="N2111" s="53" t="s">
        <v>98</v>
      </c>
      <c r="O2111" s="17" t="s">
        <v>101</v>
      </c>
      <c r="P2111" s="14"/>
      <c r="Q2111" s="14"/>
      <c r="R2111" s="14"/>
      <c r="S2111" s="14">
        <v>17.899999999999999</v>
      </c>
      <c r="T2111" s="14">
        <v>19.2</v>
      </c>
      <c r="U2111" s="19">
        <f t="shared" si="143"/>
        <v>1.0726256983240223</v>
      </c>
      <c r="V2111" s="41">
        <f t="shared" si="142"/>
        <v>7.2625698324022325</v>
      </c>
      <c r="W2111" s="14"/>
      <c r="X2111" s="14" t="s">
        <v>56</v>
      </c>
      <c r="Z2111" s="14" t="s">
        <v>58</v>
      </c>
      <c r="AA2111" s="17"/>
      <c r="AB2111" s="14" t="s">
        <v>57</v>
      </c>
      <c r="AC2111" s="14">
        <v>2013</v>
      </c>
      <c r="AD2111" s="14">
        <v>1</v>
      </c>
      <c r="AE2111" s="14"/>
      <c r="AF2111" s="14"/>
      <c r="AG2111" s="14" t="s">
        <v>509</v>
      </c>
      <c r="AH2111" s="14" t="str">
        <f t="shared" si="140"/>
        <v>NA</v>
      </c>
      <c r="AI2111" s="17" t="str">
        <f t="shared" si="141"/>
        <v>NA</v>
      </c>
      <c r="AJ2111" s="14"/>
      <c r="AK2111" s="14" t="s">
        <v>56</v>
      </c>
      <c r="AL2111" s="13" t="s">
        <v>1440</v>
      </c>
      <c r="AM2111" s="14">
        <v>2018</v>
      </c>
      <c r="AN2111" s="12" t="s">
        <v>257</v>
      </c>
      <c r="AO2111" s="12" t="s">
        <v>56</v>
      </c>
      <c r="AP2111" s="12"/>
      <c r="AQ2111" s="12" t="s">
        <v>56</v>
      </c>
      <c r="AR2111" s="12" t="s">
        <v>58</v>
      </c>
      <c r="AS2111" s="12" t="s">
        <v>62</v>
      </c>
      <c r="AT2111" s="12"/>
      <c r="AU2111" s="45" t="s">
        <v>2677</v>
      </c>
      <c r="AV2111" s="15"/>
      <c r="AW2111" s="12" t="str">
        <f>B2111&amp;C2111&amp;L2111&amp;M2111&amp;O2111&amp;U2111&amp;AL2111&amp;AM2111</f>
        <v>U.S. Virgin IslandsSt. Croix Reserve (name unknown)Stony coralcover1.07262569832402Steneck2018</v>
      </c>
    </row>
    <row r="2112" spans="1:49" ht="14.5" x14ac:dyDescent="0.35">
      <c r="A2112" s="12">
        <v>2111</v>
      </c>
      <c r="B2112" s="12" t="s">
        <v>1887</v>
      </c>
      <c r="C2112" s="15" t="s">
        <v>2830</v>
      </c>
      <c r="D2112" s="15" t="s">
        <v>1888</v>
      </c>
      <c r="E2112" s="12" t="s">
        <v>89</v>
      </c>
      <c r="F2112" s="13" t="s">
        <v>50</v>
      </c>
      <c r="G2112" s="13" t="s">
        <v>51</v>
      </c>
      <c r="H2112" s="13" t="s">
        <v>108</v>
      </c>
      <c r="I2112" s="13" t="s">
        <v>156</v>
      </c>
      <c r="J2112" s="14" t="s">
        <v>509</v>
      </c>
      <c r="K2112" s="17"/>
      <c r="L2112" s="14"/>
      <c r="M2112" s="14" t="s">
        <v>1441</v>
      </c>
      <c r="N2112" s="53" t="s">
        <v>98</v>
      </c>
      <c r="O2112" s="17" t="s">
        <v>101</v>
      </c>
      <c r="P2112" s="14"/>
      <c r="Q2112" s="14"/>
      <c r="R2112" s="14"/>
      <c r="S2112" s="14">
        <v>23.6</v>
      </c>
      <c r="T2112" s="14">
        <v>25.4</v>
      </c>
      <c r="U2112" s="19">
        <f t="shared" si="143"/>
        <v>1.0762711864406778</v>
      </c>
      <c r="V2112" s="41">
        <f t="shared" si="142"/>
        <v>7.6271186440677763</v>
      </c>
      <c r="W2112" s="14"/>
      <c r="X2112" s="14" t="s">
        <v>56</v>
      </c>
      <c r="Z2112" s="14" t="s">
        <v>58</v>
      </c>
      <c r="AA2112" s="17"/>
      <c r="AB2112" s="14" t="s">
        <v>57</v>
      </c>
      <c r="AC2112" s="14">
        <v>2013</v>
      </c>
      <c r="AD2112" s="14">
        <v>1</v>
      </c>
      <c r="AE2112" s="14"/>
      <c r="AF2112" s="14"/>
      <c r="AG2112" s="14" t="s">
        <v>509</v>
      </c>
      <c r="AH2112" s="14" t="str">
        <f t="shared" ref="AH2112:AH2175" si="144">IF(OR(AG2112="NA",AC2112="NA"),"NA",IF(OR(AC2112="",AG2112=""), "", AC2112-AG2112))</f>
        <v>NA</v>
      </c>
      <c r="AI2112" s="17" t="str">
        <f t="shared" ref="AI2112:AI2175" si="145">IF(AH2112="NA", "NA",IF(OR(AH2112="",AND(AD2112="",AE2112="")), "",AH2112+AD2112+AE2112/12))</f>
        <v>NA</v>
      </c>
      <c r="AJ2112" s="14"/>
      <c r="AK2112" s="14" t="s">
        <v>56</v>
      </c>
      <c r="AL2112" s="13" t="s">
        <v>1440</v>
      </c>
      <c r="AM2112" s="14">
        <v>2018</v>
      </c>
      <c r="AN2112" s="12" t="s">
        <v>257</v>
      </c>
      <c r="AO2112" s="12" t="s">
        <v>56</v>
      </c>
      <c r="AP2112" s="12"/>
      <c r="AQ2112" s="12" t="s">
        <v>56</v>
      </c>
      <c r="AR2112" s="12" t="s">
        <v>58</v>
      </c>
      <c r="AS2112" s="12" t="s">
        <v>62</v>
      </c>
      <c r="AT2112" s="12"/>
      <c r="AU2112" s="45" t="s">
        <v>2677</v>
      </c>
      <c r="AV2112" s="15"/>
      <c r="AW2112" s="12" t="str">
        <f>B2112&amp;C2112&amp;L2112&amp;M2112&amp;O2112&amp;U2112&amp;AL2112&amp;AM2112</f>
        <v>Saint LuciaSt. Lucia reserve (name unknown)Stony coralcover1.07627118644068Steneck2018</v>
      </c>
    </row>
    <row r="2113" spans="1:49" ht="14.5" x14ac:dyDescent="0.35">
      <c r="A2113" s="12">
        <v>2112</v>
      </c>
      <c r="B2113" s="15" t="s">
        <v>2676</v>
      </c>
      <c r="C2113" s="15" t="s">
        <v>2831</v>
      </c>
      <c r="D2113" s="15" t="s">
        <v>1437</v>
      </c>
      <c r="E2113" s="15" t="s">
        <v>89</v>
      </c>
      <c r="F2113" s="13" t="s">
        <v>50</v>
      </c>
      <c r="G2113" s="13" t="s">
        <v>51</v>
      </c>
      <c r="H2113" s="16" t="s">
        <v>108</v>
      </c>
      <c r="I2113" s="16" t="s">
        <v>156</v>
      </c>
      <c r="J2113" s="17" t="s">
        <v>509</v>
      </c>
      <c r="K2113" s="17"/>
      <c r="L2113" s="17"/>
      <c r="M2113" s="17" t="s">
        <v>1441</v>
      </c>
      <c r="N2113" s="53" t="s">
        <v>98</v>
      </c>
      <c r="O2113" s="17" t="s">
        <v>101</v>
      </c>
      <c r="P2113" s="17"/>
      <c r="Q2113" s="17"/>
      <c r="R2113" s="17"/>
      <c r="S2113" s="17">
        <v>18.3</v>
      </c>
      <c r="T2113" s="17">
        <v>20.8</v>
      </c>
      <c r="U2113" s="20">
        <f t="shared" si="143"/>
        <v>1.1366120218579234</v>
      </c>
      <c r="V2113" s="41">
        <f t="shared" si="142"/>
        <v>13.661202185792343</v>
      </c>
      <c r="W2113" s="17"/>
      <c r="X2113" s="14" t="s">
        <v>56</v>
      </c>
      <c r="Y2113" s="17"/>
      <c r="Z2113" s="17" t="s">
        <v>58</v>
      </c>
      <c r="AA2113" s="17"/>
      <c r="AB2113" s="17" t="s">
        <v>57</v>
      </c>
      <c r="AC2113" s="17">
        <v>2013</v>
      </c>
      <c r="AD2113" s="17">
        <v>1</v>
      </c>
      <c r="AE2113" s="17"/>
      <c r="AF2113" s="17"/>
      <c r="AG2113" s="17" t="s">
        <v>509</v>
      </c>
      <c r="AH2113" s="14" t="str">
        <f t="shared" si="144"/>
        <v>NA</v>
      </c>
      <c r="AI2113" s="17" t="str">
        <f t="shared" si="145"/>
        <v>NA</v>
      </c>
      <c r="AJ2113" s="17"/>
      <c r="AK2113" s="17" t="s">
        <v>56</v>
      </c>
      <c r="AL2113" s="16" t="s">
        <v>1440</v>
      </c>
      <c r="AM2113" s="17">
        <v>2018</v>
      </c>
      <c r="AN2113" s="15" t="s">
        <v>257</v>
      </c>
      <c r="AO2113" s="15" t="s">
        <v>56</v>
      </c>
      <c r="AP2113" s="15"/>
      <c r="AQ2113" s="15" t="s">
        <v>56</v>
      </c>
      <c r="AR2113" s="15" t="s">
        <v>58</v>
      </c>
      <c r="AS2113" s="15" t="s">
        <v>62</v>
      </c>
      <c r="AT2113" s="15"/>
      <c r="AU2113" s="45" t="s">
        <v>2677</v>
      </c>
      <c r="AV2113" s="15"/>
      <c r="AW2113" s="12" t="str">
        <f>B2113&amp;C2113&amp;L2113&amp;M2113&amp;O2113&amp;U2113&amp;AL2113&amp;AM2113</f>
        <v>St Vincent and the GrenadinesMustique reserve (name unknown)Stony coralcover1.13661202185792Steneck2018</v>
      </c>
    </row>
    <row r="2114" spans="1:49" ht="14.5" x14ac:dyDescent="0.35">
      <c r="A2114" s="12">
        <v>2113</v>
      </c>
      <c r="B2114" s="12" t="s">
        <v>2676</v>
      </c>
      <c r="C2114" s="15" t="s">
        <v>2834</v>
      </c>
      <c r="D2114" s="15" t="s">
        <v>1899</v>
      </c>
      <c r="E2114" s="12" t="s">
        <v>89</v>
      </c>
      <c r="F2114" s="13" t="s">
        <v>50</v>
      </c>
      <c r="G2114" s="13" t="s">
        <v>51</v>
      </c>
      <c r="H2114" s="13" t="s">
        <v>108</v>
      </c>
      <c r="I2114" s="13" t="s">
        <v>156</v>
      </c>
      <c r="J2114" s="14" t="s">
        <v>509</v>
      </c>
      <c r="K2114" s="14"/>
      <c r="L2114" s="14"/>
      <c r="M2114" s="14" t="s">
        <v>1441</v>
      </c>
      <c r="N2114" s="53" t="s">
        <v>98</v>
      </c>
      <c r="O2114" s="17" t="s">
        <v>101</v>
      </c>
      <c r="P2114" s="14"/>
      <c r="Q2114" s="14"/>
      <c r="R2114" s="14"/>
      <c r="S2114" s="14">
        <v>14.8</v>
      </c>
      <c r="T2114" s="14">
        <v>33</v>
      </c>
      <c r="U2114" s="19">
        <f t="shared" si="143"/>
        <v>2.2297297297297298</v>
      </c>
      <c r="V2114" s="41">
        <f t="shared" ref="V2114:V2177" si="146">IFERROR(IF(U2114 = "", "",(U2114-1)*100),"N/A")</f>
        <v>122.97297297297298</v>
      </c>
      <c r="W2114" s="14"/>
      <c r="X2114" s="14" t="s">
        <v>56</v>
      </c>
      <c r="Z2114" s="14" t="s">
        <v>58</v>
      </c>
      <c r="AA2114" s="17"/>
      <c r="AB2114" s="14" t="s">
        <v>57</v>
      </c>
      <c r="AC2114" s="14">
        <v>2013</v>
      </c>
      <c r="AD2114" s="14">
        <v>1</v>
      </c>
      <c r="AE2114" s="14"/>
      <c r="AF2114" s="14"/>
      <c r="AG2114" s="14" t="s">
        <v>509</v>
      </c>
      <c r="AH2114" s="14" t="str">
        <f t="shared" si="144"/>
        <v>NA</v>
      </c>
      <c r="AI2114" s="17" t="str">
        <f t="shared" si="145"/>
        <v>NA</v>
      </c>
      <c r="AJ2114" s="14"/>
      <c r="AK2114" s="14" t="s">
        <v>56</v>
      </c>
      <c r="AL2114" s="13" t="s">
        <v>1440</v>
      </c>
      <c r="AM2114" s="14">
        <v>2018</v>
      </c>
      <c r="AN2114" s="12" t="s">
        <v>257</v>
      </c>
      <c r="AO2114" s="12" t="s">
        <v>56</v>
      </c>
      <c r="AP2114" s="12"/>
      <c r="AQ2114" s="12" t="s">
        <v>56</v>
      </c>
      <c r="AR2114" s="12" t="s">
        <v>58</v>
      </c>
      <c r="AS2114" s="12" t="s">
        <v>62</v>
      </c>
      <c r="AT2114" s="12"/>
      <c r="AU2114" s="45" t="s">
        <v>2677</v>
      </c>
      <c r="AV2114" s="15"/>
      <c r="AW2114" s="12" t="str">
        <f>B2114&amp;C2114&amp;L2114&amp;M2114&amp;O2114&amp;U2114&amp;AL2114&amp;AM2114</f>
        <v>St Vincent and the GrenadinesTabago Cays Marine Park (name unknown)Stony coralcover2.22972972972973Steneck2018</v>
      </c>
    </row>
    <row r="2115" spans="1:49" ht="14.5" x14ac:dyDescent="0.35">
      <c r="A2115" s="12">
        <v>2114</v>
      </c>
      <c r="B2115" s="12" t="s">
        <v>2675</v>
      </c>
      <c r="C2115" s="15" t="s">
        <v>2833</v>
      </c>
      <c r="D2115" s="15" t="s">
        <v>1889</v>
      </c>
      <c r="E2115" s="12" t="s">
        <v>89</v>
      </c>
      <c r="F2115" s="13" t="s">
        <v>50</v>
      </c>
      <c r="G2115" s="13" t="s">
        <v>51</v>
      </c>
      <c r="H2115" s="13" t="s">
        <v>108</v>
      </c>
      <c r="I2115" s="13" t="s">
        <v>156</v>
      </c>
      <c r="J2115" s="14" t="s">
        <v>509</v>
      </c>
      <c r="K2115" s="17"/>
      <c r="L2115" s="14" t="s">
        <v>543</v>
      </c>
      <c r="M2115" s="14"/>
      <c r="N2115" s="14" t="s">
        <v>170</v>
      </c>
      <c r="O2115" s="17" t="s">
        <v>70</v>
      </c>
      <c r="P2115" s="14"/>
      <c r="Q2115" s="14"/>
      <c r="R2115" s="14"/>
      <c r="S2115" s="14">
        <v>40</v>
      </c>
      <c r="T2115" s="14">
        <v>81.599999999999994</v>
      </c>
      <c r="U2115" s="19">
        <f t="shared" si="143"/>
        <v>2.04</v>
      </c>
      <c r="V2115" s="41">
        <f t="shared" si="146"/>
        <v>104</v>
      </c>
      <c r="W2115" s="14"/>
      <c r="X2115" s="14" t="s">
        <v>56</v>
      </c>
      <c r="Z2115" s="14" t="s">
        <v>58</v>
      </c>
      <c r="AA2115" s="17"/>
      <c r="AB2115" s="14" t="s">
        <v>57</v>
      </c>
      <c r="AC2115" s="14">
        <v>2013</v>
      </c>
      <c r="AD2115" s="14">
        <v>1</v>
      </c>
      <c r="AE2115" s="14"/>
      <c r="AF2115" s="14"/>
      <c r="AG2115" s="14" t="s">
        <v>509</v>
      </c>
      <c r="AH2115" s="14" t="str">
        <f t="shared" si="144"/>
        <v>NA</v>
      </c>
      <c r="AI2115" s="17" t="str">
        <f t="shared" si="145"/>
        <v>NA</v>
      </c>
      <c r="AJ2115" s="14"/>
      <c r="AK2115" s="14" t="s">
        <v>56</v>
      </c>
      <c r="AL2115" s="13" t="s">
        <v>1440</v>
      </c>
      <c r="AM2115" s="14">
        <v>2018</v>
      </c>
      <c r="AN2115" s="12" t="s">
        <v>257</v>
      </c>
      <c r="AO2115" s="12" t="s">
        <v>56</v>
      </c>
      <c r="AP2115" s="12"/>
      <c r="AQ2115" s="12" t="s">
        <v>56</v>
      </c>
      <c r="AR2115" s="12" t="s">
        <v>58</v>
      </c>
      <c r="AS2115" s="12" t="s">
        <v>62</v>
      </c>
      <c r="AT2115" s="12"/>
      <c r="AU2115" s="45" t="s">
        <v>2677</v>
      </c>
      <c r="AV2115" s="15"/>
      <c r="AW2115" s="12" t="str">
        <f>B2115&amp;C2115&amp;L2115&amp;M2115&amp;O2115&amp;U2115&amp;AL2115&amp;AM2115</f>
        <v>St Martin Island (Netherlands &amp; France)St. Maarten Reserve (name unknown)Serranidaebiomassden2.04Steneck2018</v>
      </c>
    </row>
    <row r="2116" spans="1:49" ht="14.5" x14ac:dyDescent="0.35">
      <c r="A2116" s="12">
        <v>2115</v>
      </c>
      <c r="B2116" s="12" t="s">
        <v>1881</v>
      </c>
      <c r="C2116" s="15" t="s">
        <v>2832</v>
      </c>
      <c r="D2116" s="15" t="s">
        <v>1882</v>
      </c>
      <c r="E2116" s="12" t="s">
        <v>89</v>
      </c>
      <c r="F2116" s="13" t="s">
        <v>50</v>
      </c>
      <c r="G2116" s="13" t="s">
        <v>51</v>
      </c>
      <c r="H2116" s="13" t="s">
        <v>108</v>
      </c>
      <c r="I2116" s="13" t="s">
        <v>156</v>
      </c>
      <c r="J2116" s="14" t="s">
        <v>509</v>
      </c>
      <c r="K2116" s="17"/>
      <c r="L2116" s="14" t="s">
        <v>543</v>
      </c>
      <c r="M2116" s="14"/>
      <c r="N2116" s="14" t="s">
        <v>170</v>
      </c>
      <c r="O2116" s="17" t="s">
        <v>70</v>
      </c>
      <c r="P2116" s="14"/>
      <c r="Q2116" s="14"/>
      <c r="R2116" s="14"/>
      <c r="S2116" s="14">
        <v>57.5</v>
      </c>
      <c r="T2116" s="14">
        <v>69.2</v>
      </c>
      <c r="U2116" s="19">
        <f t="shared" si="143"/>
        <v>1.2034782608695653</v>
      </c>
      <c r="V2116" s="41">
        <f t="shared" si="146"/>
        <v>20.347826086956534</v>
      </c>
      <c r="W2116" s="14"/>
      <c r="X2116" s="14" t="s">
        <v>56</v>
      </c>
      <c r="Z2116" s="14" t="s">
        <v>58</v>
      </c>
      <c r="AA2116" s="17"/>
      <c r="AB2116" s="14" t="s">
        <v>57</v>
      </c>
      <c r="AC2116" s="14">
        <v>2013</v>
      </c>
      <c r="AD2116" s="14">
        <v>1</v>
      </c>
      <c r="AE2116" s="14"/>
      <c r="AF2116" s="14"/>
      <c r="AG2116" s="14" t="s">
        <v>509</v>
      </c>
      <c r="AH2116" s="14" t="str">
        <f t="shared" si="144"/>
        <v>NA</v>
      </c>
      <c r="AI2116" s="17" t="str">
        <f t="shared" si="145"/>
        <v>NA</v>
      </c>
      <c r="AJ2116" s="14"/>
      <c r="AK2116" s="14" t="s">
        <v>56</v>
      </c>
      <c r="AL2116" s="13" t="s">
        <v>1440</v>
      </c>
      <c r="AM2116" s="14">
        <v>2018</v>
      </c>
      <c r="AN2116" s="12" t="s">
        <v>257</v>
      </c>
      <c r="AO2116" s="12" t="s">
        <v>56</v>
      </c>
      <c r="AP2116" s="12"/>
      <c r="AQ2116" s="12" t="s">
        <v>56</v>
      </c>
      <c r="AR2116" s="12" t="s">
        <v>58</v>
      </c>
      <c r="AS2116" s="12" t="s">
        <v>62</v>
      </c>
      <c r="AT2116" s="12"/>
      <c r="AU2116" s="45" t="s">
        <v>2677</v>
      </c>
      <c r="AV2116" s="15"/>
      <c r="AW2116" s="12" t="str">
        <f>B2116&amp;C2116&amp;L2116&amp;M2116&amp;O2116&amp;U2116&amp;AL2116&amp;AM2116</f>
        <v>U.S. Virgin IslandsSt. Croix Reserve (name unknown)Serranidaebiomassden1.20347826086957Steneck2018</v>
      </c>
    </row>
    <row r="2117" spans="1:49" ht="14.5" x14ac:dyDescent="0.35">
      <c r="A2117" s="12">
        <v>2116</v>
      </c>
      <c r="B2117" s="12" t="s">
        <v>1887</v>
      </c>
      <c r="C2117" s="15" t="s">
        <v>2830</v>
      </c>
      <c r="D2117" s="15" t="s">
        <v>1888</v>
      </c>
      <c r="E2117" s="12" t="s">
        <v>89</v>
      </c>
      <c r="F2117" s="13" t="s">
        <v>50</v>
      </c>
      <c r="G2117" s="13" t="s">
        <v>51</v>
      </c>
      <c r="H2117" s="13" t="s">
        <v>108</v>
      </c>
      <c r="I2117" s="13" t="s">
        <v>156</v>
      </c>
      <c r="J2117" s="14" t="s">
        <v>509</v>
      </c>
      <c r="K2117" s="17"/>
      <c r="L2117" s="14" t="s">
        <v>543</v>
      </c>
      <c r="M2117" s="14"/>
      <c r="N2117" s="14" t="s">
        <v>170</v>
      </c>
      <c r="O2117" s="17" t="s">
        <v>70</v>
      </c>
      <c r="P2117" s="14"/>
      <c r="Q2117" s="14"/>
      <c r="R2117" s="14"/>
      <c r="S2117" s="14">
        <v>114.5</v>
      </c>
      <c r="T2117" s="14">
        <v>219.1</v>
      </c>
      <c r="U2117" s="19">
        <f t="shared" si="143"/>
        <v>1.91353711790393</v>
      </c>
      <c r="V2117" s="41">
        <f t="shared" si="146"/>
        <v>91.353711790392992</v>
      </c>
      <c r="W2117" s="14"/>
      <c r="X2117" s="14" t="s">
        <v>56</v>
      </c>
      <c r="Z2117" s="14" t="s">
        <v>58</v>
      </c>
      <c r="AA2117" s="17"/>
      <c r="AB2117" s="14" t="s">
        <v>57</v>
      </c>
      <c r="AC2117" s="14">
        <v>2013</v>
      </c>
      <c r="AD2117" s="14">
        <v>1</v>
      </c>
      <c r="AE2117" s="14"/>
      <c r="AF2117" s="14"/>
      <c r="AG2117" s="14" t="s">
        <v>509</v>
      </c>
      <c r="AH2117" s="14" t="str">
        <f t="shared" si="144"/>
        <v>NA</v>
      </c>
      <c r="AI2117" s="17" t="str">
        <f t="shared" si="145"/>
        <v>NA</v>
      </c>
      <c r="AJ2117" s="14"/>
      <c r="AK2117" s="14" t="s">
        <v>56</v>
      </c>
      <c r="AL2117" s="13" t="s">
        <v>1440</v>
      </c>
      <c r="AM2117" s="14">
        <v>2018</v>
      </c>
      <c r="AN2117" s="12" t="s">
        <v>257</v>
      </c>
      <c r="AO2117" s="12" t="s">
        <v>56</v>
      </c>
      <c r="AP2117" s="12"/>
      <c r="AQ2117" s="12" t="s">
        <v>56</v>
      </c>
      <c r="AR2117" s="12" t="s">
        <v>58</v>
      </c>
      <c r="AS2117" s="12" t="s">
        <v>62</v>
      </c>
      <c r="AT2117" s="12"/>
      <c r="AU2117" s="45" t="s">
        <v>2677</v>
      </c>
      <c r="AV2117" s="15"/>
      <c r="AW2117" s="12" t="str">
        <f>B2117&amp;C2117&amp;L2117&amp;M2117&amp;O2117&amp;U2117&amp;AL2117&amp;AM2117</f>
        <v>Saint LuciaSt. Lucia reserve (name unknown)Serranidaebiomassden1.91353711790393Steneck2018</v>
      </c>
    </row>
    <row r="2118" spans="1:49" ht="14.5" x14ac:dyDescent="0.35">
      <c r="A2118" s="12">
        <v>2117</v>
      </c>
      <c r="B2118" s="12" t="s">
        <v>2676</v>
      </c>
      <c r="C2118" s="15" t="s">
        <v>2831</v>
      </c>
      <c r="D2118" s="15" t="s">
        <v>1437</v>
      </c>
      <c r="E2118" s="12" t="s">
        <v>89</v>
      </c>
      <c r="F2118" s="13" t="s">
        <v>50</v>
      </c>
      <c r="G2118" s="13" t="s">
        <v>51</v>
      </c>
      <c r="H2118" s="13" t="s">
        <v>108</v>
      </c>
      <c r="I2118" s="13" t="s">
        <v>156</v>
      </c>
      <c r="J2118" s="14" t="s">
        <v>509</v>
      </c>
      <c r="K2118" s="17"/>
      <c r="L2118" s="14" t="s">
        <v>543</v>
      </c>
      <c r="M2118" s="14"/>
      <c r="N2118" s="14" t="s">
        <v>170</v>
      </c>
      <c r="O2118" s="17" t="s">
        <v>70</v>
      </c>
      <c r="P2118" s="14"/>
      <c r="Q2118" s="14"/>
      <c r="R2118" s="14"/>
      <c r="S2118" s="14">
        <v>243.7</v>
      </c>
      <c r="T2118" s="14">
        <v>438.3</v>
      </c>
      <c r="U2118" s="19">
        <f t="shared" si="143"/>
        <v>1.7985227739023391</v>
      </c>
      <c r="V2118" s="41">
        <f t="shared" si="146"/>
        <v>79.852277390233908</v>
      </c>
      <c r="W2118" s="14"/>
      <c r="X2118" s="14" t="s">
        <v>56</v>
      </c>
      <c r="Z2118" s="14" t="s">
        <v>58</v>
      </c>
      <c r="AA2118" s="17"/>
      <c r="AB2118" s="14" t="s">
        <v>57</v>
      </c>
      <c r="AC2118" s="14">
        <v>2013</v>
      </c>
      <c r="AD2118" s="14">
        <v>1</v>
      </c>
      <c r="AE2118" s="14"/>
      <c r="AF2118" s="14"/>
      <c r="AG2118" s="14" t="s">
        <v>509</v>
      </c>
      <c r="AH2118" s="14" t="str">
        <f t="shared" si="144"/>
        <v>NA</v>
      </c>
      <c r="AI2118" s="17" t="str">
        <f t="shared" si="145"/>
        <v>NA</v>
      </c>
      <c r="AJ2118" s="14"/>
      <c r="AK2118" s="14" t="s">
        <v>56</v>
      </c>
      <c r="AL2118" s="13" t="s">
        <v>1440</v>
      </c>
      <c r="AM2118" s="14">
        <v>2018</v>
      </c>
      <c r="AN2118" s="12" t="s">
        <v>257</v>
      </c>
      <c r="AO2118" s="12" t="s">
        <v>56</v>
      </c>
      <c r="AP2118" s="12"/>
      <c r="AQ2118" s="12" t="s">
        <v>56</v>
      </c>
      <c r="AR2118" s="12" t="s">
        <v>58</v>
      </c>
      <c r="AS2118" s="12" t="s">
        <v>62</v>
      </c>
      <c r="AT2118" s="12"/>
      <c r="AU2118" s="45" t="s">
        <v>2677</v>
      </c>
      <c r="AV2118" s="15"/>
      <c r="AW2118" s="12" t="str">
        <f>B2118&amp;C2118&amp;L2118&amp;M2118&amp;O2118&amp;U2118&amp;AL2118&amp;AM2118</f>
        <v>St Vincent and the GrenadinesMustique reserve (name unknown)Serranidaebiomassden1.79852277390234Steneck2018</v>
      </c>
    </row>
    <row r="2119" spans="1:49" ht="14.5" x14ac:dyDescent="0.35">
      <c r="A2119" s="12">
        <v>2118</v>
      </c>
      <c r="B2119" s="12" t="s">
        <v>2676</v>
      </c>
      <c r="C2119" s="15" t="s">
        <v>2834</v>
      </c>
      <c r="D2119" s="15" t="s">
        <v>1899</v>
      </c>
      <c r="E2119" s="12" t="s">
        <v>89</v>
      </c>
      <c r="F2119" s="13" t="s">
        <v>50</v>
      </c>
      <c r="G2119" s="13" t="s">
        <v>51</v>
      </c>
      <c r="H2119" s="13" t="s">
        <v>108</v>
      </c>
      <c r="I2119" s="13" t="s">
        <v>156</v>
      </c>
      <c r="J2119" s="14" t="s">
        <v>509</v>
      </c>
      <c r="K2119" s="17"/>
      <c r="L2119" s="14" t="s">
        <v>543</v>
      </c>
      <c r="M2119" s="14"/>
      <c r="N2119" s="14" t="s">
        <v>170</v>
      </c>
      <c r="O2119" s="17" t="s">
        <v>70</v>
      </c>
      <c r="P2119" s="14"/>
      <c r="Q2119" s="14"/>
      <c r="R2119" s="14"/>
      <c r="S2119" s="14">
        <v>132</v>
      </c>
      <c r="T2119" s="14">
        <v>487.3</v>
      </c>
      <c r="U2119" s="19">
        <f t="shared" si="143"/>
        <v>3.6916666666666669</v>
      </c>
      <c r="V2119" s="41">
        <f t="shared" si="146"/>
        <v>269.16666666666669</v>
      </c>
      <c r="W2119" s="14"/>
      <c r="X2119" s="14" t="s">
        <v>56</v>
      </c>
      <c r="Z2119" s="14" t="s">
        <v>58</v>
      </c>
      <c r="AA2119" s="17"/>
      <c r="AB2119" s="14" t="s">
        <v>57</v>
      </c>
      <c r="AC2119" s="14">
        <v>2013</v>
      </c>
      <c r="AD2119" s="14">
        <v>1</v>
      </c>
      <c r="AE2119" s="14"/>
      <c r="AF2119" s="14"/>
      <c r="AG2119" s="14" t="s">
        <v>509</v>
      </c>
      <c r="AH2119" s="14" t="str">
        <f t="shared" si="144"/>
        <v>NA</v>
      </c>
      <c r="AI2119" s="17" t="str">
        <f t="shared" si="145"/>
        <v>NA</v>
      </c>
      <c r="AJ2119" s="14"/>
      <c r="AK2119" s="14" t="s">
        <v>56</v>
      </c>
      <c r="AL2119" s="13" t="s">
        <v>1440</v>
      </c>
      <c r="AM2119" s="14">
        <v>2018</v>
      </c>
      <c r="AN2119" s="12" t="s">
        <v>257</v>
      </c>
      <c r="AO2119" s="12" t="s">
        <v>56</v>
      </c>
      <c r="AP2119" s="12"/>
      <c r="AQ2119" s="12" t="s">
        <v>56</v>
      </c>
      <c r="AR2119" s="12" t="s">
        <v>58</v>
      </c>
      <c r="AS2119" s="12" t="s">
        <v>62</v>
      </c>
      <c r="AT2119" s="12"/>
      <c r="AU2119" s="45" t="s">
        <v>2677</v>
      </c>
      <c r="AV2119" s="15"/>
      <c r="AW2119" s="12" t="str">
        <f>B2119&amp;C2119&amp;L2119&amp;M2119&amp;O2119&amp;U2119&amp;AL2119&amp;AM2119</f>
        <v>St Vincent and the GrenadinesTabago Cays Marine Park (name unknown)Serranidaebiomassden3.69166666666667Steneck2018</v>
      </c>
    </row>
    <row r="2120" spans="1:49" ht="14.5" x14ac:dyDescent="0.35">
      <c r="A2120" s="12">
        <v>2119</v>
      </c>
      <c r="B2120" s="15" t="s">
        <v>2675</v>
      </c>
      <c r="C2120" s="15" t="s">
        <v>2833</v>
      </c>
      <c r="D2120" s="15" t="s">
        <v>1889</v>
      </c>
      <c r="E2120" s="15" t="s">
        <v>89</v>
      </c>
      <c r="F2120" s="16" t="s">
        <v>50</v>
      </c>
      <c r="G2120" s="16" t="s">
        <v>51</v>
      </c>
      <c r="H2120" s="16" t="s">
        <v>108</v>
      </c>
      <c r="I2120" s="16" t="s">
        <v>156</v>
      </c>
      <c r="J2120" s="17" t="s">
        <v>509</v>
      </c>
      <c r="K2120" s="17"/>
      <c r="L2120" s="17" t="s">
        <v>627</v>
      </c>
      <c r="M2120" s="17"/>
      <c r="N2120" s="17" t="s">
        <v>170</v>
      </c>
      <c r="O2120" s="17" t="s">
        <v>70</v>
      </c>
      <c r="P2120" s="17"/>
      <c r="Q2120" s="17"/>
      <c r="R2120" s="17"/>
      <c r="S2120" s="17">
        <v>30</v>
      </c>
      <c r="T2120" s="17">
        <v>222.8</v>
      </c>
      <c r="U2120" s="20">
        <f t="shared" si="143"/>
        <v>7.4266666666666667</v>
      </c>
      <c r="V2120" s="41">
        <f t="shared" si="146"/>
        <v>642.66666666666663</v>
      </c>
      <c r="W2120" s="17"/>
      <c r="X2120" s="17" t="s">
        <v>56</v>
      </c>
      <c r="Y2120" s="17"/>
      <c r="Z2120" s="17" t="s">
        <v>58</v>
      </c>
      <c r="AA2120" s="17"/>
      <c r="AB2120" s="17" t="s">
        <v>57</v>
      </c>
      <c r="AC2120" s="17">
        <v>2013</v>
      </c>
      <c r="AD2120" s="17">
        <v>1</v>
      </c>
      <c r="AE2120" s="17"/>
      <c r="AF2120" s="17"/>
      <c r="AG2120" s="17" t="s">
        <v>509</v>
      </c>
      <c r="AH2120" s="14" t="str">
        <f t="shared" si="144"/>
        <v>NA</v>
      </c>
      <c r="AI2120" s="17" t="str">
        <f t="shared" si="145"/>
        <v>NA</v>
      </c>
      <c r="AJ2120" s="17"/>
      <c r="AK2120" s="17" t="s">
        <v>56</v>
      </c>
      <c r="AL2120" s="16" t="s">
        <v>1440</v>
      </c>
      <c r="AM2120" s="17">
        <v>2018</v>
      </c>
      <c r="AN2120" s="15" t="s">
        <v>257</v>
      </c>
      <c r="AO2120" s="15" t="s">
        <v>56</v>
      </c>
      <c r="AP2120" s="15"/>
      <c r="AQ2120" s="15" t="s">
        <v>56</v>
      </c>
      <c r="AR2120" s="15" t="s">
        <v>58</v>
      </c>
      <c r="AS2120" s="15" t="s">
        <v>62</v>
      </c>
      <c r="AT2120" s="15"/>
      <c r="AU2120" s="45" t="s">
        <v>2677</v>
      </c>
      <c r="AV2120" s="15"/>
      <c r="AW2120" s="12" t="str">
        <f>B2120&amp;C2120&amp;L2120&amp;M2120&amp;O2120&amp;U2120&amp;AL2120&amp;AM2120</f>
        <v>St Martin Island (Netherlands &amp; France)St. Maarten Reserve (name unknown)Lutjanidaebiomassden7.42666666666667Steneck2018</v>
      </c>
    </row>
    <row r="2121" spans="1:49" ht="14.5" x14ac:dyDescent="0.35">
      <c r="A2121" s="12">
        <v>2120</v>
      </c>
      <c r="B2121" s="15" t="s">
        <v>1881</v>
      </c>
      <c r="C2121" s="15" t="s">
        <v>2832</v>
      </c>
      <c r="D2121" s="15" t="s">
        <v>1882</v>
      </c>
      <c r="E2121" s="12" t="s">
        <v>89</v>
      </c>
      <c r="F2121" s="16" t="s">
        <v>50</v>
      </c>
      <c r="G2121" s="16" t="s">
        <v>51</v>
      </c>
      <c r="H2121" s="16" t="s">
        <v>108</v>
      </c>
      <c r="I2121" s="16" t="s">
        <v>156</v>
      </c>
      <c r="J2121" s="17" t="s">
        <v>509</v>
      </c>
      <c r="K2121" s="17"/>
      <c r="L2121" s="17" t="s">
        <v>627</v>
      </c>
      <c r="M2121" s="17"/>
      <c r="N2121" s="17" t="s">
        <v>170</v>
      </c>
      <c r="O2121" s="17" t="s">
        <v>70</v>
      </c>
      <c r="P2121" s="17"/>
      <c r="Q2121" s="17"/>
      <c r="R2121" s="17"/>
      <c r="S2121" s="17">
        <v>61.9</v>
      </c>
      <c r="T2121" s="17">
        <v>60.2</v>
      </c>
      <c r="U2121" s="19">
        <f t="shared" si="143"/>
        <v>0.97253634894991925</v>
      </c>
      <c r="V2121" s="41">
        <f t="shared" si="146"/>
        <v>-2.7463651050080751</v>
      </c>
      <c r="W2121" s="14"/>
      <c r="X2121" s="17" t="s">
        <v>56</v>
      </c>
      <c r="Y2121" s="17"/>
      <c r="Z2121" s="17" t="s">
        <v>58</v>
      </c>
      <c r="AA2121" s="17"/>
      <c r="AB2121" s="17" t="s">
        <v>57</v>
      </c>
      <c r="AC2121" s="17">
        <v>2013</v>
      </c>
      <c r="AD2121" s="17">
        <v>1</v>
      </c>
      <c r="AE2121" s="17"/>
      <c r="AF2121" s="17"/>
      <c r="AG2121" s="17" t="s">
        <v>509</v>
      </c>
      <c r="AH2121" s="14" t="str">
        <f t="shared" si="144"/>
        <v>NA</v>
      </c>
      <c r="AI2121" s="17" t="str">
        <f t="shared" si="145"/>
        <v>NA</v>
      </c>
      <c r="AJ2121" s="17"/>
      <c r="AK2121" s="17" t="s">
        <v>56</v>
      </c>
      <c r="AL2121" s="16" t="s">
        <v>1440</v>
      </c>
      <c r="AM2121" s="17">
        <v>2018</v>
      </c>
      <c r="AN2121" s="15" t="s">
        <v>257</v>
      </c>
      <c r="AO2121" s="15" t="s">
        <v>56</v>
      </c>
      <c r="AP2121" s="15"/>
      <c r="AQ2121" s="15" t="s">
        <v>56</v>
      </c>
      <c r="AR2121" s="15" t="s">
        <v>58</v>
      </c>
      <c r="AS2121" s="15" t="s">
        <v>62</v>
      </c>
      <c r="AT2121" s="12"/>
      <c r="AU2121" s="45" t="s">
        <v>2677</v>
      </c>
      <c r="AV2121" s="15"/>
      <c r="AW2121" s="12" t="str">
        <f>B2121&amp;C2121&amp;L2121&amp;M2121&amp;O2121&amp;U2121&amp;AL2121&amp;AM2121</f>
        <v>U.S. Virgin IslandsSt. Croix Reserve (name unknown)Lutjanidaebiomassden0.972536348949919Steneck2018</v>
      </c>
    </row>
    <row r="2122" spans="1:49" ht="14.5" x14ac:dyDescent="0.35">
      <c r="A2122" s="12">
        <v>2121</v>
      </c>
      <c r="B2122" s="15" t="s">
        <v>1887</v>
      </c>
      <c r="C2122" s="15" t="s">
        <v>2830</v>
      </c>
      <c r="D2122" s="15" t="s">
        <v>1888</v>
      </c>
      <c r="E2122" s="12" t="s">
        <v>89</v>
      </c>
      <c r="F2122" s="13" t="s">
        <v>50</v>
      </c>
      <c r="G2122" s="13" t="s">
        <v>51</v>
      </c>
      <c r="H2122" s="16" t="s">
        <v>108</v>
      </c>
      <c r="I2122" s="16" t="s">
        <v>156</v>
      </c>
      <c r="J2122" s="17" t="s">
        <v>509</v>
      </c>
      <c r="K2122" s="17"/>
      <c r="L2122" s="17" t="s">
        <v>627</v>
      </c>
      <c r="M2122" s="17"/>
      <c r="N2122" s="17" t="s">
        <v>170</v>
      </c>
      <c r="O2122" s="17" t="s">
        <v>70</v>
      </c>
      <c r="P2122" s="17"/>
      <c r="Q2122" s="17"/>
      <c r="R2122" s="17"/>
      <c r="S2122" s="17">
        <v>157.80000000000001</v>
      </c>
      <c r="T2122" s="17">
        <v>433.2</v>
      </c>
      <c r="U2122" s="19">
        <f t="shared" si="143"/>
        <v>2.7452471482889731</v>
      </c>
      <c r="V2122" s="41">
        <f t="shared" si="146"/>
        <v>174.52471482889732</v>
      </c>
      <c r="W2122" s="14"/>
      <c r="X2122" s="17" t="s">
        <v>56</v>
      </c>
      <c r="Y2122" s="17"/>
      <c r="Z2122" s="17" t="s">
        <v>58</v>
      </c>
      <c r="AA2122" s="17"/>
      <c r="AB2122" s="17" t="s">
        <v>57</v>
      </c>
      <c r="AC2122" s="17">
        <v>2013</v>
      </c>
      <c r="AD2122" s="17">
        <v>1</v>
      </c>
      <c r="AE2122" s="17"/>
      <c r="AF2122" s="17"/>
      <c r="AG2122" s="17" t="s">
        <v>509</v>
      </c>
      <c r="AH2122" s="14" t="str">
        <f t="shared" si="144"/>
        <v>NA</v>
      </c>
      <c r="AI2122" s="17" t="str">
        <f t="shared" si="145"/>
        <v>NA</v>
      </c>
      <c r="AJ2122" s="17"/>
      <c r="AK2122" s="17" t="s">
        <v>56</v>
      </c>
      <c r="AL2122" s="16" t="s">
        <v>1440</v>
      </c>
      <c r="AM2122" s="17">
        <v>2018</v>
      </c>
      <c r="AN2122" s="15" t="s">
        <v>257</v>
      </c>
      <c r="AO2122" s="15" t="s">
        <v>56</v>
      </c>
      <c r="AP2122" s="15"/>
      <c r="AQ2122" s="15" t="s">
        <v>56</v>
      </c>
      <c r="AR2122" s="15" t="s">
        <v>58</v>
      </c>
      <c r="AS2122" s="15" t="s">
        <v>62</v>
      </c>
      <c r="AT2122" s="12"/>
      <c r="AU2122" s="45" t="s">
        <v>2677</v>
      </c>
      <c r="AV2122" s="15"/>
      <c r="AW2122" s="12" t="str">
        <f>B2122&amp;C2122&amp;L2122&amp;M2122&amp;O2122&amp;U2122&amp;AL2122&amp;AM2122</f>
        <v>Saint LuciaSt. Lucia reserve (name unknown)Lutjanidaebiomassden2.74524714828897Steneck2018</v>
      </c>
    </row>
    <row r="2123" spans="1:49" ht="14.5" x14ac:dyDescent="0.35">
      <c r="A2123" s="12">
        <v>2122</v>
      </c>
      <c r="B2123" s="15" t="s">
        <v>2676</v>
      </c>
      <c r="C2123" s="15" t="s">
        <v>2831</v>
      </c>
      <c r="D2123" s="15" t="s">
        <v>1437</v>
      </c>
      <c r="E2123" s="12" t="s">
        <v>89</v>
      </c>
      <c r="F2123" s="13" t="s">
        <v>50</v>
      </c>
      <c r="G2123" s="13" t="s">
        <v>51</v>
      </c>
      <c r="H2123" s="16" t="s">
        <v>108</v>
      </c>
      <c r="I2123" s="16" t="s">
        <v>156</v>
      </c>
      <c r="J2123" s="17" t="s">
        <v>509</v>
      </c>
      <c r="K2123" s="17"/>
      <c r="L2123" s="17" t="s">
        <v>627</v>
      </c>
      <c r="M2123" s="17"/>
      <c r="N2123" s="17" t="s">
        <v>170</v>
      </c>
      <c r="O2123" s="17" t="s">
        <v>70</v>
      </c>
      <c r="P2123" s="17"/>
      <c r="Q2123" s="17"/>
      <c r="R2123" s="17"/>
      <c r="S2123" s="17">
        <v>263.39999999999998</v>
      </c>
      <c r="T2123" s="17">
        <v>545.4</v>
      </c>
      <c r="U2123" s="19">
        <f t="shared" si="143"/>
        <v>2.070615034168565</v>
      </c>
      <c r="V2123" s="41">
        <f t="shared" si="146"/>
        <v>107.0615034168565</v>
      </c>
      <c r="W2123" s="14"/>
      <c r="X2123" s="17" t="s">
        <v>56</v>
      </c>
      <c r="Y2123" s="17"/>
      <c r="Z2123" s="17" t="s">
        <v>58</v>
      </c>
      <c r="AA2123" s="17"/>
      <c r="AB2123" s="17" t="s">
        <v>57</v>
      </c>
      <c r="AC2123" s="17">
        <v>2013</v>
      </c>
      <c r="AD2123" s="17">
        <v>1</v>
      </c>
      <c r="AE2123" s="17"/>
      <c r="AF2123" s="17"/>
      <c r="AG2123" s="17" t="s">
        <v>509</v>
      </c>
      <c r="AH2123" s="14" t="str">
        <f t="shared" si="144"/>
        <v>NA</v>
      </c>
      <c r="AI2123" s="17" t="str">
        <f t="shared" si="145"/>
        <v>NA</v>
      </c>
      <c r="AJ2123" s="17"/>
      <c r="AK2123" s="17" t="s">
        <v>56</v>
      </c>
      <c r="AL2123" s="16" t="s">
        <v>1440</v>
      </c>
      <c r="AM2123" s="17">
        <v>2018</v>
      </c>
      <c r="AN2123" s="15" t="s">
        <v>257</v>
      </c>
      <c r="AO2123" s="15" t="s">
        <v>56</v>
      </c>
      <c r="AP2123" s="15"/>
      <c r="AQ2123" s="15" t="s">
        <v>56</v>
      </c>
      <c r="AR2123" s="15" t="s">
        <v>58</v>
      </c>
      <c r="AS2123" s="15" t="s">
        <v>62</v>
      </c>
      <c r="AT2123" s="12"/>
      <c r="AU2123" s="45" t="s">
        <v>2677</v>
      </c>
      <c r="AV2123" s="15"/>
      <c r="AW2123" s="12" t="str">
        <f>B2123&amp;C2123&amp;L2123&amp;M2123&amp;O2123&amp;U2123&amp;AL2123&amp;AM2123</f>
        <v>St Vincent and the GrenadinesMustique reserve (name unknown)Lutjanidaebiomassden2.07061503416856Steneck2018</v>
      </c>
    </row>
    <row r="2124" spans="1:49" ht="14.5" x14ac:dyDescent="0.35">
      <c r="A2124" s="12">
        <v>2123</v>
      </c>
      <c r="B2124" s="15" t="s">
        <v>2676</v>
      </c>
      <c r="C2124" s="15" t="s">
        <v>2834</v>
      </c>
      <c r="D2124" s="15" t="s">
        <v>1899</v>
      </c>
      <c r="E2124" s="12" t="s">
        <v>89</v>
      </c>
      <c r="F2124" s="13" t="s">
        <v>50</v>
      </c>
      <c r="G2124" s="13" t="s">
        <v>51</v>
      </c>
      <c r="H2124" s="16" t="s">
        <v>108</v>
      </c>
      <c r="I2124" s="16" t="s">
        <v>156</v>
      </c>
      <c r="J2124" s="17" t="s">
        <v>509</v>
      </c>
      <c r="K2124" s="17"/>
      <c r="L2124" s="17" t="s">
        <v>627</v>
      </c>
      <c r="M2124" s="17"/>
      <c r="N2124" s="17" t="s">
        <v>170</v>
      </c>
      <c r="O2124" s="17" t="s">
        <v>70</v>
      </c>
      <c r="P2124" s="17"/>
      <c r="Q2124" s="17"/>
      <c r="R2124" s="17"/>
      <c r="S2124" s="17">
        <v>56.6</v>
      </c>
      <c r="T2124" s="17">
        <v>477.8</v>
      </c>
      <c r="U2124" s="19">
        <f t="shared" si="143"/>
        <v>8.4416961130742045</v>
      </c>
      <c r="V2124" s="41">
        <f t="shared" si="146"/>
        <v>744.1696113074205</v>
      </c>
      <c r="W2124" s="14"/>
      <c r="X2124" s="17" t="s">
        <v>56</v>
      </c>
      <c r="Y2124" s="17"/>
      <c r="Z2124" s="17" t="s">
        <v>58</v>
      </c>
      <c r="AA2124" s="17"/>
      <c r="AB2124" s="17" t="s">
        <v>57</v>
      </c>
      <c r="AC2124" s="17">
        <v>2013</v>
      </c>
      <c r="AD2124" s="17">
        <v>1</v>
      </c>
      <c r="AE2124" s="17"/>
      <c r="AF2124" s="17"/>
      <c r="AG2124" s="17" t="s">
        <v>509</v>
      </c>
      <c r="AH2124" s="14" t="str">
        <f t="shared" si="144"/>
        <v>NA</v>
      </c>
      <c r="AI2124" s="17" t="str">
        <f t="shared" si="145"/>
        <v>NA</v>
      </c>
      <c r="AJ2124" s="17"/>
      <c r="AK2124" s="17" t="s">
        <v>56</v>
      </c>
      <c r="AL2124" s="16" t="s">
        <v>1440</v>
      </c>
      <c r="AM2124" s="17">
        <v>2018</v>
      </c>
      <c r="AN2124" s="15" t="s">
        <v>257</v>
      </c>
      <c r="AO2124" s="15" t="s">
        <v>56</v>
      </c>
      <c r="AP2124" s="15"/>
      <c r="AQ2124" s="15" t="s">
        <v>56</v>
      </c>
      <c r="AR2124" s="15" t="s">
        <v>58</v>
      </c>
      <c r="AS2124" s="15" t="s">
        <v>62</v>
      </c>
      <c r="AT2124" s="12"/>
      <c r="AU2124" s="45" t="s">
        <v>2677</v>
      </c>
      <c r="AV2124" s="15"/>
      <c r="AW2124" s="12" t="str">
        <f>B2124&amp;C2124&amp;L2124&amp;M2124&amp;O2124&amp;U2124&amp;AL2124&amp;AM2124</f>
        <v>St Vincent and the GrenadinesTabago Cays Marine Park (name unknown)Lutjanidaebiomassden8.4416961130742Steneck2018</v>
      </c>
    </row>
    <row r="2125" spans="1:49" ht="14.5" x14ac:dyDescent="0.35">
      <c r="A2125" s="12">
        <v>2124</v>
      </c>
      <c r="B2125" s="15" t="s">
        <v>2675</v>
      </c>
      <c r="C2125" s="15" t="s">
        <v>2833</v>
      </c>
      <c r="D2125" s="15" t="s">
        <v>1889</v>
      </c>
      <c r="E2125" s="12" t="s">
        <v>89</v>
      </c>
      <c r="F2125" s="13" t="s">
        <v>50</v>
      </c>
      <c r="G2125" s="13" t="s">
        <v>51</v>
      </c>
      <c r="H2125" s="16" t="s">
        <v>108</v>
      </c>
      <c r="I2125" s="16" t="s">
        <v>156</v>
      </c>
      <c r="J2125" s="17" t="s">
        <v>509</v>
      </c>
      <c r="K2125" s="17"/>
      <c r="L2125" s="17" t="s">
        <v>1442</v>
      </c>
      <c r="M2125" s="17"/>
      <c r="N2125" s="17" t="s">
        <v>120</v>
      </c>
      <c r="O2125" s="17" t="s">
        <v>86</v>
      </c>
      <c r="P2125" s="17"/>
      <c r="Q2125" s="17"/>
      <c r="R2125" s="17"/>
      <c r="S2125" s="17">
        <v>1.9</v>
      </c>
      <c r="T2125" s="17">
        <v>1.8</v>
      </c>
      <c r="U2125" s="19">
        <f t="shared" si="143"/>
        <v>0.94736842105263164</v>
      </c>
      <c r="V2125" s="41">
        <f t="shared" si="146"/>
        <v>-5.2631578947368363</v>
      </c>
      <c r="W2125" s="14"/>
      <c r="X2125" s="17" t="s">
        <v>56</v>
      </c>
      <c r="Y2125" s="17"/>
      <c r="Z2125" s="17" t="s">
        <v>58</v>
      </c>
      <c r="AA2125" s="17"/>
      <c r="AB2125" s="17" t="s">
        <v>57</v>
      </c>
      <c r="AC2125" s="17">
        <v>2013</v>
      </c>
      <c r="AD2125" s="17">
        <v>1</v>
      </c>
      <c r="AE2125" s="17"/>
      <c r="AF2125" s="17"/>
      <c r="AG2125" s="17" t="s">
        <v>509</v>
      </c>
      <c r="AH2125" s="14" t="str">
        <f t="shared" si="144"/>
        <v>NA</v>
      </c>
      <c r="AI2125" s="17" t="str">
        <f t="shared" si="145"/>
        <v>NA</v>
      </c>
      <c r="AJ2125" s="17"/>
      <c r="AK2125" s="17" t="s">
        <v>56</v>
      </c>
      <c r="AL2125" s="16" t="s">
        <v>1440</v>
      </c>
      <c r="AM2125" s="17">
        <v>2018</v>
      </c>
      <c r="AN2125" s="15" t="s">
        <v>257</v>
      </c>
      <c r="AO2125" s="15" t="s">
        <v>56</v>
      </c>
      <c r="AP2125" s="15"/>
      <c r="AQ2125" s="15" t="s">
        <v>56</v>
      </c>
      <c r="AR2125" s="15" t="s">
        <v>58</v>
      </c>
      <c r="AS2125" s="15" t="s">
        <v>62</v>
      </c>
      <c r="AT2125" s="12"/>
      <c r="AU2125" s="45" t="s">
        <v>2677</v>
      </c>
      <c r="AV2125" s="15"/>
      <c r="AW2125" s="12" t="str">
        <f>B2125&amp;C2125&amp;L2125&amp;M2125&amp;O2125&amp;U2125&amp;AL2125&amp;AM2125</f>
        <v>St Martin Island (Netherlands &amp; France)St. Maarten Reserve (name unknown)Diademadensity0.947368421052632Steneck2018</v>
      </c>
    </row>
    <row r="2126" spans="1:49" ht="14.5" x14ac:dyDescent="0.35">
      <c r="A2126" s="12">
        <v>2125</v>
      </c>
      <c r="B2126" s="15" t="s">
        <v>1881</v>
      </c>
      <c r="C2126" s="15" t="s">
        <v>2832</v>
      </c>
      <c r="D2126" s="15" t="s">
        <v>1882</v>
      </c>
      <c r="E2126" s="12" t="s">
        <v>89</v>
      </c>
      <c r="F2126" s="13" t="s">
        <v>50</v>
      </c>
      <c r="G2126" s="13" t="s">
        <v>51</v>
      </c>
      <c r="H2126" s="16" t="s">
        <v>108</v>
      </c>
      <c r="I2126" s="16" t="s">
        <v>156</v>
      </c>
      <c r="J2126" s="17" t="s">
        <v>509</v>
      </c>
      <c r="K2126" s="17"/>
      <c r="L2126" s="17" t="s">
        <v>1442</v>
      </c>
      <c r="M2126" s="17"/>
      <c r="N2126" s="17" t="s">
        <v>120</v>
      </c>
      <c r="O2126" s="17" t="s">
        <v>86</v>
      </c>
      <c r="P2126" s="17"/>
      <c r="Q2126" s="17"/>
      <c r="R2126" s="17"/>
      <c r="S2126" s="17">
        <v>2.6</v>
      </c>
      <c r="T2126" s="17">
        <v>0</v>
      </c>
      <c r="U2126" s="19">
        <f t="shared" si="143"/>
        <v>0</v>
      </c>
      <c r="V2126" s="41">
        <f t="shared" si="146"/>
        <v>-100</v>
      </c>
      <c r="W2126" s="14"/>
      <c r="X2126" s="17" t="s">
        <v>56</v>
      </c>
      <c r="Y2126" s="17"/>
      <c r="Z2126" s="17" t="s">
        <v>58</v>
      </c>
      <c r="AA2126" s="17"/>
      <c r="AB2126" s="17" t="s">
        <v>57</v>
      </c>
      <c r="AC2126" s="17">
        <v>2013</v>
      </c>
      <c r="AD2126" s="17">
        <v>1</v>
      </c>
      <c r="AE2126" s="17"/>
      <c r="AF2126" s="17"/>
      <c r="AG2126" s="17" t="s">
        <v>509</v>
      </c>
      <c r="AH2126" s="14" t="str">
        <f t="shared" si="144"/>
        <v>NA</v>
      </c>
      <c r="AI2126" s="17" t="str">
        <f t="shared" si="145"/>
        <v>NA</v>
      </c>
      <c r="AJ2126" s="17"/>
      <c r="AK2126" s="17" t="s">
        <v>56</v>
      </c>
      <c r="AL2126" s="16" t="s">
        <v>1440</v>
      </c>
      <c r="AM2126" s="17">
        <v>2018</v>
      </c>
      <c r="AN2126" s="15" t="s">
        <v>257</v>
      </c>
      <c r="AO2126" s="15" t="s">
        <v>56</v>
      </c>
      <c r="AP2126" s="15"/>
      <c r="AQ2126" s="15" t="s">
        <v>56</v>
      </c>
      <c r="AR2126" s="15" t="s">
        <v>58</v>
      </c>
      <c r="AS2126" s="15" t="s">
        <v>62</v>
      </c>
      <c r="AT2126" s="12"/>
      <c r="AU2126" s="45" t="s">
        <v>2677</v>
      </c>
      <c r="AV2126" s="15"/>
      <c r="AW2126" s="12" t="str">
        <f>B2126&amp;C2126&amp;L2126&amp;M2126&amp;O2126&amp;U2126&amp;AL2126&amp;AM2126</f>
        <v>U.S. Virgin IslandsSt. Croix Reserve (name unknown)Diademadensity0Steneck2018</v>
      </c>
    </row>
    <row r="2127" spans="1:49" ht="14.5" x14ac:dyDescent="0.35">
      <c r="A2127" s="12">
        <v>2126</v>
      </c>
      <c r="B2127" s="15" t="s">
        <v>1887</v>
      </c>
      <c r="C2127" s="15" t="s">
        <v>2830</v>
      </c>
      <c r="D2127" s="15" t="s">
        <v>1888</v>
      </c>
      <c r="E2127" s="15" t="s">
        <v>89</v>
      </c>
      <c r="F2127" s="16" t="s">
        <v>50</v>
      </c>
      <c r="G2127" s="16" t="s">
        <v>51</v>
      </c>
      <c r="H2127" s="16" t="s">
        <v>108</v>
      </c>
      <c r="I2127" s="16" t="s">
        <v>156</v>
      </c>
      <c r="J2127" s="17" t="s">
        <v>509</v>
      </c>
      <c r="K2127" s="17"/>
      <c r="L2127" s="17" t="s">
        <v>1442</v>
      </c>
      <c r="M2127" s="17"/>
      <c r="N2127" s="17" t="s">
        <v>120</v>
      </c>
      <c r="O2127" s="17" t="s">
        <v>86</v>
      </c>
      <c r="P2127" s="17"/>
      <c r="Q2127" s="17"/>
      <c r="R2127" s="17"/>
      <c r="S2127" s="17">
        <v>2.4</v>
      </c>
      <c r="T2127" s="17">
        <v>6.7</v>
      </c>
      <c r="U2127" s="20">
        <f t="shared" si="143"/>
        <v>2.791666666666667</v>
      </c>
      <c r="V2127" s="41">
        <f t="shared" si="146"/>
        <v>179.16666666666669</v>
      </c>
      <c r="W2127" s="17"/>
      <c r="X2127" s="17" t="s">
        <v>56</v>
      </c>
      <c r="Y2127" s="17"/>
      <c r="Z2127" s="17" t="s">
        <v>58</v>
      </c>
      <c r="AA2127" s="17"/>
      <c r="AB2127" s="17" t="s">
        <v>57</v>
      </c>
      <c r="AC2127" s="17">
        <v>2013</v>
      </c>
      <c r="AD2127" s="17">
        <v>1</v>
      </c>
      <c r="AE2127" s="17"/>
      <c r="AF2127" s="17"/>
      <c r="AG2127" s="17" t="s">
        <v>509</v>
      </c>
      <c r="AH2127" s="14" t="str">
        <f t="shared" si="144"/>
        <v>NA</v>
      </c>
      <c r="AI2127" s="17" t="str">
        <f t="shared" si="145"/>
        <v>NA</v>
      </c>
      <c r="AJ2127" s="17"/>
      <c r="AK2127" s="17" t="s">
        <v>56</v>
      </c>
      <c r="AL2127" s="16" t="s">
        <v>1440</v>
      </c>
      <c r="AM2127" s="17">
        <v>2018</v>
      </c>
      <c r="AN2127" s="15" t="s">
        <v>257</v>
      </c>
      <c r="AO2127" s="15" t="s">
        <v>56</v>
      </c>
      <c r="AP2127" s="15"/>
      <c r="AQ2127" s="15" t="s">
        <v>56</v>
      </c>
      <c r="AR2127" s="15" t="s">
        <v>58</v>
      </c>
      <c r="AS2127" s="15" t="s">
        <v>62</v>
      </c>
      <c r="AT2127" s="15"/>
      <c r="AU2127" s="45" t="s">
        <v>2677</v>
      </c>
      <c r="AV2127" s="15"/>
      <c r="AW2127" s="12" t="str">
        <f>B2127&amp;C2127&amp;L2127&amp;M2127&amp;O2127&amp;U2127&amp;AL2127&amp;AM2127</f>
        <v>Saint LuciaSt. Lucia reserve (name unknown)Diademadensity2.79166666666667Steneck2018</v>
      </c>
    </row>
    <row r="2128" spans="1:49" ht="14.5" x14ac:dyDescent="0.35">
      <c r="A2128" s="12">
        <v>2127</v>
      </c>
      <c r="B2128" s="15" t="s">
        <v>2676</v>
      </c>
      <c r="C2128" s="15" t="s">
        <v>2831</v>
      </c>
      <c r="D2128" s="15" t="s">
        <v>1437</v>
      </c>
      <c r="E2128" s="12" t="s">
        <v>89</v>
      </c>
      <c r="F2128" s="13" t="s">
        <v>50</v>
      </c>
      <c r="G2128" s="13" t="s">
        <v>51</v>
      </c>
      <c r="H2128" s="16" t="s">
        <v>108</v>
      </c>
      <c r="I2128" s="16" t="s">
        <v>156</v>
      </c>
      <c r="J2128" s="17" t="s">
        <v>509</v>
      </c>
      <c r="K2128" s="17"/>
      <c r="L2128" s="17" t="s">
        <v>1442</v>
      </c>
      <c r="M2128" s="17"/>
      <c r="N2128" s="17" t="s">
        <v>120</v>
      </c>
      <c r="O2128" s="17" t="s">
        <v>86</v>
      </c>
      <c r="P2128" s="17"/>
      <c r="Q2128" s="17"/>
      <c r="R2128" s="17"/>
      <c r="S2128" s="17">
        <v>1.6</v>
      </c>
      <c r="T2128" s="17">
        <v>0.5</v>
      </c>
      <c r="U2128" s="19">
        <f t="shared" si="143"/>
        <v>0.3125</v>
      </c>
      <c r="V2128" s="41">
        <f t="shared" si="146"/>
        <v>-68.75</v>
      </c>
      <c r="W2128" s="14"/>
      <c r="X2128" s="17" t="s">
        <v>56</v>
      </c>
      <c r="Y2128" s="17"/>
      <c r="Z2128" s="17" t="s">
        <v>58</v>
      </c>
      <c r="AA2128" s="17"/>
      <c r="AB2128" s="17" t="s">
        <v>57</v>
      </c>
      <c r="AC2128" s="17">
        <v>2013</v>
      </c>
      <c r="AD2128" s="17">
        <v>1</v>
      </c>
      <c r="AE2128" s="17"/>
      <c r="AF2128" s="17"/>
      <c r="AG2128" s="17" t="s">
        <v>509</v>
      </c>
      <c r="AH2128" s="14" t="str">
        <f t="shared" si="144"/>
        <v>NA</v>
      </c>
      <c r="AI2128" s="17" t="str">
        <f t="shared" si="145"/>
        <v>NA</v>
      </c>
      <c r="AJ2128" s="17"/>
      <c r="AK2128" s="17" t="s">
        <v>56</v>
      </c>
      <c r="AL2128" s="16" t="s">
        <v>1440</v>
      </c>
      <c r="AM2128" s="17">
        <v>2018</v>
      </c>
      <c r="AN2128" s="15" t="s">
        <v>257</v>
      </c>
      <c r="AO2128" s="15" t="s">
        <v>56</v>
      </c>
      <c r="AP2128" s="15"/>
      <c r="AQ2128" s="15" t="s">
        <v>56</v>
      </c>
      <c r="AR2128" s="15" t="s">
        <v>58</v>
      </c>
      <c r="AS2128" s="15" t="s">
        <v>62</v>
      </c>
      <c r="AT2128" s="12"/>
      <c r="AU2128" s="45" t="s">
        <v>2677</v>
      </c>
      <c r="AV2128" s="15"/>
      <c r="AW2128" s="12" t="str">
        <f>B2128&amp;C2128&amp;L2128&amp;M2128&amp;O2128&amp;U2128&amp;AL2128&amp;AM2128</f>
        <v>St Vincent and the GrenadinesMustique reserve (name unknown)Diademadensity0.3125Steneck2018</v>
      </c>
    </row>
    <row r="2129" spans="1:49" ht="14.5" x14ac:dyDescent="0.35">
      <c r="A2129" s="12">
        <v>2128</v>
      </c>
      <c r="B2129" s="15" t="s">
        <v>2676</v>
      </c>
      <c r="C2129" s="15" t="s">
        <v>2834</v>
      </c>
      <c r="D2129" s="15" t="s">
        <v>1899</v>
      </c>
      <c r="E2129" s="12" t="s">
        <v>89</v>
      </c>
      <c r="F2129" s="13" t="s">
        <v>50</v>
      </c>
      <c r="G2129" s="13" t="s">
        <v>51</v>
      </c>
      <c r="H2129" s="16" t="s">
        <v>108</v>
      </c>
      <c r="I2129" s="16" t="s">
        <v>156</v>
      </c>
      <c r="J2129" s="17" t="s">
        <v>509</v>
      </c>
      <c r="K2129" s="17"/>
      <c r="L2129" s="17" t="s">
        <v>1442</v>
      </c>
      <c r="M2129" s="17"/>
      <c r="N2129" s="17" t="s">
        <v>120</v>
      </c>
      <c r="O2129" s="17" t="s">
        <v>86</v>
      </c>
      <c r="P2129" s="17"/>
      <c r="Q2129" s="17"/>
      <c r="R2129" s="17"/>
      <c r="S2129" s="17">
        <v>0.5</v>
      </c>
      <c r="T2129" s="17">
        <v>0.2</v>
      </c>
      <c r="U2129" s="19">
        <f t="shared" si="143"/>
        <v>0.4</v>
      </c>
      <c r="V2129" s="41">
        <f t="shared" si="146"/>
        <v>-60</v>
      </c>
      <c r="W2129" s="14"/>
      <c r="X2129" s="17" t="s">
        <v>56</v>
      </c>
      <c r="Y2129" s="17"/>
      <c r="Z2129" s="17" t="s">
        <v>58</v>
      </c>
      <c r="AA2129" s="17"/>
      <c r="AB2129" s="17" t="s">
        <v>57</v>
      </c>
      <c r="AC2129" s="17">
        <v>2013</v>
      </c>
      <c r="AD2129" s="17">
        <v>1</v>
      </c>
      <c r="AE2129" s="17"/>
      <c r="AF2129" s="17"/>
      <c r="AG2129" s="17" t="s">
        <v>509</v>
      </c>
      <c r="AH2129" s="14" t="str">
        <f t="shared" si="144"/>
        <v>NA</v>
      </c>
      <c r="AI2129" s="17" t="str">
        <f t="shared" si="145"/>
        <v>NA</v>
      </c>
      <c r="AJ2129" s="17"/>
      <c r="AK2129" s="17" t="s">
        <v>56</v>
      </c>
      <c r="AL2129" s="16" t="s">
        <v>1440</v>
      </c>
      <c r="AM2129" s="17">
        <v>2018</v>
      </c>
      <c r="AN2129" s="15" t="s">
        <v>257</v>
      </c>
      <c r="AO2129" s="15" t="s">
        <v>56</v>
      </c>
      <c r="AP2129" s="15"/>
      <c r="AQ2129" s="15" t="s">
        <v>56</v>
      </c>
      <c r="AR2129" s="15" t="s">
        <v>58</v>
      </c>
      <c r="AS2129" s="15" t="s">
        <v>62</v>
      </c>
      <c r="AT2129" s="12"/>
      <c r="AU2129" s="45" t="s">
        <v>2677</v>
      </c>
      <c r="AV2129" s="15"/>
      <c r="AW2129" s="12" t="str">
        <f>B2129&amp;C2129&amp;L2129&amp;M2129&amp;O2129&amp;U2129&amp;AL2129&amp;AM2129</f>
        <v>St Vincent and the GrenadinesTabago Cays Marine Park (name unknown)Diademadensity0.4Steneck2018</v>
      </c>
    </row>
    <row r="2130" spans="1:49" ht="14.5" x14ac:dyDescent="0.35">
      <c r="A2130" s="12">
        <v>2129</v>
      </c>
      <c r="B2130" s="15" t="s">
        <v>2675</v>
      </c>
      <c r="C2130" s="15" t="s">
        <v>2833</v>
      </c>
      <c r="D2130" s="15" t="s">
        <v>1889</v>
      </c>
      <c r="E2130" s="15" t="s">
        <v>89</v>
      </c>
      <c r="F2130" s="16" t="s">
        <v>50</v>
      </c>
      <c r="G2130" s="16" t="s">
        <v>51</v>
      </c>
      <c r="H2130" s="16" t="s">
        <v>108</v>
      </c>
      <c r="I2130" s="16" t="s">
        <v>156</v>
      </c>
      <c r="J2130" s="17" t="s">
        <v>509</v>
      </c>
      <c r="K2130" s="17"/>
      <c r="L2130" s="17"/>
      <c r="M2130" s="17" t="s">
        <v>102</v>
      </c>
      <c r="N2130" s="53" t="s">
        <v>98</v>
      </c>
      <c r="O2130" s="17" t="s">
        <v>101</v>
      </c>
      <c r="P2130" s="17"/>
      <c r="Q2130" s="17"/>
      <c r="R2130" s="17"/>
      <c r="S2130" s="17">
        <v>6.6</v>
      </c>
      <c r="T2130" s="17">
        <v>20.2</v>
      </c>
      <c r="U2130" s="20">
        <f t="shared" si="143"/>
        <v>3.0606060606060606</v>
      </c>
      <c r="V2130" s="41">
        <f t="shared" si="146"/>
        <v>206.06060606060606</v>
      </c>
      <c r="W2130" s="17"/>
      <c r="X2130" s="17" t="s">
        <v>56</v>
      </c>
      <c r="Y2130" s="17"/>
      <c r="Z2130" s="17" t="s">
        <v>58</v>
      </c>
      <c r="AA2130" s="17"/>
      <c r="AB2130" s="17" t="s">
        <v>57</v>
      </c>
      <c r="AC2130" s="17">
        <v>2013</v>
      </c>
      <c r="AD2130" s="17">
        <v>1</v>
      </c>
      <c r="AE2130" s="17"/>
      <c r="AF2130" s="17"/>
      <c r="AG2130" s="17" t="s">
        <v>509</v>
      </c>
      <c r="AH2130" s="14" t="str">
        <f t="shared" si="144"/>
        <v>NA</v>
      </c>
      <c r="AI2130" s="17" t="str">
        <f t="shared" si="145"/>
        <v>NA</v>
      </c>
      <c r="AJ2130" s="17"/>
      <c r="AK2130" s="17" t="s">
        <v>56</v>
      </c>
      <c r="AL2130" s="16" t="s">
        <v>1440</v>
      </c>
      <c r="AM2130" s="17">
        <v>2018</v>
      </c>
      <c r="AN2130" s="15" t="s">
        <v>257</v>
      </c>
      <c r="AO2130" s="15" t="s">
        <v>56</v>
      </c>
      <c r="AP2130" s="15"/>
      <c r="AQ2130" s="15" t="s">
        <v>56</v>
      </c>
      <c r="AR2130" s="15" t="s">
        <v>58</v>
      </c>
      <c r="AS2130" s="15" t="s">
        <v>62</v>
      </c>
      <c r="AT2130" s="15"/>
      <c r="AU2130" s="45" t="s">
        <v>2677</v>
      </c>
      <c r="AV2130" s="15"/>
      <c r="AW2130" s="12" t="str">
        <f>B2130&amp;C2130&amp;L2130&amp;M2130&amp;O2130&amp;U2130&amp;AL2130&amp;AM2130</f>
        <v>St Martin Island (Netherlands &amp; France)St. Maarten Reserve (name unknown)Crustose coralline algaecover3.06060606060606Steneck2018</v>
      </c>
    </row>
    <row r="2131" spans="1:49" ht="14.5" x14ac:dyDescent="0.35">
      <c r="A2131" s="12">
        <v>2130</v>
      </c>
      <c r="B2131" s="15" t="s">
        <v>1881</v>
      </c>
      <c r="C2131" s="15" t="s">
        <v>2832</v>
      </c>
      <c r="D2131" s="15" t="s">
        <v>1882</v>
      </c>
      <c r="E2131" s="12" t="s">
        <v>89</v>
      </c>
      <c r="F2131" s="16" t="s">
        <v>50</v>
      </c>
      <c r="G2131" s="16" t="s">
        <v>51</v>
      </c>
      <c r="H2131" s="16" t="s">
        <v>108</v>
      </c>
      <c r="I2131" s="16" t="s">
        <v>156</v>
      </c>
      <c r="J2131" s="17" t="s">
        <v>509</v>
      </c>
      <c r="K2131" s="17"/>
      <c r="L2131" s="17"/>
      <c r="M2131" s="17" t="s">
        <v>102</v>
      </c>
      <c r="N2131" s="53" t="s">
        <v>98</v>
      </c>
      <c r="O2131" s="17" t="s">
        <v>101</v>
      </c>
      <c r="P2131" s="17"/>
      <c r="Q2131" s="17"/>
      <c r="R2131" s="17"/>
      <c r="S2131" s="17">
        <v>7.6</v>
      </c>
      <c r="T2131" s="17">
        <v>10.4</v>
      </c>
      <c r="U2131" s="19">
        <f t="shared" ref="U2131:U2194" si="147">IFERROR(IF(AND(Q2131="",R2131="",S2131="",T2131=""),"",IF(AND(Q2131&lt;&gt;"",R2131&lt;&gt;"",S2131&lt;&gt;"",T2131&lt;&gt;""),(T2131/R2131)/(S2131/Q2131),IF(AND(Q2131&lt;&gt;"",R2131&lt;&gt;""),R2131/Q2131,IF(AND(S2131&lt;&gt;"",T2131&lt;&gt;""),T2131/S2131,IF(AND(Q2131&lt;&gt;"",S2131&lt;&gt;""),Q2131/S2131,IF(AND(R2131&lt;&gt;"",T2131&lt;&gt;""),T2131/R2131)))))), "N/A")</f>
        <v>1.368421052631579</v>
      </c>
      <c r="V2131" s="41">
        <f t="shared" si="146"/>
        <v>36.842105263157897</v>
      </c>
      <c r="W2131" s="14"/>
      <c r="X2131" s="17" t="s">
        <v>56</v>
      </c>
      <c r="Y2131" s="17"/>
      <c r="Z2131" s="17" t="s">
        <v>58</v>
      </c>
      <c r="AA2131" s="17"/>
      <c r="AB2131" s="17" t="s">
        <v>57</v>
      </c>
      <c r="AC2131" s="17">
        <v>2013</v>
      </c>
      <c r="AD2131" s="17">
        <v>1</v>
      </c>
      <c r="AE2131" s="17"/>
      <c r="AF2131" s="17"/>
      <c r="AG2131" s="17" t="s">
        <v>509</v>
      </c>
      <c r="AH2131" s="14" t="str">
        <f t="shared" si="144"/>
        <v>NA</v>
      </c>
      <c r="AI2131" s="17" t="str">
        <f t="shared" si="145"/>
        <v>NA</v>
      </c>
      <c r="AJ2131" s="17"/>
      <c r="AK2131" s="17" t="s">
        <v>56</v>
      </c>
      <c r="AL2131" s="16" t="s">
        <v>1440</v>
      </c>
      <c r="AM2131" s="17">
        <v>2018</v>
      </c>
      <c r="AN2131" s="15" t="s">
        <v>257</v>
      </c>
      <c r="AO2131" s="15" t="s">
        <v>56</v>
      </c>
      <c r="AP2131" s="15"/>
      <c r="AQ2131" s="15" t="s">
        <v>56</v>
      </c>
      <c r="AR2131" s="15" t="s">
        <v>58</v>
      </c>
      <c r="AS2131" s="15" t="s">
        <v>62</v>
      </c>
      <c r="AT2131" s="12"/>
      <c r="AU2131" s="45" t="s">
        <v>2677</v>
      </c>
      <c r="AV2131" s="15"/>
      <c r="AW2131" s="12" t="str">
        <f>B2131&amp;C2131&amp;L2131&amp;M2131&amp;O2131&amp;U2131&amp;AL2131&amp;AM2131</f>
        <v>U.S. Virgin IslandsSt. Croix Reserve (name unknown)Crustose coralline algaecover1.36842105263158Steneck2018</v>
      </c>
    </row>
    <row r="2132" spans="1:49" ht="14.5" x14ac:dyDescent="0.35">
      <c r="A2132" s="12">
        <v>2131</v>
      </c>
      <c r="B2132" s="15" t="s">
        <v>1887</v>
      </c>
      <c r="C2132" s="15" t="s">
        <v>2830</v>
      </c>
      <c r="D2132" s="15" t="s">
        <v>1888</v>
      </c>
      <c r="E2132" s="15" t="s">
        <v>89</v>
      </c>
      <c r="F2132" s="16" t="s">
        <v>50</v>
      </c>
      <c r="G2132" s="16" t="s">
        <v>51</v>
      </c>
      <c r="H2132" s="16" t="s">
        <v>108</v>
      </c>
      <c r="I2132" s="16" t="s">
        <v>156</v>
      </c>
      <c r="J2132" s="17" t="s">
        <v>509</v>
      </c>
      <c r="K2132" s="17"/>
      <c r="L2132" s="17"/>
      <c r="M2132" s="17" t="s">
        <v>102</v>
      </c>
      <c r="N2132" s="53" t="s">
        <v>98</v>
      </c>
      <c r="O2132" s="17" t="s">
        <v>101</v>
      </c>
      <c r="P2132" s="17"/>
      <c r="Q2132" s="17"/>
      <c r="R2132" s="17"/>
      <c r="S2132" s="17">
        <v>8.6999999999999993</v>
      </c>
      <c r="T2132" s="17">
        <v>13.4</v>
      </c>
      <c r="U2132" s="20">
        <f t="shared" si="147"/>
        <v>1.5402298850574714</v>
      </c>
      <c r="V2132" s="41">
        <f t="shared" si="146"/>
        <v>54.022988505747136</v>
      </c>
      <c r="W2132" s="17"/>
      <c r="X2132" s="17" t="s">
        <v>56</v>
      </c>
      <c r="Y2132" s="17"/>
      <c r="Z2132" s="17" t="s">
        <v>58</v>
      </c>
      <c r="AA2132" s="17"/>
      <c r="AB2132" s="17" t="s">
        <v>57</v>
      </c>
      <c r="AC2132" s="17">
        <v>2013</v>
      </c>
      <c r="AD2132" s="17">
        <v>1</v>
      </c>
      <c r="AE2132" s="17"/>
      <c r="AF2132" s="17"/>
      <c r="AG2132" s="17" t="s">
        <v>509</v>
      </c>
      <c r="AH2132" s="14" t="str">
        <f t="shared" si="144"/>
        <v>NA</v>
      </c>
      <c r="AI2132" s="17" t="str">
        <f t="shared" si="145"/>
        <v>NA</v>
      </c>
      <c r="AJ2132" s="17"/>
      <c r="AK2132" s="17" t="s">
        <v>56</v>
      </c>
      <c r="AL2132" s="16" t="s">
        <v>1440</v>
      </c>
      <c r="AM2132" s="17">
        <v>2018</v>
      </c>
      <c r="AN2132" s="15" t="s">
        <v>257</v>
      </c>
      <c r="AO2132" s="15" t="s">
        <v>56</v>
      </c>
      <c r="AP2132" s="15"/>
      <c r="AQ2132" s="15" t="s">
        <v>56</v>
      </c>
      <c r="AR2132" s="15" t="s">
        <v>58</v>
      </c>
      <c r="AS2132" s="15" t="s">
        <v>62</v>
      </c>
      <c r="AT2132" s="15"/>
      <c r="AU2132" s="45" t="s">
        <v>2677</v>
      </c>
      <c r="AV2132" s="15"/>
      <c r="AW2132" s="12" t="str">
        <f>B2132&amp;C2132&amp;L2132&amp;M2132&amp;O2132&amp;U2132&amp;AL2132&amp;AM2132</f>
        <v>Saint LuciaSt. Lucia reserve (name unknown)Crustose coralline algaecover1.54022988505747Steneck2018</v>
      </c>
    </row>
    <row r="2133" spans="1:49" ht="14.5" x14ac:dyDescent="0.35">
      <c r="A2133" s="12">
        <v>2132</v>
      </c>
      <c r="B2133" s="15" t="s">
        <v>2676</v>
      </c>
      <c r="C2133" s="15" t="s">
        <v>2831</v>
      </c>
      <c r="D2133" s="15" t="s">
        <v>1437</v>
      </c>
      <c r="E2133" s="12" t="s">
        <v>89</v>
      </c>
      <c r="F2133" s="13" t="s">
        <v>50</v>
      </c>
      <c r="G2133" s="16" t="s">
        <v>51</v>
      </c>
      <c r="H2133" s="16" t="s">
        <v>108</v>
      </c>
      <c r="I2133" s="16" t="s">
        <v>156</v>
      </c>
      <c r="J2133" s="17" t="s">
        <v>509</v>
      </c>
      <c r="K2133" s="17"/>
      <c r="L2133" s="17"/>
      <c r="M2133" s="17" t="s">
        <v>102</v>
      </c>
      <c r="N2133" s="53" t="s">
        <v>98</v>
      </c>
      <c r="O2133" s="17" t="s">
        <v>101</v>
      </c>
      <c r="P2133" s="17"/>
      <c r="Q2133" s="17"/>
      <c r="R2133" s="17"/>
      <c r="S2133" s="17">
        <v>12.7</v>
      </c>
      <c r="T2133" s="17">
        <v>15.6</v>
      </c>
      <c r="U2133" s="19">
        <f t="shared" si="147"/>
        <v>1.2283464566929134</v>
      </c>
      <c r="V2133" s="41">
        <f t="shared" si="146"/>
        <v>22.834645669291341</v>
      </c>
      <c r="W2133" s="14"/>
      <c r="X2133" s="17" t="s">
        <v>56</v>
      </c>
      <c r="Y2133" s="17"/>
      <c r="Z2133" s="17" t="s">
        <v>58</v>
      </c>
      <c r="AA2133" s="17"/>
      <c r="AB2133" s="17" t="s">
        <v>57</v>
      </c>
      <c r="AC2133" s="17">
        <v>2013</v>
      </c>
      <c r="AD2133" s="17">
        <v>1</v>
      </c>
      <c r="AE2133" s="17"/>
      <c r="AF2133" s="17"/>
      <c r="AG2133" s="17" t="s">
        <v>509</v>
      </c>
      <c r="AH2133" s="14" t="str">
        <f t="shared" si="144"/>
        <v>NA</v>
      </c>
      <c r="AI2133" s="17" t="str">
        <f t="shared" si="145"/>
        <v>NA</v>
      </c>
      <c r="AJ2133" s="17"/>
      <c r="AK2133" s="17" t="s">
        <v>56</v>
      </c>
      <c r="AL2133" s="16" t="s">
        <v>1440</v>
      </c>
      <c r="AM2133" s="17">
        <v>2018</v>
      </c>
      <c r="AN2133" s="15" t="s">
        <v>257</v>
      </c>
      <c r="AO2133" s="15" t="s">
        <v>56</v>
      </c>
      <c r="AP2133" s="15"/>
      <c r="AQ2133" s="15" t="s">
        <v>56</v>
      </c>
      <c r="AR2133" s="15" t="s">
        <v>58</v>
      </c>
      <c r="AS2133" s="15" t="s">
        <v>62</v>
      </c>
      <c r="AT2133" s="12"/>
      <c r="AU2133" s="45" t="s">
        <v>2677</v>
      </c>
      <c r="AV2133" s="15"/>
      <c r="AW2133" s="12" t="str">
        <f>B2133&amp;C2133&amp;L2133&amp;M2133&amp;O2133&amp;U2133&amp;AL2133&amp;AM2133</f>
        <v>St Vincent and the GrenadinesMustique reserve (name unknown)Crustose coralline algaecover1.22834645669291Steneck2018</v>
      </c>
    </row>
    <row r="2134" spans="1:49" ht="14.5" x14ac:dyDescent="0.35">
      <c r="A2134" s="12">
        <v>2133</v>
      </c>
      <c r="B2134" s="15" t="s">
        <v>2676</v>
      </c>
      <c r="C2134" s="15" t="s">
        <v>2834</v>
      </c>
      <c r="D2134" s="15" t="s">
        <v>1899</v>
      </c>
      <c r="E2134" s="15" t="s">
        <v>89</v>
      </c>
      <c r="F2134" s="16" t="s">
        <v>50</v>
      </c>
      <c r="G2134" s="16" t="s">
        <v>51</v>
      </c>
      <c r="H2134" s="16" t="s">
        <v>108</v>
      </c>
      <c r="I2134" s="16" t="s">
        <v>156</v>
      </c>
      <c r="J2134" s="17" t="s">
        <v>509</v>
      </c>
      <c r="K2134" s="17"/>
      <c r="L2134" s="17"/>
      <c r="M2134" s="17" t="s">
        <v>102</v>
      </c>
      <c r="N2134" s="53" t="s">
        <v>98</v>
      </c>
      <c r="O2134" s="17" t="s">
        <v>101</v>
      </c>
      <c r="P2134" s="17"/>
      <c r="Q2134" s="17"/>
      <c r="R2134" s="17"/>
      <c r="S2134" s="17">
        <v>33.5</v>
      </c>
      <c r="T2134" s="17">
        <v>8.9</v>
      </c>
      <c r="U2134" s="20">
        <f t="shared" si="147"/>
        <v>0.2656716417910448</v>
      </c>
      <c r="V2134" s="41">
        <f t="shared" si="146"/>
        <v>-73.432835820895519</v>
      </c>
      <c r="W2134" s="17"/>
      <c r="X2134" s="17" t="s">
        <v>56</v>
      </c>
      <c r="Y2134" s="17"/>
      <c r="Z2134" s="17" t="s">
        <v>58</v>
      </c>
      <c r="AA2134" s="17"/>
      <c r="AB2134" s="17" t="s">
        <v>57</v>
      </c>
      <c r="AC2134" s="17">
        <v>2013</v>
      </c>
      <c r="AD2134" s="17">
        <v>1</v>
      </c>
      <c r="AE2134" s="17"/>
      <c r="AF2134" s="17"/>
      <c r="AG2134" s="17" t="s">
        <v>509</v>
      </c>
      <c r="AH2134" s="14" t="str">
        <f t="shared" si="144"/>
        <v>NA</v>
      </c>
      <c r="AI2134" s="17" t="str">
        <f t="shared" si="145"/>
        <v>NA</v>
      </c>
      <c r="AJ2134" s="17"/>
      <c r="AK2134" s="17" t="s">
        <v>56</v>
      </c>
      <c r="AL2134" s="16" t="s">
        <v>1440</v>
      </c>
      <c r="AM2134" s="17">
        <v>2018</v>
      </c>
      <c r="AN2134" s="15" t="s">
        <v>257</v>
      </c>
      <c r="AO2134" s="15" t="s">
        <v>56</v>
      </c>
      <c r="AP2134" s="15"/>
      <c r="AQ2134" s="15" t="s">
        <v>56</v>
      </c>
      <c r="AR2134" s="15" t="s">
        <v>58</v>
      </c>
      <c r="AS2134" s="15" t="s">
        <v>62</v>
      </c>
      <c r="AT2134" s="15"/>
      <c r="AU2134" s="45" t="s">
        <v>2677</v>
      </c>
      <c r="AV2134" s="15"/>
      <c r="AW2134" s="12" t="str">
        <f>B2134&amp;C2134&amp;L2134&amp;M2134&amp;O2134&amp;U2134&amp;AL2134&amp;AM2134</f>
        <v>St Vincent and the GrenadinesTabago Cays Marine Park (name unknown)Crustose coralline algaecover0.265671641791045Steneck2018</v>
      </c>
    </row>
    <row r="2135" spans="1:49" ht="14.5" x14ac:dyDescent="0.35">
      <c r="A2135" s="12">
        <v>2134</v>
      </c>
      <c r="B2135" s="15" t="s">
        <v>2675</v>
      </c>
      <c r="C2135" s="15" t="s">
        <v>2833</v>
      </c>
      <c r="D2135" s="15" t="s">
        <v>1889</v>
      </c>
      <c r="E2135" s="15" t="s">
        <v>89</v>
      </c>
      <c r="F2135" s="13" t="s">
        <v>50</v>
      </c>
      <c r="G2135" s="13" t="s">
        <v>51</v>
      </c>
      <c r="H2135" s="16" t="s">
        <v>108</v>
      </c>
      <c r="I2135" s="16" t="s">
        <v>156</v>
      </c>
      <c r="J2135" s="14" t="s">
        <v>509</v>
      </c>
      <c r="K2135" s="17"/>
      <c r="L2135" s="17"/>
      <c r="M2135" s="17" t="s">
        <v>291</v>
      </c>
      <c r="N2135" s="53" t="s">
        <v>98</v>
      </c>
      <c r="O2135" s="17" t="s">
        <v>101</v>
      </c>
      <c r="P2135" s="17"/>
      <c r="Q2135" s="17"/>
      <c r="R2135" s="17"/>
      <c r="S2135" s="17">
        <v>29.3</v>
      </c>
      <c r="T2135" s="17">
        <v>28.4</v>
      </c>
      <c r="U2135" s="20">
        <f t="shared" si="147"/>
        <v>0.96928327645051182</v>
      </c>
      <c r="V2135" s="41">
        <f t="shared" si="146"/>
        <v>-3.0716723549488179</v>
      </c>
      <c r="W2135" s="17"/>
      <c r="X2135" s="17" t="s">
        <v>56</v>
      </c>
      <c r="Y2135" s="17"/>
      <c r="Z2135" s="17" t="s">
        <v>58</v>
      </c>
      <c r="AA2135" s="17"/>
      <c r="AB2135" s="17" t="s">
        <v>57</v>
      </c>
      <c r="AC2135" s="17">
        <v>2013</v>
      </c>
      <c r="AD2135" s="17">
        <v>1</v>
      </c>
      <c r="AE2135" s="17"/>
      <c r="AF2135" s="17"/>
      <c r="AG2135" s="17" t="s">
        <v>509</v>
      </c>
      <c r="AH2135" s="14" t="str">
        <f t="shared" si="144"/>
        <v>NA</v>
      </c>
      <c r="AI2135" s="17" t="str">
        <f t="shared" si="145"/>
        <v>NA</v>
      </c>
      <c r="AJ2135" s="17"/>
      <c r="AK2135" s="17" t="s">
        <v>56</v>
      </c>
      <c r="AL2135" s="16" t="s">
        <v>1440</v>
      </c>
      <c r="AM2135" s="17">
        <v>2018</v>
      </c>
      <c r="AN2135" s="12" t="s">
        <v>257</v>
      </c>
      <c r="AO2135" s="15" t="s">
        <v>56</v>
      </c>
      <c r="AP2135" s="15"/>
      <c r="AQ2135" s="15" t="s">
        <v>56</v>
      </c>
      <c r="AR2135" s="15" t="s">
        <v>58</v>
      </c>
      <c r="AS2135" s="15" t="s">
        <v>62</v>
      </c>
      <c r="AT2135" s="15"/>
      <c r="AU2135" s="45" t="s">
        <v>2677</v>
      </c>
      <c r="AV2135" s="15"/>
      <c r="AW2135" s="12" t="str">
        <f>B2135&amp;C2135&amp;L2135&amp;M2135&amp;O2135&amp;U2135&amp;AL2135&amp;AM2135</f>
        <v>St Martin Island (Netherlands &amp; France)St. Maarten Reserve (name unknown)Macroalgaecover0.969283276450512Steneck2018</v>
      </c>
    </row>
    <row r="2136" spans="1:49" ht="14.5" x14ac:dyDescent="0.35">
      <c r="A2136" s="12">
        <v>2135</v>
      </c>
      <c r="B2136" s="12" t="s">
        <v>1881</v>
      </c>
      <c r="C2136" s="15" t="s">
        <v>2832</v>
      </c>
      <c r="D2136" s="15" t="s">
        <v>1882</v>
      </c>
      <c r="E2136" s="12" t="s">
        <v>89</v>
      </c>
      <c r="F2136" s="13" t="s">
        <v>50</v>
      </c>
      <c r="G2136" s="13" t="s">
        <v>51</v>
      </c>
      <c r="H2136" s="13" t="s">
        <v>108</v>
      </c>
      <c r="I2136" s="13" t="s">
        <v>156</v>
      </c>
      <c r="J2136" s="14" t="s">
        <v>509</v>
      </c>
      <c r="K2136" s="17"/>
      <c r="L2136" s="14"/>
      <c r="M2136" s="17" t="s">
        <v>291</v>
      </c>
      <c r="N2136" s="53" t="s">
        <v>98</v>
      </c>
      <c r="O2136" s="17" t="s">
        <v>101</v>
      </c>
      <c r="P2136" s="14"/>
      <c r="Q2136" s="14"/>
      <c r="R2136" s="14"/>
      <c r="S2136" s="14">
        <v>36.9</v>
      </c>
      <c r="T2136" s="14">
        <v>33.200000000000003</v>
      </c>
      <c r="U2136" s="19">
        <f t="shared" si="147"/>
        <v>0.89972899728997302</v>
      </c>
      <c r="V2136" s="41">
        <f t="shared" si="146"/>
        <v>-10.027100271002698</v>
      </c>
      <c r="W2136" s="14"/>
      <c r="X2136" s="14" t="s">
        <v>56</v>
      </c>
      <c r="Z2136" s="14" t="s">
        <v>58</v>
      </c>
      <c r="AA2136" s="17"/>
      <c r="AB2136" s="14" t="s">
        <v>57</v>
      </c>
      <c r="AC2136" s="14">
        <v>2013</v>
      </c>
      <c r="AD2136" s="14">
        <v>1</v>
      </c>
      <c r="AE2136" s="14"/>
      <c r="AF2136" s="14"/>
      <c r="AG2136" s="14" t="s">
        <v>509</v>
      </c>
      <c r="AH2136" s="14" t="str">
        <f t="shared" si="144"/>
        <v>NA</v>
      </c>
      <c r="AI2136" s="17" t="str">
        <f t="shared" si="145"/>
        <v>NA</v>
      </c>
      <c r="AJ2136" s="14"/>
      <c r="AK2136" s="14" t="s">
        <v>56</v>
      </c>
      <c r="AL2136" s="13" t="s">
        <v>1440</v>
      </c>
      <c r="AM2136" s="14">
        <v>2018</v>
      </c>
      <c r="AN2136" s="12" t="s">
        <v>257</v>
      </c>
      <c r="AO2136" s="12" t="s">
        <v>56</v>
      </c>
      <c r="AP2136" s="12"/>
      <c r="AQ2136" s="12" t="s">
        <v>56</v>
      </c>
      <c r="AR2136" s="12" t="s">
        <v>58</v>
      </c>
      <c r="AS2136" s="12" t="s">
        <v>62</v>
      </c>
      <c r="AT2136" s="12"/>
      <c r="AU2136" s="45" t="s">
        <v>2677</v>
      </c>
      <c r="AV2136" s="15"/>
      <c r="AW2136" s="12" t="str">
        <f>B2136&amp;C2136&amp;L2136&amp;M2136&amp;O2136&amp;U2136&amp;AL2136&amp;AM2136</f>
        <v>U.S. Virgin IslandsSt. Croix Reserve (name unknown)Macroalgaecover0.899728997289973Steneck2018</v>
      </c>
    </row>
    <row r="2137" spans="1:49" ht="14.5" x14ac:dyDescent="0.35">
      <c r="A2137" s="12">
        <v>2136</v>
      </c>
      <c r="B2137" s="15" t="s">
        <v>1887</v>
      </c>
      <c r="C2137" s="15" t="s">
        <v>2830</v>
      </c>
      <c r="D2137" s="15" t="s">
        <v>1888</v>
      </c>
      <c r="E2137" s="15" t="s">
        <v>89</v>
      </c>
      <c r="F2137" s="16" t="s">
        <v>50</v>
      </c>
      <c r="G2137" s="16" t="s">
        <v>51</v>
      </c>
      <c r="H2137" s="16" t="s">
        <v>108</v>
      </c>
      <c r="I2137" s="16" t="s">
        <v>156</v>
      </c>
      <c r="J2137" s="17" t="s">
        <v>509</v>
      </c>
      <c r="K2137" s="17"/>
      <c r="L2137" s="17"/>
      <c r="M2137" s="17" t="s">
        <v>291</v>
      </c>
      <c r="N2137" s="53" t="s">
        <v>98</v>
      </c>
      <c r="O2137" s="17" t="s">
        <v>101</v>
      </c>
      <c r="P2137" s="17"/>
      <c r="Q2137" s="17"/>
      <c r="R2137" s="17"/>
      <c r="S2137" s="17">
        <v>7.8</v>
      </c>
      <c r="T2137" s="17">
        <v>18.8</v>
      </c>
      <c r="U2137" s="20">
        <f t="shared" si="147"/>
        <v>2.4102564102564106</v>
      </c>
      <c r="V2137" s="41">
        <f t="shared" si="146"/>
        <v>141.02564102564105</v>
      </c>
      <c r="W2137" s="17"/>
      <c r="X2137" s="17" t="s">
        <v>56</v>
      </c>
      <c r="Y2137" s="17"/>
      <c r="Z2137" s="17" t="s">
        <v>58</v>
      </c>
      <c r="AA2137" s="17"/>
      <c r="AB2137" s="17" t="s">
        <v>57</v>
      </c>
      <c r="AC2137" s="17">
        <v>2013</v>
      </c>
      <c r="AD2137" s="17">
        <v>1</v>
      </c>
      <c r="AE2137" s="17"/>
      <c r="AF2137" s="17"/>
      <c r="AG2137" s="17" t="s">
        <v>509</v>
      </c>
      <c r="AH2137" s="14" t="str">
        <f t="shared" si="144"/>
        <v>NA</v>
      </c>
      <c r="AI2137" s="17" t="str">
        <f t="shared" si="145"/>
        <v>NA</v>
      </c>
      <c r="AJ2137" s="17"/>
      <c r="AK2137" s="17" t="s">
        <v>56</v>
      </c>
      <c r="AL2137" s="16" t="s">
        <v>1440</v>
      </c>
      <c r="AM2137" s="17">
        <v>2018</v>
      </c>
      <c r="AN2137" s="15" t="s">
        <v>257</v>
      </c>
      <c r="AO2137" s="15" t="s">
        <v>56</v>
      </c>
      <c r="AP2137" s="15"/>
      <c r="AQ2137" s="15" t="s">
        <v>56</v>
      </c>
      <c r="AR2137" s="15" t="s">
        <v>58</v>
      </c>
      <c r="AS2137" s="15" t="s">
        <v>62</v>
      </c>
      <c r="AT2137" s="15"/>
      <c r="AU2137" s="45" t="s">
        <v>2677</v>
      </c>
      <c r="AV2137" s="15"/>
      <c r="AW2137" s="12" t="str">
        <f>B2137&amp;C2137&amp;L2137&amp;M2137&amp;O2137&amp;U2137&amp;AL2137&amp;AM2137</f>
        <v>Saint LuciaSt. Lucia reserve (name unknown)Macroalgaecover2.41025641025641Steneck2018</v>
      </c>
    </row>
    <row r="2138" spans="1:49" ht="14.5" x14ac:dyDescent="0.35">
      <c r="A2138" s="12">
        <v>2137</v>
      </c>
      <c r="B2138" s="15" t="s">
        <v>2676</v>
      </c>
      <c r="C2138" s="15" t="s">
        <v>2831</v>
      </c>
      <c r="D2138" s="15" t="s">
        <v>1437</v>
      </c>
      <c r="E2138" s="15" t="s">
        <v>89</v>
      </c>
      <c r="F2138" s="13" t="s">
        <v>50</v>
      </c>
      <c r="G2138" s="13" t="s">
        <v>51</v>
      </c>
      <c r="H2138" s="16" t="s">
        <v>108</v>
      </c>
      <c r="I2138" s="16" t="s">
        <v>156</v>
      </c>
      <c r="J2138" s="14" t="s">
        <v>509</v>
      </c>
      <c r="K2138" s="17"/>
      <c r="L2138" s="17"/>
      <c r="M2138" s="17" t="s">
        <v>291</v>
      </c>
      <c r="N2138" s="53" t="s">
        <v>98</v>
      </c>
      <c r="O2138" s="17" t="s">
        <v>101</v>
      </c>
      <c r="P2138" s="17"/>
      <c r="Q2138" s="17"/>
      <c r="R2138" s="17"/>
      <c r="S2138" s="17">
        <v>24.1</v>
      </c>
      <c r="T2138" s="17">
        <v>31.6</v>
      </c>
      <c r="U2138" s="20">
        <f t="shared" si="147"/>
        <v>1.3112033195020747</v>
      </c>
      <c r="V2138" s="41">
        <f t="shared" si="146"/>
        <v>31.120331950207468</v>
      </c>
      <c r="W2138" s="17"/>
      <c r="X2138" s="17" t="s">
        <v>56</v>
      </c>
      <c r="Y2138" s="17"/>
      <c r="Z2138" s="17" t="s">
        <v>58</v>
      </c>
      <c r="AA2138" s="17"/>
      <c r="AB2138" s="17" t="s">
        <v>57</v>
      </c>
      <c r="AC2138" s="17">
        <v>2013</v>
      </c>
      <c r="AD2138" s="17">
        <v>1</v>
      </c>
      <c r="AE2138" s="17"/>
      <c r="AF2138" s="17"/>
      <c r="AG2138" s="17" t="s">
        <v>509</v>
      </c>
      <c r="AH2138" s="14" t="str">
        <f t="shared" si="144"/>
        <v>NA</v>
      </c>
      <c r="AI2138" s="17" t="str">
        <f t="shared" si="145"/>
        <v>NA</v>
      </c>
      <c r="AJ2138" s="17"/>
      <c r="AK2138" s="17" t="s">
        <v>56</v>
      </c>
      <c r="AL2138" s="16" t="s">
        <v>1440</v>
      </c>
      <c r="AM2138" s="17">
        <v>2018</v>
      </c>
      <c r="AN2138" s="12" t="s">
        <v>257</v>
      </c>
      <c r="AO2138" s="15" t="s">
        <v>56</v>
      </c>
      <c r="AP2138" s="15"/>
      <c r="AQ2138" s="15" t="s">
        <v>56</v>
      </c>
      <c r="AR2138" s="15" t="s">
        <v>58</v>
      </c>
      <c r="AS2138" s="15" t="s">
        <v>62</v>
      </c>
      <c r="AT2138" s="15"/>
      <c r="AU2138" s="45" t="s">
        <v>2677</v>
      </c>
      <c r="AV2138" s="15"/>
      <c r="AW2138" s="12" t="str">
        <f>B2138&amp;C2138&amp;L2138&amp;M2138&amp;O2138&amp;U2138&amp;AL2138&amp;AM2138</f>
        <v>St Vincent and the GrenadinesMustique reserve (name unknown)Macroalgaecover1.31120331950207Steneck2018</v>
      </c>
    </row>
    <row r="2139" spans="1:49" ht="14.5" x14ac:dyDescent="0.35">
      <c r="A2139" s="12">
        <v>2138</v>
      </c>
      <c r="B2139" s="15" t="s">
        <v>2676</v>
      </c>
      <c r="C2139" s="15" t="s">
        <v>2834</v>
      </c>
      <c r="D2139" s="12" t="s">
        <v>1899</v>
      </c>
      <c r="E2139" s="12" t="s">
        <v>89</v>
      </c>
      <c r="F2139" s="13" t="s">
        <v>50</v>
      </c>
      <c r="G2139" s="13" t="s">
        <v>51</v>
      </c>
      <c r="H2139" s="13" t="s">
        <v>108</v>
      </c>
      <c r="I2139" s="13" t="s">
        <v>156</v>
      </c>
      <c r="J2139" s="14" t="s">
        <v>509</v>
      </c>
      <c r="K2139" s="14"/>
      <c r="L2139" s="14"/>
      <c r="M2139" s="17" t="s">
        <v>291</v>
      </c>
      <c r="N2139" s="53" t="s">
        <v>98</v>
      </c>
      <c r="O2139" s="14" t="s">
        <v>101</v>
      </c>
      <c r="P2139" s="14"/>
      <c r="Q2139" s="14"/>
      <c r="R2139" s="14"/>
      <c r="S2139" s="14">
        <v>31.6</v>
      </c>
      <c r="T2139" s="14">
        <v>19</v>
      </c>
      <c r="U2139" s="19">
        <f t="shared" si="147"/>
        <v>0.60126582278481011</v>
      </c>
      <c r="V2139" s="41">
        <f t="shared" si="146"/>
        <v>-39.87341772151899</v>
      </c>
      <c r="W2139" s="14"/>
      <c r="X2139" s="14" t="s">
        <v>56</v>
      </c>
      <c r="Z2139" s="14" t="s">
        <v>58</v>
      </c>
      <c r="AA2139" s="17"/>
      <c r="AB2139" s="14" t="s">
        <v>57</v>
      </c>
      <c r="AC2139" s="14">
        <v>2013</v>
      </c>
      <c r="AD2139" s="14">
        <v>1</v>
      </c>
      <c r="AE2139" s="14"/>
      <c r="AF2139" s="14"/>
      <c r="AG2139" s="17" t="s">
        <v>509</v>
      </c>
      <c r="AH2139" s="14" t="str">
        <f t="shared" si="144"/>
        <v>NA</v>
      </c>
      <c r="AI2139" s="17" t="str">
        <f t="shared" si="145"/>
        <v>NA</v>
      </c>
      <c r="AJ2139" s="14"/>
      <c r="AK2139" s="14" t="s">
        <v>56</v>
      </c>
      <c r="AL2139" s="13" t="s">
        <v>1440</v>
      </c>
      <c r="AM2139" s="14">
        <v>2018</v>
      </c>
      <c r="AN2139" s="12" t="s">
        <v>257</v>
      </c>
      <c r="AO2139" s="12" t="s">
        <v>56</v>
      </c>
      <c r="AP2139" s="12"/>
      <c r="AQ2139" s="12" t="s">
        <v>56</v>
      </c>
      <c r="AR2139" s="12" t="s">
        <v>58</v>
      </c>
      <c r="AS2139" s="12" t="s">
        <v>62</v>
      </c>
      <c r="AT2139" s="12"/>
      <c r="AU2139" s="45" t="s">
        <v>2677</v>
      </c>
      <c r="AV2139" s="15"/>
      <c r="AW2139" s="12" t="str">
        <f>B2139&amp;C2139&amp;L2139&amp;M2139&amp;O2139&amp;U2139&amp;AL2139&amp;AM2139</f>
        <v>St Vincent and the GrenadinesTabago Cays Marine Park (name unknown)Macroalgaecover0.60126582278481Steneck2018</v>
      </c>
    </row>
    <row r="2140" spans="1:49" ht="14.5" x14ac:dyDescent="0.35">
      <c r="A2140" s="12">
        <v>2139</v>
      </c>
      <c r="B2140" s="12" t="s">
        <v>2675</v>
      </c>
      <c r="C2140" s="12" t="s">
        <v>2833</v>
      </c>
      <c r="D2140" s="12" t="s">
        <v>1889</v>
      </c>
      <c r="E2140" s="12" t="s">
        <v>89</v>
      </c>
      <c r="F2140" s="13" t="s">
        <v>50</v>
      </c>
      <c r="G2140" s="13" t="s">
        <v>51</v>
      </c>
      <c r="H2140" s="13" t="s">
        <v>108</v>
      </c>
      <c r="I2140" s="13" t="s">
        <v>156</v>
      </c>
      <c r="J2140" s="14" t="s">
        <v>509</v>
      </c>
      <c r="K2140" s="14"/>
      <c r="L2140" s="14" t="s">
        <v>927</v>
      </c>
      <c r="M2140" s="14"/>
      <c r="N2140" s="14" t="s">
        <v>120</v>
      </c>
      <c r="O2140" s="17" t="s">
        <v>101</v>
      </c>
      <c r="P2140" s="14"/>
      <c r="Q2140" s="14"/>
      <c r="R2140" s="14"/>
      <c r="S2140" s="14">
        <v>8.9</v>
      </c>
      <c r="T2140" s="14">
        <v>0.3</v>
      </c>
      <c r="U2140" s="19">
        <f t="shared" si="147"/>
        <v>3.3707865168539325E-2</v>
      </c>
      <c r="V2140" s="41">
        <f t="shared" si="146"/>
        <v>-96.629213483146074</v>
      </c>
      <c r="W2140" s="14"/>
      <c r="X2140" s="14" t="s">
        <v>56</v>
      </c>
      <c r="Z2140" s="14" t="s">
        <v>58</v>
      </c>
      <c r="AA2140" s="17"/>
      <c r="AB2140" s="14" t="s">
        <v>57</v>
      </c>
      <c r="AC2140" s="14">
        <v>2013</v>
      </c>
      <c r="AD2140" s="14">
        <v>1</v>
      </c>
      <c r="AE2140" s="14"/>
      <c r="AF2140" s="14"/>
      <c r="AG2140" s="14" t="s">
        <v>509</v>
      </c>
      <c r="AH2140" s="14" t="str">
        <f t="shared" si="144"/>
        <v>NA</v>
      </c>
      <c r="AI2140" s="17" t="str">
        <f t="shared" si="145"/>
        <v>NA</v>
      </c>
      <c r="AJ2140" s="14"/>
      <c r="AK2140" s="14" t="s">
        <v>56</v>
      </c>
      <c r="AL2140" s="13" t="s">
        <v>1440</v>
      </c>
      <c r="AM2140" s="14">
        <v>2018</v>
      </c>
      <c r="AN2140" s="12" t="s">
        <v>257</v>
      </c>
      <c r="AO2140" s="12" t="s">
        <v>56</v>
      </c>
      <c r="AP2140" s="12"/>
      <c r="AQ2140" s="12" t="s">
        <v>56</v>
      </c>
      <c r="AR2140" s="12" t="s">
        <v>58</v>
      </c>
      <c r="AS2140" s="12" t="s">
        <v>62</v>
      </c>
      <c r="AT2140" s="12"/>
      <c r="AU2140" s="45" t="s">
        <v>2677</v>
      </c>
      <c r="AV2140" s="15"/>
      <c r="AW2140" s="12" t="str">
        <f>B2140&amp;C2140&amp;L2140&amp;M2140&amp;O2140&amp;U2140&amp;AL2140&amp;AM2140</f>
        <v>St Martin Island (Netherlands &amp; France)St. Maarten Reserve (name unknown)Lobophoracover0.0337078651685393Steneck2018</v>
      </c>
    </row>
    <row r="2141" spans="1:49" ht="14.5" x14ac:dyDescent="0.35">
      <c r="A2141" s="12">
        <v>2140</v>
      </c>
      <c r="B2141" s="12" t="s">
        <v>1881</v>
      </c>
      <c r="C2141" s="12" t="s">
        <v>2832</v>
      </c>
      <c r="D2141" s="12" t="s">
        <v>1882</v>
      </c>
      <c r="E2141" s="12" t="s">
        <v>89</v>
      </c>
      <c r="F2141" s="13" t="s">
        <v>50</v>
      </c>
      <c r="G2141" s="13" t="s">
        <v>51</v>
      </c>
      <c r="H2141" s="13" t="s">
        <v>108</v>
      </c>
      <c r="I2141" s="13" t="s">
        <v>156</v>
      </c>
      <c r="J2141" s="14" t="s">
        <v>509</v>
      </c>
      <c r="K2141" s="14"/>
      <c r="L2141" s="14" t="s">
        <v>927</v>
      </c>
      <c r="M2141" s="14"/>
      <c r="N2141" s="14" t="s">
        <v>120</v>
      </c>
      <c r="O2141" s="17" t="s">
        <v>101</v>
      </c>
      <c r="P2141" s="14"/>
      <c r="Q2141" s="14"/>
      <c r="R2141" s="14"/>
      <c r="S2141" s="14">
        <v>8</v>
      </c>
      <c r="T2141" s="14">
        <v>20.399999999999999</v>
      </c>
      <c r="U2141" s="19">
        <f t="shared" si="147"/>
        <v>2.5499999999999998</v>
      </c>
      <c r="V2141" s="41">
        <f t="shared" si="146"/>
        <v>154.99999999999997</v>
      </c>
      <c r="W2141" s="14"/>
      <c r="X2141" s="14" t="s">
        <v>56</v>
      </c>
      <c r="Z2141" s="14" t="s">
        <v>58</v>
      </c>
      <c r="AA2141" s="17"/>
      <c r="AB2141" s="14" t="s">
        <v>57</v>
      </c>
      <c r="AC2141" s="14">
        <v>2013</v>
      </c>
      <c r="AD2141" s="14">
        <v>1</v>
      </c>
      <c r="AE2141" s="14"/>
      <c r="AF2141" s="14"/>
      <c r="AG2141" s="14" t="s">
        <v>509</v>
      </c>
      <c r="AH2141" s="14" t="str">
        <f t="shared" si="144"/>
        <v>NA</v>
      </c>
      <c r="AI2141" s="17" t="str">
        <f t="shared" si="145"/>
        <v>NA</v>
      </c>
      <c r="AJ2141" s="14"/>
      <c r="AK2141" s="14" t="s">
        <v>56</v>
      </c>
      <c r="AL2141" s="13" t="s">
        <v>1440</v>
      </c>
      <c r="AM2141" s="14">
        <v>2018</v>
      </c>
      <c r="AN2141" s="12" t="s">
        <v>257</v>
      </c>
      <c r="AO2141" s="12" t="s">
        <v>56</v>
      </c>
      <c r="AP2141" s="12"/>
      <c r="AQ2141" s="12" t="s">
        <v>56</v>
      </c>
      <c r="AR2141" s="12" t="s">
        <v>58</v>
      </c>
      <c r="AS2141" s="12" t="s">
        <v>62</v>
      </c>
      <c r="AT2141" s="12"/>
      <c r="AU2141" s="45" t="s">
        <v>2677</v>
      </c>
      <c r="AV2141" s="15"/>
      <c r="AW2141" s="12" t="str">
        <f>B2141&amp;C2141&amp;L2141&amp;M2141&amp;O2141&amp;U2141&amp;AL2141&amp;AM2141</f>
        <v>U.S. Virgin IslandsSt. Croix Reserve (name unknown)Lobophoracover2.55Steneck2018</v>
      </c>
    </row>
    <row r="2142" spans="1:49" ht="14.5" x14ac:dyDescent="0.35">
      <c r="A2142" s="12">
        <v>2141</v>
      </c>
      <c r="B2142" s="12" t="s">
        <v>1887</v>
      </c>
      <c r="C2142" s="12" t="s">
        <v>2830</v>
      </c>
      <c r="D2142" s="12" t="s">
        <v>1888</v>
      </c>
      <c r="E2142" s="12" t="s">
        <v>89</v>
      </c>
      <c r="F2142" s="13" t="s">
        <v>50</v>
      </c>
      <c r="G2142" s="13" t="s">
        <v>51</v>
      </c>
      <c r="H2142" s="13" t="s">
        <v>108</v>
      </c>
      <c r="I2142" s="13" t="s">
        <v>156</v>
      </c>
      <c r="J2142" s="14" t="s">
        <v>509</v>
      </c>
      <c r="K2142" s="14"/>
      <c r="L2142" s="14" t="s">
        <v>927</v>
      </c>
      <c r="M2142" s="14"/>
      <c r="N2142" s="14" t="s">
        <v>120</v>
      </c>
      <c r="O2142" s="17" t="s">
        <v>101</v>
      </c>
      <c r="P2142" s="14"/>
      <c r="Q2142" s="14"/>
      <c r="R2142" s="14"/>
      <c r="S2142" s="14">
        <v>0</v>
      </c>
      <c r="T2142" s="14">
        <v>16.100000000000001</v>
      </c>
      <c r="U2142" s="19" t="str">
        <f t="shared" si="147"/>
        <v>N/A</v>
      </c>
      <c r="V2142" s="41" t="str">
        <f t="shared" si="146"/>
        <v>N/A</v>
      </c>
      <c r="W2142" s="14"/>
      <c r="X2142" s="14" t="s">
        <v>56</v>
      </c>
      <c r="Z2142" s="14" t="s">
        <v>58</v>
      </c>
      <c r="AA2142" s="17"/>
      <c r="AB2142" s="14" t="s">
        <v>57</v>
      </c>
      <c r="AC2142" s="14">
        <v>2013</v>
      </c>
      <c r="AD2142" s="14">
        <v>1</v>
      </c>
      <c r="AE2142" s="14"/>
      <c r="AF2142" s="14"/>
      <c r="AG2142" s="14" t="s">
        <v>509</v>
      </c>
      <c r="AH2142" s="14" t="str">
        <f t="shared" si="144"/>
        <v>NA</v>
      </c>
      <c r="AI2142" s="17" t="str">
        <f t="shared" si="145"/>
        <v>NA</v>
      </c>
      <c r="AJ2142" s="14"/>
      <c r="AK2142" s="14" t="s">
        <v>56</v>
      </c>
      <c r="AL2142" s="13" t="s">
        <v>1440</v>
      </c>
      <c r="AM2142" s="14">
        <v>2018</v>
      </c>
      <c r="AN2142" s="12" t="s">
        <v>257</v>
      </c>
      <c r="AO2142" s="12" t="s">
        <v>56</v>
      </c>
      <c r="AP2142" s="12"/>
      <c r="AQ2142" s="12" t="s">
        <v>56</v>
      </c>
      <c r="AR2142" s="12" t="s">
        <v>58</v>
      </c>
      <c r="AS2142" s="12" t="s">
        <v>62</v>
      </c>
      <c r="AT2142" s="12"/>
      <c r="AU2142" s="45" t="s">
        <v>2677</v>
      </c>
      <c r="AV2142" s="15"/>
      <c r="AW2142" s="12" t="str">
        <f>B2142&amp;C2142&amp;L2142&amp;M2142&amp;O2142&amp;U2142&amp;AL2142&amp;AM2142</f>
        <v>Saint LuciaSt. Lucia reserve (name unknown)LobophoracoverN/ASteneck2018</v>
      </c>
    </row>
    <row r="2143" spans="1:49" ht="14.5" x14ac:dyDescent="0.35">
      <c r="A2143" s="12">
        <v>2142</v>
      </c>
      <c r="B2143" s="15" t="s">
        <v>2676</v>
      </c>
      <c r="C2143" s="12" t="s">
        <v>2831</v>
      </c>
      <c r="D2143" s="15" t="s">
        <v>1437</v>
      </c>
      <c r="E2143" s="12" t="s">
        <v>89</v>
      </c>
      <c r="F2143" s="13" t="s">
        <v>50</v>
      </c>
      <c r="G2143" s="13" t="s">
        <v>51</v>
      </c>
      <c r="H2143" s="13" t="s">
        <v>108</v>
      </c>
      <c r="I2143" s="13" t="s">
        <v>156</v>
      </c>
      <c r="J2143" s="14" t="s">
        <v>509</v>
      </c>
      <c r="K2143" s="14"/>
      <c r="L2143" s="14" t="s">
        <v>927</v>
      </c>
      <c r="M2143" s="14"/>
      <c r="N2143" s="14" t="s">
        <v>120</v>
      </c>
      <c r="O2143" s="17" t="s">
        <v>101</v>
      </c>
      <c r="P2143" s="14"/>
      <c r="Q2143" s="14"/>
      <c r="R2143" s="14"/>
      <c r="S2143" s="14">
        <v>0</v>
      </c>
      <c r="T2143" s="14">
        <v>0</v>
      </c>
      <c r="U2143" s="19" t="str">
        <f t="shared" si="147"/>
        <v>N/A</v>
      </c>
      <c r="V2143" s="41" t="str">
        <f t="shared" si="146"/>
        <v>N/A</v>
      </c>
      <c r="W2143" s="14"/>
      <c r="X2143" s="14" t="s">
        <v>56</v>
      </c>
      <c r="Z2143" s="14" t="s">
        <v>58</v>
      </c>
      <c r="AA2143" s="17"/>
      <c r="AB2143" s="14" t="s">
        <v>57</v>
      </c>
      <c r="AC2143" s="14">
        <v>2013</v>
      </c>
      <c r="AD2143" s="14">
        <v>1</v>
      </c>
      <c r="AE2143" s="14"/>
      <c r="AF2143" s="14"/>
      <c r="AG2143" s="17" t="s">
        <v>509</v>
      </c>
      <c r="AH2143" s="14" t="str">
        <f t="shared" si="144"/>
        <v>NA</v>
      </c>
      <c r="AI2143" s="17" t="str">
        <f t="shared" si="145"/>
        <v>NA</v>
      </c>
      <c r="AJ2143" s="14"/>
      <c r="AK2143" s="14" t="s">
        <v>56</v>
      </c>
      <c r="AL2143" s="13" t="s">
        <v>1440</v>
      </c>
      <c r="AM2143" s="14">
        <v>2018</v>
      </c>
      <c r="AN2143" s="12" t="s">
        <v>257</v>
      </c>
      <c r="AO2143" s="12" t="s">
        <v>56</v>
      </c>
      <c r="AP2143" s="12"/>
      <c r="AQ2143" s="12" t="s">
        <v>56</v>
      </c>
      <c r="AR2143" s="12" t="s">
        <v>58</v>
      </c>
      <c r="AS2143" s="12" t="s">
        <v>62</v>
      </c>
      <c r="AT2143" s="12"/>
      <c r="AU2143" s="45" t="s">
        <v>2677</v>
      </c>
      <c r="AV2143" s="15"/>
      <c r="AW2143" s="12" t="str">
        <f>B2143&amp;C2143&amp;L2143&amp;M2143&amp;O2143&amp;U2143&amp;AL2143&amp;AM2143</f>
        <v>St Vincent and the GrenadinesMustique reserve (name unknown)LobophoracoverN/ASteneck2018</v>
      </c>
    </row>
    <row r="2144" spans="1:49" ht="14.5" x14ac:dyDescent="0.35">
      <c r="A2144" s="12">
        <v>2143</v>
      </c>
      <c r="B2144" s="15" t="s">
        <v>2676</v>
      </c>
      <c r="C2144" s="12" t="s">
        <v>2834</v>
      </c>
      <c r="D2144" s="15" t="s">
        <v>1899</v>
      </c>
      <c r="E2144" s="15" t="s">
        <v>89</v>
      </c>
      <c r="F2144" s="13" t="s">
        <v>50</v>
      </c>
      <c r="G2144" s="13" t="s">
        <v>51</v>
      </c>
      <c r="H2144" s="16" t="s">
        <v>108</v>
      </c>
      <c r="I2144" s="16" t="s">
        <v>156</v>
      </c>
      <c r="J2144" s="14" t="s">
        <v>509</v>
      </c>
      <c r="K2144" s="17"/>
      <c r="L2144" s="17" t="s">
        <v>927</v>
      </c>
      <c r="M2144" s="17"/>
      <c r="N2144" s="17" t="s">
        <v>120</v>
      </c>
      <c r="O2144" s="17" t="s">
        <v>101</v>
      </c>
      <c r="P2144" s="17"/>
      <c r="Q2144" s="17"/>
      <c r="R2144" s="17"/>
      <c r="S2144" s="17">
        <v>0</v>
      </c>
      <c r="T2144" s="17">
        <v>0</v>
      </c>
      <c r="U2144" s="20" t="str">
        <f t="shared" si="147"/>
        <v>N/A</v>
      </c>
      <c r="V2144" s="41" t="str">
        <f t="shared" si="146"/>
        <v>N/A</v>
      </c>
      <c r="W2144" s="17"/>
      <c r="X2144" s="17" t="s">
        <v>56</v>
      </c>
      <c r="Z2144" s="17" t="s">
        <v>58</v>
      </c>
      <c r="AA2144" s="17"/>
      <c r="AB2144" s="17" t="s">
        <v>57</v>
      </c>
      <c r="AC2144" s="17">
        <v>2013</v>
      </c>
      <c r="AD2144" s="17">
        <v>1</v>
      </c>
      <c r="AE2144" s="17"/>
      <c r="AF2144" s="17"/>
      <c r="AG2144" s="17" t="s">
        <v>509</v>
      </c>
      <c r="AH2144" s="14" t="str">
        <f t="shared" si="144"/>
        <v>NA</v>
      </c>
      <c r="AI2144" s="17" t="str">
        <f t="shared" si="145"/>
        <v>NA</v>
      </c>
      <c r="AJ2144" s="17"/>
      <c r="AK2144" s="17" t="s">
        <v>56</v>
      </c>
      <c r="AL2144" s="16" t="s">
        <v>1440</v>
      </c>
      <c r="AM2144" s="17">
        <v>2018</v>
      </c>
      <c r="AN2144" s="15" t="s">
        <v>257</v>
      </c>
      <c r="AO2144" s="15" t="s">
        <v>56</v>
      </c>
      <c r="AP2144" s="15"/>
      <c r="AQ2144" s="15" t="s">
        <v>56</v>
      </c>
      <c r="AR2144" s="15" t="s">
        <v>58</v>
      </c>
      <c r="AS2144" s="15" t="s">
        <v>62</v>
      </c>
      <c r="AT2144" s="15"/>
      <c r="AU2144" s="45" t="s">
        <v>2677</v>
      </c>
      <c r="AV2144" s="15"/>
      <c r="AW2144" s="12" t="str">
        <f>B2144&amp;C2144&amp;L2144&amp;M2144&amp;O2144&amp;U2144&amp;AL2144&amp;AM2144</f>
        <v>St Vincent and the GrenadinesTabago Cays Marine Park (name unknown)LobophoracoverN/ASteneck2018</v>
      </c>
    </row>
    <row r="2145" spans="1:49" ht="14.5" x14ac:dyDescent="0.35">
      <c r="A2145" s="12">
        <v>2144</v>
      </c>
      <c r="B2145" s="12" t="s">
        <v>2675</v>
      </c>
      <c r="C2145" s="12" t="s">
        <v>2833</v>
      </c>
      <c r="D2145" s="15" t="s">
        <v>1889</v>
      </c>
      <c r="E2145" s="12" t="s">
        <v>89</v>
      </c>
      <c r="F2145" s="13" t="s">
        <v>50</v>
      </c>
      <c r="G2145" s="13" t="s">
        <v>51</v>
      </c>
      <c r="H2145" s="13" t="s">
        <v>108</v>
      </c>
      <c r="I2145" s="13" t="s">
        <v>156</v>
      </c>
      <c r="J2145" s="14" t="s">
        <v>509</v>
      </c>
      <c r="K2145" s="17"/>
      <c r="L2145" s="14" t="s">
        <v>928</v>
      </c>
      <c r="M2145" s="14"/>
      <c r="N2145" s="14" t="s">
        <v>120</v>
      </c>
      <c r="O2145" s="17" t="s">
        <v>101</v>
      </c>
      <c r="P2145" s="14"/>
      <c r="Q2145" s="14"/>
      <c r="R2145" s="14"/>
      <c r="S2145" s="14">
        <v>1.8</v>
      </c>
      <c r="T2145" s="14">
        <v>0.6</v>
      </c>
      <c r="U2145" s="19">
        <f t="shared" si="147"/>
        <v>0.33333333333333331</v>
      </c>
      <c r="V2145" s="41">
        <f t="shared" si="146"/>
        <v>-66.666666666666671</v>
      </c>
      <c r="W2145" s="14"/>
      <c r="X2145" s="14" t="s">
        <v>56</v>
      </c>
      <c r="Z2145" s="14" t="s">
        <v>58</v>
      </c>
      <c r="AA2145" s="17"/>
      <c r="AB2145" s="14" t="s">
        <v>57</v>
      </c>
      <c r="AC2145" s="14">
        <v>2013</v>
      </c>
      <c r="AD2145" s="14">
        <v>1</v>
      </c>
      <c r="AE2145" s="14"/>
      <c r="AF2145" s="14"/>
      <c r="AG2145" s="17" t="s">
        <v>509</v>
      </c>
      <c r="AH2145" s="14" t="str">
        <f t="shared" si="144"/>
        <v>NA</v>
      </c>
      <c r="AI2145" s="17" t="str">
        <f t="shared" si="145"/>
        <v>NA</v>
      </c>
      <c r="AJ2145" s="14"/>
      <c r="AK2145" s="14" t="s">
        <v>56</v>
      </c>
      <c r="AL2145" s="13" t="s">
        <v>1440</v>
      </c>
      <c r="AM2145" s="14">
        <v>2018</v>
      </c>
      <c r="AN2145" s="12" t="s">
        <v>257</v>
      </c>
      <c r="AO2145" s="12" t="s">
        <v>56</v>
      </c>
      <c r="AP2145" s="12"/>
      <c r="AQ2145" s="12" t="s">
        <v>56</v>
      </c>
      <c r="AR2145" s="12" t="s">
        <v>58</v>
      </c>
      <c r="AS2145" s="12" t="s">
        <v>62</v>
      </c>
      <c r="AT2145" s="12"/>
      <c r="AU2145" s="45" t="s">
        <v>2677</v>
      </c>
      <c r="AV2145" s="15"/>
      <c r="AW2145" s="12" t="str">
        <f>B2145&amp;C2145&amp;L2145&amp;M2145&amp;O2145&amp;U2145&amp;AL2145&amp;AM2145</f>
        <v>St Martin Island (Netherlands &amp; France)St. Maarten Reserve (name unknown)Halimedacover0.333333333333333Steneck2018</v>
      </c>
    </row>
    <row r="2146" spans="1:49" ht="14.5" x14ac:dyDescent="0.35">
      <c r="A2146" s="12">
        <v>2145</v>
      </c>
      <c r="B2146" s="12" t="s">
        <v>1881</v>
      </c>
      <c r="C2146" s="12" t="s">
        <v>2832</v>
      </c>
      <c r="D2146" s="15" t="s">
        <v>1882</v>
      </c>
      <c r="E2146" s="12" t="s">
        <v>89</v>
      </c>
      <c r="F2146" s="13" t="s">
        <v>50</v>
      </c>
      <c r="G2146" s="13" t="s">
        <v>51</v>
      </c>
      <c r="H2146" s="13" t="s">
        <v>108</v>
      </c>
      <c r="I2146" s="13" t="s">
        <v>156</v>
      </c>
      <c r="J2146" s="14" t="s">
        <v>509</v>
      </c>
      <c r="K2146" s="14"/>
      <c r="L2146" s="14" t="s">
        <v>928</v>
      </c>
      <c r="M2146" s="14"/>
      <c r="N2146" s="14" t="s">
        <v>120</v>
      </c>
      <c r="O2146" s="17" t="s">
        <v>101</v>
      </c>
      <c r="P2146" s="14"/>
      <c r="Q2146" s="14"/>
      <c r="R2146" s="14"/>
      <c r="S2146" s="14">
        <v>2.6</v>
      </c>
      <c r="T2146" s="14">
        <v>7.1</v>
      </c>
      <c r="U2146" s="19">
        <f t="shared" si="147"/>
        <v>2.7307692307692304</v>
      </c>
      <c r="V2146" s="41">
        <f t="shared" si="146"/>
        <v>173.07692307692304</v>
      </c>
      <c r="W2146" s="14"/>
      <c r="X2146" s="14" t="s">
        <v>56</v>
      </c>
      <c r="Z2146" s="14" t="s">
        <v>58</v>
      </c>
      <c r="AA2146" s="17"/>
      <c r="AB2146" s="14" t="s">
        <v>57</v>
      </c>
      <c r="AC2146" s="14">
        <v>2013</v>
      </c>
      <c r="AD2146" s="14">
        <v>1</v>
      </c>
      <c r="AE2146" s="14"/>
      <c r="AF2146" s="14"/>
      <c r="AG2146" s="17" t="s">
        <v>509</v>
      </c>
      <c r="AH2146" s="14" t="str">
        <f t="shared" si="144"/>
        <v>NA</v>
      </c>
      <c r="AI2146" s="17" t="str">
        <f t="shared" si="145"/>
        <v>NA</v>
      </c>
      <c r="AJ2146" s="14"/>
      <c r="AK2146" s="14" t="s">
        <v>56</v>
      </c>
      <c r="AL2146" s="13" t="s">
        <v>1440</v>
      </c>
      <c r="AM2146" s="14">
        <v>2018</v>
      </c>
      <c r="AN2146" s="12" t="s">
        <v>257</v>
      </c>
      <c r="AO2146" s="12" t="s">
        <v>56</v>
      </c>
      <c r="AP2146" s="12"/>
      <c r="AQ2146" s="12" t="s">
        <v>56</v>
      </c>
      <c r="AR2146" s="12" t="s">
        <v>58</v>
      </c>
      <c r="AS2146" s="12" t="s">
        <v>62</v>
      </c>
      <c r="AT2146" s="12"/>
      <c r="AU2146" s="45" t="s">
        <v>2677</v>
      </c>
      <c r="AV2146" s="15"/>
      <c r="AW2146" s="12" t="str">
        <f>B2146&amp;C2146&amp;L2146&amp;M2146&amp;O2146&amp;U2146&amp;AL2146&amp;AM2146</f>
        <v>U.S. Virgin IslandsSt. Croix Reserve (name unknown)Halimedacover2.73076923076923Steneck2018</v>
      </c>
    </row>
    <row r="2147" spans="1:49" ht="14.5" x14ac:dyDescent="0.35">
      <c r="A2147" s="12">
        <v>2146</v>
      </c>
      <c r="B2147" s="12" t="s">
        <v>1887</v>
      </c>
      <c r="C2147" s="12" t="s">
        <v>2830</v>
      </c>
      <c r="D2147" s="15" t="s">
        <v>1888</v>
      </c>
      <c r="E2147" s="12" t="s">
        <v>89</v>
      </c>
      <c r="F2147" s="13" t="s">
        <v>50</v>
      </c>
      <c r="G2147" s="13" t="s">
        <v>51</v>
      </c>
      <c r="H2147" s="13" t="s">
        <v>108</v>
      </c>
      <c r="I2147" s="13" t="s">
        <v>156</v>
      </c>
      <c r="J2147" s="14" t="s">
        <v>509</v>
      </c>
      <c r="K2147" s="14"/>
      <c r="L2147" s="14" t="s">
        <v>928</v>
      </c>
      <c r="M2147" s="14"/>
      <c r="N2147" s="14" t="s">
        <v>120</v>
      </c>
      <c r="O2147" s="17" t="s">
        <v>101</v>
      </c>
      <c r="P2147" s="14"/>
      <c r="Q2147" s="14"/>
      <c r="R2147" s="14"/>
      <c r="S2147" s="14">
        <v>0.5</v>
      </c>
      <c r="T2147" s="14">
        <v>0</v>
      </c>
      <c r="U2147" s="19">
        <f t="shared" si="147"/>
        <v>0</v>
      </c>
      <c r="V2147" s="41">
        <f t="shared" si="146"/>
        <v>-100</v>
      </c>
      <c r="W2147" s="14"/>
      <c r="X2147" s="14" t="s">
        <v>56</v>
      </c>
      <c r="Z2147" s="14" t="s">
        <v>58</v>
      </c>
      <c r="AA2147" s="17"/>
      <c r="AB2147" s="14" t="s">
        <v>57</v>
      </c>
      <c r="AC2147" s="14">
        <v>2013</v>
      </c>
      <c r="AD2147" s="14">
        <v>1</v>
      </c>
      <c r="AE2147" s="14"/>
      <c r="AF2147" s="14"/>
      <c r="AG2147" s="17" t="s">
        <v>509</v>
      </c>
      <c r="AH2147" s="14" t="str">
        <f t="shared" si="144"/>
        <v>NA</v>
      </c>
      <c r="AI2147" s="17" t="str">
        <f t="shared" si="145"/>
        <v>NA</v>
      </c>
      <c r="AJ2147" s="14"/>
      <c r="AK2147" s="14" t="s">
        <v>56</v>
      </c>
      <c r="AL2147" s="13" t="s">
        <v>1440</v>
      </c>
      <c r="AM2147" s="14">
        <v>2018</v>
      </c>
      <c r="AN2147" s="12" t="s">
        <v>257</v>
      </c>
      <c r="AO2147" s="12" t="s">
        <v>56</v>
      </c>
      <c r="AP2147" s="12"/>
      <c r="AQ2147" s="12" t="s">
        <v>56</v>
      </c>
      <c r="AR2147" s="12" t="s">
        <v>58</v>
      </c>
      <c r="AS2147" s="12" t="s">
        <v>62</v>
      </c>
      <c r="AT2147" s="12"/>
      <c r="AU2147" s="45" t="s">
        <v>2677</v>
      </c>
      <c r="AV2147" s="15"/>
      <c r="AW2147" s="12" t="str">
        <f>B2147&amp;C2147&amp;L2147&amp;M2147&amp;O2147&amp;U2147&amp;AL2147&amp;AM2147</f>
        <v>Saint LuciaSt. Lucia reserve (name unknown)Halimedacover0Steneck2018</v>
      </c>
    </row>
    <row r="2148" spans="1:49" ht="14.5" x14ac:dyDescent="0.35">
      <c r="A2148" s="12">
        <v>2147</v>
      </c>
      <c r="B2148" s="15" t="s">
        <v>2676</v>
      </c>
      <c r="C2148" s="12" t="s">
        <v>2831</v>
      </c>
      <c r="D2148" s="15" t="s">
        <v>1437</v>
      </c>
      <c r="E2148" s="12" t="s">
        <v>89</v>
      </c>
      <c r="F2148" s="13" t="s">
        <v>50</v>
      </c>
      <c r="G2148" s="13" t="s">
        <v>51</v>
      </c>
      <c r="H2148" s="13" t="s">
        <v>108</v>
      </c>
      <c r="I2148" s="13" t="s">
        <v>156</v>
      </c>
      <c r="J2148" s="14" t="s">
        <v>509</v>
      </c>
      <c r="K2148" s="14"/>
      <c r="L2148" s="14" t="s">
        <v>928</v>
      </c>
      <c r="M2148" s="14"/>
      <c r="N2148" s="14" t="s">
        <v>120</v>
      </c>
      <c r="O2148" s="17" t="s">
        <v>101</v>
      </c>
      <c r="P2148" s="14"/>
      <c r="Q2148" s="14"/>
      <c r="R2148" s="14"/>
      <c r="S2148" s="14">
        <v>2.8</v>
      </c>
      <c r="T2148" s="14">
        <v>9.1</v>
      </c>
      <c r="U2148" s="19">
        <f t="shared" si="147"/>
        <v>3.25</v>
      </c>
      <c r="V2148" s="41">
        <f t="shared" si="146"/>
        <v>225</v>
      </c>
      <c r="W2148" s="14"/>
      <c r="X2148" s="14" t="s">
        <v>56</v>
      </c>
      <c r="Z2148" s="14" t="s">
        <v>58</v>
      </c>
      <c r="AA2148" s="17"/>
      <c r="AB2148" s="14" t="s">
        <v>57</v>
      </c>
      <c r="AC2148" s="14">
        <v>2013</v>
      </c>
      <c r="AD2148" s="14">
        <v>1</v>
      </c>
      <c r="AE2148" s="14"/>
      <c r="AF2148" s="14"/>
      <c r="AG2148" s="17" t="s">
        <v>509</v>
      </c>
      <c r="AH2148" s="14" t="str">
        <f t="shared" si="144"/>
        <v>NA</v>
      </c>
      <c r="AI2148" s="17" t="str">
        <f t="shared" si="145"/>
        <v>NA</v>
      </c>
      <c r="AJ2148" s="14"/>
      <c r="AK2148" s="14" t="s">
        <v>56</v>
      </c>
      <c r="AL2148" s="13" t="s">
        <v>1440</v>
      </c>
      <c r="AM2148" s="14">
        <v>2018</v>
      </c>
      <c r="AN2148" s="12" t="s">
        <v>257</v>
      </c>
      <c r="AO2148" s="12" t="s">
        <v>56</v>
      </c>
      <c r="AP2148" s="12"/>
      <c r="AQ2148" s="12" t="s">
        <v>56</v>
      </c>
      <c r="AR2148" s="12" t="s">
        <v>58</v>
      </c>
      <c r="AS2148" s="12" t="s">
        <v>62</v>
      </c>
      <c r="AT2148" s="12"/>
      <c r="AU2148" s="45" t="s">
        <v>2677</v>
      </c>
      <c r="AV2148" s="15"/>
      <c r="AW2148" s="12" t="str">
        <f>B2148&amp;C2148&amp;L2148&amp;M2148&amp;O2148&amp;U2148&amp;AL2148&amp;AM2148</f>
        <v>St Vincent and the GrenadinesMustique reserve (name unknown)Halimedacover3.25Steneck2018</v>
      </c>
    </row>
    <row r="2149" spans="1:49" ht="14.5" x14ac:dyDescent="0.35">
      <c r="A2149" s="12">
        <v>2148</v>
      </c>
      <c r="B2149" s="15" t="s">
        <v>2676</v>
      </c>
      <c r="C2149" s="12" t="s">
        <v>2834</v>
      </c>
      <c r="D2149" s="15" t="s">
        <v>1899</v>
      </c>
      <c r="E2149" s="12" t="s">
        <v>89</v>
      </c>
      <c r="F2149" s="13" t="s">
        <v>50</v>
      </c>
      <c r="G2149" s="13" t="s">
        <v>51</v>
      </c>
      <c r="H2149" s="13" t="s">
        <v>108</v>
      </c>
      <c r="I2149" s="13" t="s">
        <v>156</v>
      </c>
      <c r="J2149" s="14" t="s">
        <v>509</v>
      </c>
      <c r="K2149" s="14"/>
      <c r="L2149" s="14" t="s">
        <v>928</v>
      </c>
      <c r="M2149" s="14"/>
      <c r="N2149" s="14" t="s">
        <v>120</v>
      </c>
      <c r="O2149" s="17" t="s">
        <v>101</v>
      </c>
      <c r="P2149" s="14"/>
      <c r="Q2149" s="14"/>
      <c r="R2149" s="14"/>
      <c r="S2149" s="14">
        <v>3</v>
      </c>
      <c r="T2149" s="14">
        <v>4.2</v>
      </c>
      <c r="U2149" s="19">
        <f t="shared" si="147"/>
        <v>1.4000000000000001</v>
      </c>
      <c r="V2149" s="41">
        <f t="shared" si="146"/>
        <v>40.000000000000014</v>
      </c>
      <c r="W2149" s="14"/>
      <c r="X2149" s="14" t="s">
        <v>56</v>
      </c>
      <c r="Z2149" s="14" t="s">
        <v>58</v>
      </c>
      <c r="AA2149" s="17"/>
      <c r="AB2149" s="14" t="s">
        <v>57</v>
      </c>
      <c r="AC2149" s="14">
        <v>2013</v>
      </c>
      <c r="AD2149" s="14">
        <v>1</v>
      </c>
      <c r="AE2149" s="14"/>
      <c r="AF2149" s="14"/>
      <c r="AG2149" s="17" t="s">
        <v>509</v>
      </c>
      <c r="AH2149" s="14" t="str">
        <f t="shared" si="144"/>
        <v>NA</v>
      </c>
      <c r="AI2149" s="17" t="str">
        <f t="shared" si="145"/>
        <v>NA</v>
      </c>
      <c r="AJ2149" s="14"/>
      <c r="AK2149" s="14" t="s">
        <v>56</v>
      </c>
      <c r="AL2149" s="13" t="s">
        <v>1440</v>
      </c>
      <c r="AM2149" s="14">
        <v>2018</v>
      </c>
      <c r="AN2149" s="12" t="s">
        <v>257</v>
      </c>
      <c r="AO2149" s="12" t="s">
        <v>56</v>
      </c>
      <c r="AP2149" s="12"/>
      <c r="AQ2149" s="12" t="s">
        <v>56</v>
      </c>
      <c r="AR2149" s="12" t="s">
        <v>58</v>
      </c>
      <c r="AS2149" s="12" t="s">
        <v>62</v>
      </c>
      <c r="AT2149" s="12"/>
      <c r="AU2149" s="45" t="s">
        <v>2677</v>
      </c>
      <c r="AV2149" s="15"/>
      <c r="AW2149" s="12" t="str">
        <f>B2149&amp;C2149&amp;L2149&amp;M2149&amp;O2149&amp;U2149&amp;AL2149&amp;AM2149</f>
        <v>St Vincent and the GrenadinesTabago Cays Marine Park (name unknown)Halimedacover1.4Steneck2018</v>
      </c>
    </row>
    <row r="2150" spans="1:49" ht="14.5" x14ac:dyDescent="0.35">
      <c r="A2150" s="12">
        <v>2149</v>
      </c>
      <c r="B2150" s="50" t="s">
        <v>1624</v>
      </c>
      <c r="C2150" s="50" t="s">
        <v>2702</v>
      </c>
      <c r="D2150" s="59" t="s">
        <v>1625</v>
      </c>
      <c r="E2150" s="50" t="s">
        <v>68</v>
      </c>
      <c r="F2150" s="13" t="s">
        <v>480</v>
      </c>
      <c r="G2150" s="13" t="s">
        <v>51</v>
      </c>
      <c r="H2150" s="62" t="s">
        <v>329</v>
      </c>
      <c r="I2150" s="62" t="s">
        <v>53</v>
      </c>
      <c r="J2150" s="18">
        <v>400</v>
      </c>
      <c r="K2150" s="18"/>
      <c r="L2150" s="18" t="s">
        <v>1626</v>
      </c>
      <c r="M2150" s="18" t="s">
        <v>1627</v>
      </c>
      <c r="N2150" s="14" t="s">
        <v>85</v>
      </c>
      <c r="O2150" s="47" t="s">
        <v>104</v>
      </c>
      <c r="P2150" s="18" t="s">
        <v>408</v>
      </c>
      <c r="Q2150" s="18"/>
      <c r="R2150" s="18"/>
      <c r="S2150" s="18">
        <v>240</v>
      </c>
      <c r="T2150" s="18">
        <v>293</v>
      </c>
      <c r="U2150" s="19">
        <f t="shared" si="147"/>
        <v>1.2208333333333334</v>
      </c>
      <c r="V2150" s="41">
        <f t="shared" si="146"/>
        <v>22.083333333333343</v>
      </c>
      <c r="W2150" s="18"/>
      <c r="X2150" s="14" t="s">
        <v>56</v>
      </c>
      <c r="Z2150" s="18" t="s">
        <v>58</v>
      </c>
      <c r="AA2150" s="47" t="s">
        <v>58</v>
      </c>
      <c r="AB2150" s="14" t="s">
        <v>57</v>
      </c>
      <c r="AC2150" s="18">
        <v>2006</v>
      </c>
      <c r="AD2150" s="18">
        <v>5</v>
      </c>
      <c r="AE2150" s="18"/>
      <c r="AF2150" s="18"/>
      <c r="AG2150" s="47">
        <v>2004</v>
      </c>
      <c r="AH2150" s="14">
        <f t="shared" si="144"/>
        <v>2</v>
      </c>
      <c r="AI2150" s="17">
        <f t="shared" si="145"/>
        <v>7</v>
      </c>
      <c r="AJ2150" s="18"/>
      <c r="AK2150" s="14" t="s">
        <v>56</v>
      </c>
      <c r="AL2150" s="62" t="s">
        <v>1628</v>
      </c>
      <c r="AM2150" s="18">
        <v>2013</v>
      </c>
      <c r="AN2150" s="50" t="s">
        <v>706</v>
      </c>
      <c r="AO2150" s="12" t="s">
        <v>56</v>
      </c>
      <c r="AP2150" s="50"/>
      <c r="AQ2150" s="12" t="s">
        <v>56</v>
      </c>
      <c r="AR2150" s="12" t="s">
        <v>58</v>
      </c>
      <c r="AS2150" s="50" t="s">
        <v>94</v>
      </c>
      <c r="AT2150" s="50"/>
      <c r="AU2150" s="64"/>
      <c r="AV2150" s="59"/>
      <c r="AW2150" s="12" t="str">
        <f>B2150&amp;C2150&amp;L2150&amp;M2150&amp;O2150&amp;U2150&amp;AL2150&amp;AM2150</f>
        <v>South AfricaPondoland MPA No-take zoneChrysoblephus puniceusSlinger seabreamsize1.22083333333333Maggs2013</v>
      </c>
    </row>
    <row r="2151" spans="1:49" ht="14.5" x14ac:dyDescent="0.35">
      <c r="A2151" s="12">
        <v>2150</v>
      </c>
      <c r="B2151" s="50" t="s">
        <v>1624</v>
      </c>
      <c r="C2151" s="50" t="s">
        <v>2702</v>
      </c>
      <c r="D2151" s="59" t="s">
        <v>1625</v>
      </c>
      <c r="E2151" s="50" t="s">
        <v>68</v>
      </c>
      <c r="F2151" s="13" t="s">
        <v>480</v>
      </c>
      <c r="G2151" s="13" t="s">
        <v>51</v>
      </c>
      <c r="H2151" s="62" t="s">
        <v>329</v>
      </c>
      <c r="I2151" s="62" t="s">
        <v>53</v>
      </c>
      <c r="J2151" s="18">
        <v>400</v>
      </c>
      <c r="K2151" s="18"/>
      <c r="L2151" s="18" t="s">
        <v>1629</v>
      </c>
      <c r="M2151" s="18" t="s">
        <v>1630</v>
      </c>
      <c r="N2151" s="14" t="s">
        <v>85</v>
      </c>
      <c r="O2151" s="47" t="s">
        <v>104</v>
      </c>
      <c r="P2151" s="18" t="s">
        <v>408</v>
      </c>
      <c r="Q2151" s="18"/>
      <c r="R2151" s="18"/>
      <c r="S2151" s="18">
        <v>359</v>
      </c>
      <c r="T2151" s="18">
        <v>415</v>
      </c>
      <c r="U2151" s="19">
        <f t="shared" si="147"/>
        <v>1.1559888579387188</v>
      </c>
      <c r="V2151" s="41">
        <f t="shared" si="146"/>
        <v>15.598885793871876</v>
      </c>
      <c r="W2151" s="18"/>
      <c r="X2151" s="14" t="s">
        <v>56</v>
      </c>
      <c r="Z2151" s="18" t="s">
        <v>58</v>
      </c>
      <c r="AA2151" s="47" t="s">
        <v>58</v>
      </c>
      <c r="AB2151" s="14" t="s">
        <v>57</v>
      </c>
      <c r="AC2151" s="18">
        <v>2006</v>
      </c>
      <c r="AD2151" s="18">
        <v>5</v>
      </c>
      <c r="AE2151" s="18"/>
      <c r="AF2151" s="18"/>
      <c r="AG2151" s="47">
        <v>2004</v>
      </c>
      <c r="AH2151" s="14">
        <f t="shared" si="144"/>
        <v>2</v>
      </c>
      <c r="AI2151" s="17">
        <f t="shared" si="145"/>
        <v>7</v>
      </c>
      <c r="AJ2151" s="18"/>
      <c r="AK2151" s="14" t="s">
        <v>56</v>
      </c>
      <c r="AL2151" s="62" t="s">
        <v>1628</v>
      </c>
      <c r="AM2151" s="18">
        <v>2013</v>
      </c>
      <c r="AN2151" s="50" t="s">
        <v>706</v>
      </c>
      <c r="AO2151" s="12" t="s">
        <v>56</v>
      </c>
      <c r="AP2151" s="50"/>
      <c r="AQ2151" s="12" t="s">
        <v>56</v>
      </c>
      <c r="AR2151" s="12" t="s">
        <v>58</v>
      </c>
      <c r="AS2151" s="50" t="s">
        <v>94</v>
      </c>
      <c r="AT2151" s="50"/>
      <c r="AU2151" s="64"/>
      <c r="AV2151" s="59"/>
      <c r="AW2151" s="12" t="str">
        <f>B2151&amp;C2151&amp;L2151&amp;M2151&amp;O2151&amp;U2151&amp;AL2151&amp;AM2151</f>
        <v>South AfricaPondoland MPA No-take zonePolysteganus praeorbitalisScotsman seabreamsize1.15598885793872Maggs2013</v>
      </c>
    </row>
    <row r="2152" spans="1:49" ht="14.5" x14ac:dyDescent="0.35">
      <c r="A2152" s="12">
        <v>2151</v>
      </c>
      <c r="B2152" s="50" t="s">
        <v>1624</v>
      </c>
      <c r="C2152" s="50" t="s">
        <v>2702</v>
      </c>
      <c r="D2152" s="59" t="s">
        <v>1625</v>
      </c>
      <c r="E2152" s="50" t="s">
        <v>68</v>
      </c>
      <c r="F2152" s="13" t="s">
        <v>480</v>
      </c>
      <c r="G2152" s="13" t="s">
        <v>51</v>
      </c>
      <c r="H2152" s="62" t="s">
        <v>329</v>
      </c>
      <c r="I2152" s="62" t="s">
        <v>53</v>
      </c>
      <c r="J2152" s="18">
        <v>400</v>
      </c>
      <c r="K2152" s="18"/>
      <c r="L2152" s="18" t="s">
        <v>1631</v>
      </c>
      <c r="M2152" s="18" t="s">
        <v>1632</v>
      </c>
      <c r="N2152" s="14" t="s">
        <v>85</v>
      </c>
      <c r="O2152" s="47" t="s">
        <v>104</v>
      </c>
      <c r="P2152" s="18" t="s">
        <v>408</v>
      </c>
      <c r="Q2152" s="18"/>
      <c r="R2152" s="18"/>
      <c r="S2152" s="18">
        <v>380</v>
      </c>
      <c r="T2152" s="18">
        <v>417</v>
      </c>
      <c r="U2152" s="19">
        <f t="shared" si="147"/>
        <v>1.0973684210526315</v>
      </c>
      <c r="V2152" s="41">
        <f t="shared" si="146"/>
        <v>9.736842105263154</v>
      </c>
      <c r="W2152" s="18"/>
      <c r="X2152" s="14" t="s">
        <v>56</v>
      </c>
      <c r="Z2152" s="18" t="s">
        <v>58</v>
      </c>
      <c r="AA2152" s="47" t="s">
        <v>58</v>
      </c>
      <c r="AB2152" s="14" t="s">
        <v>57</v>
      </c>
      <c r="AC2152" s="18">
        <v>2006</v>
      </c>
      <c r="AD2152" s="18">
        <v>5</v>
      </c>
      <c r="AE2152" s="18"/>
      <c r="AF2152" s="18"/>
      <c r="AG2152" s="47">
        <v>2004</v>
      </c>
      <c r="AH2152" s="14">
        <f t="shared" si="144"/>
        <v>2</v>
      </c>
      <c r="AI2152" s="17">
        <f t="shared" si="145"/>
        <v>7</v>
      </c>
      <c r="AJ2152" s="18"/>
      <c r="AK2152" s="14" t="s">
        <v>56</v>
      </c>
      <c r="AL2152" s="62" t="s">
        <v>1628</v>
      </c>
      <c r="AM2152" s="18">
        <v>2013</v>
      </c>
      <c r="AN2152" s="50" t="s">
        <v>706</v>
      </c>
      <c r="AO2152" s="12" t="s">
        <v>56</v>
      </c>
      <c r="AP2152" s="50"/>
      <c r="AQ2152" s="12" t="s">
        <v>56</v>
      </c>
      <c r="AR2152" s="12" t="s">
        <v>58</v>
      </c>
      <c r="AS2152" s="50" t="s">
        <v>94</v>
      </c>
      <c r="AT2152" s="50"/>
      <c r="AU2152" s="64"/>
      <c r="AV2152" s="59"/>
      <c r="AW2152" s="12" t="str">
        <f>B2152&amp;C2152&amp;L2152&amp;M2152&amp;O2152&amp;U2152&amp;AL2152&amp;AM2152</f>
        <v>South AfricaPondoland MPA No-take zoneCymatoceps nasutusBlack musselcrackersize1.09736842105263Maggs2013</v>
      </c>
    </row>
    <row r="2153" spans="1:49" ht="14.5" x14ac:dyDescent="0.35">
      <c r="A2153" s="12">
        <v>2152</v>
      </c>
      <c r="B2153" s="59" t="s">
        <v>1624</v>
      </c>
      <c r="C2153" s="50" t="s">
        <v>2702</v>
      </c>
      <c r="D2153" s="59" t="s">
        <v>1625</v>
      </c>
      <c r="E2153" s="59" t="s">
        <v>68</v>
      </c>
      <c r="F2153" s="16" t="s">
        <v>480</v>
      </c>
      <c r="G2153" s="16" t="s">
        <v>51</v>
      </c>
      <c r="H2153" s="61" t="s">
        <v>329</v>
      </c>
      <c r="I2153" s="61" t="s">
        <v>53</v>
      </c>
      <c r="J2153" s="47">
        <v>400</v>
      </c>
      <c r="K2153" s="47"/>
      <c r="L2153" s="47" t="s">
        <v>482</v>
      </c>
      <c r="M2153" s="47" t="s">
        <v>1633</v>
      </c>
      <c r="N2153" s="14" t="s">
        <v>85</v>
      </c>
      <c r="O2153" s="47" t="s">
        <v>104</v>
      </c>
      <c r="P2153" s="47" t="s">
        <v>408</v>
      </c>
      <c r="Q2153" s="47"/>
      <c r="R2153" s="47"/>
      <c r="S2153" s="47">
        <v>435</v>
      </c>
      <c r="T2153" s="47">
        <v>495</v>
      </c>
      <c r="U2153" s="20">
        <f t="shared" si="147"/>
        <v>1.1379310344827587</v>
      </c>
      <c r="V2153" s="41">
        <f t="shared" si="146"/>
        <v>13.793103448275868</v>
      </c>
      <c r="W2153" s="47"/>
      <c r="X2153" s="17" t="s">
        <v>56</v>
      </c>
      <c r="Y2153" s="17"/>
      <c r="Z2153" s="47" t="s">
        <v>58</v>
      </c>
      <c r="AA2153" s="47" t="s">
        <v>58</v>
      </c>
      <c r="AB2153" s="17" t="s">
        <v>57</v>
      </c>
      <c r="AC2153" s="47">
        <v>2006</v>
      </c>
      <c r="AD2153" s="47">
        <v>5</v>
      </c>
      <c r="AE2153" s="47"/>
      <c r="AF2153" s="47"/>
      <c r="AG2153" s="47">
        <v>2004</v>
      </c>
      <c r="AH2153" s="14">
        <f t="shared" si="144"/>
        <v>2</v>
      </c>
      <c r="AI2153" s="17">
        <f t="shared" si="145"/>
        <v>7</v>
      </c>
      <c r="AJ2153" s="47"/>
      <c r="AK2153" s="17" t="s">
        <v>56</v>
      </c>
      <c r="AL2153" s="61" t="s">
        <v>1628</v>
      </c>
      <c r="AM2153" s="47">
        <v>2013</v>
      </c>
      <c r="AN2153" s="59" t="s">
        <v>706</v>
      </c>
      <c r="AO2153" s="15" t="s">
        <v>56</v>
      </c>
      <c r="AP2153" s="59"/>
      <c r="AQ2153" s="15" t="s">
        <v>56</v>
      </c>
      <c r="AR2153" s="15" t="s">
        <v>58</v>
      </c>
      <c r="AS2153" s="59" t="s">
        <v>94</v>
      </c>
      <c r="AT2153" s="59"/>
      <c r="AU2153" s="64"/>
      <c r="AV2153" s="59"/>
      <c r="AW2153" s="12" t="str">
        <f>B2153&amp;C2153&amp;L2153&amp;M2153&amp;O2153&amp;U2153&amp;AL2153&amp;AM2153</f>
        <v>South AfricaPondoland MPA No-take zoneEpinephelus marginatusDusky groupersize1.13793103448276Maggs2013</v>
      </c>
    </row>
    <row r="2154" spans="1:49" ht="14.5" x14ac:dyDescent="0.35">
      <c r="A2154" s="12">
        <v>2153</v>
      </c>
      <c r="B2154" s="59" t="s">
        <v>210</v>
      </c>
      <c r="C2154" s="15" t="s">
        <v>1258</v>
      </c>
      <c r="D2154" s="59" t="s">
        <v>211</v>
      </c>
      <c r="E2154" s="59" t="s">
        <v>68</v>
      </c>
      <c r="F2154" s="16" t="s">
        <v>50</v>
      </c>
      <c r="G2154" s="16" t="s">
        <v>51</v>
      </c>
      <c r="H2154" s="13" t="s">
        <v>108</v>
      </c>
      <c r="I2154" s="13" t="s">
        <v>53</v>
      </c>
      <c r="J2154" s="47">
        <v>4</v>
      </c>
      <c r="K2154" s="47"/>
      <c r="L2154"/>
      <c r="M2154" s="47" t="s">
        <v>230</v>
      </c>
      <c r="N2154" s="53" t="s">
        <v>98</v>
      </c>
      <c r="O2154" s="47" t="s">
        <v>86</v>
      </c>
      <c r="P2154" s="47"/>
      <c r="Q2154" s="47"/>
      <c r="R2154" s="47"/>
      <c r="S2154" s="47">
        <f>SUM(75+41.7+83.3+91.7)/4</f>
        <v>72.924999999999997</v>
      </c>
      <c r="T2154" s="47">
        <f>SUM(91.6 + 66.7 + 91.7 + 66.7)/4</f>
        <v>79.174999999999997</v>
      </c>
      <c r="U2154" s="20">
        <f t="shared" si="147"/>
        <v>1.0857044909153239</v>
      </c>
      <c r="V2154" s="41">
        <f t="shared" si="146"/>
        <v>8.5704490915323959</v>
      </c>
      <c r="W2154" s="47"/>
      <c r="X2154" s="47" t="s">
        <v>56</v>
      </c>
      <c r="Y2154" s="47"/>
      <c r="Z2154" s="47" t="s">
        <v>58</v>
      </c>
      <c r="AA2154" s="47"/>
      <c r="AB2154" s="47" t="s">
        <v>57</v>
      </c>
      <c r="AC2154" s="47">
        <v>2010</v>
      </c>
      <c r="AD2154" s="47"/>
      <c r="AE2154" s="47">
        <v>10</v>
      </c>
      <c r="AF2154" s="47"/>
      <c r="AG2154" s="17">
        <v>2009</v>
      </c>
      <c r="AH2154" s="14">
        <f t="shared" si="144"/>
        <v>1</v>
      </c>
      <c r="AI2154" s="17">
        <f t="shared" si="145"/>
        <v>1.8333333333333335</v>
      </c>
      <c r="AJ2154" s="47"/>
      <c r="AK2154" s="47" t="s">
        <v>56</v>
      </c>
      <c r="AL2154" s="61" t="s">
        <v>231</v>
      </c>
      <c r="AM2154" s="47">
        <v>2013</v>
      </c>
      <c r="AN2154" s="59" t="s">
        <v>232</v>
      </c>
      <c r="AO2154" s="59" t="s">
        <v>56</v>
      </c>
      <c r="AP2154" s="59"/>
      <c r="AQ2154" s="59" t="s">
        <v>56</v>
      </c>
      <c r="AR2154" s="59" t="s">
        <v>58</v>
      </c>
      <c r="AS2154" s="59" t="s">
        <v>94</v>
      </c>
      <c r="AT2154" s="59"/>
      <c r="AU2154" s="45" t="s">
        <v>2829</v>
      </c>
      <c r="AV2154" s="15"/>
      <c r="AW2154" s="12" t="str">
        <f>B2154&amp;C2154&amp;L2154&amp;M2154&amp;O2154&amp;U2154&amp;AL2154&amp;AM2154</f>
        <v>PortugalLuiz Saldanha Marine Parkspongesdensity1.08570449091532Henriques2013</v>
      </c>
    </row>
    <row r="2155" spans="1:49" ht="14.5" x14ac:dyDescent="0.35">
      <c r="A2155" s="12">
        <v>2154</v>
      </c>
      <c r="B2155" s="59" t="s">
        <v>210</v>
      </c>
      <c r="C2155" s="15" t="s">
        <v>1258</v>
      </c>
      <c r="D2155" s="59" t="s">
        <v>211</v>
      </c>
      <c r="E2155" s="59" t="s">
        <v>68</v>
      </c>
      <c r="F2155" s="16" t="s">
        <v>50</v>
      </c>
      <c r="G2155" s="16" t="s">
        <v>51</v>
      </c>
      <c r="H2155" s="13" t="s">
        <v>108</v>
      </c>
      <c r="I2155" s="13" t="s">
        <v>53</v>
      </c>
      <c r="J2155" s="47">
        <v>4</v>
      </c>
      <c r="K2155" s="47"/>
      <c r="L2155"/>
      <c r="M2155" s="47" t="s">
        <v>233</v>
      </c>
      <c r="N2155" s="53" t="s">
        <v>98</v>
      </c>
      <c r="O2155" s="47" t="s">
        <v>86</v>
      </c>
      <c r="P2155" s="47"/>
      <c r="Q2155" s="47"/>
      <c r="R2155" s="47"/>
      <c r="S2155" s="47">
        <f>SUM(41.7+58.3+33.3+41.7)/4</f>
        <v>43.75</v>
      </c>
      <c r="T2155" s="47">
        <f>SUM(66.7+91.7+91.7+66.7)/4</f>
        <v>79.2</v>
      </c>
      <c r="U2155" s="20">
        <f t="shared" si="147"/>
        <v>1.8102857142857143</v>
      </c>
      <c r="V2155" s="41">
        <f t="shared" si="146"/>
        <v>81.028571428571425</v>
      </c>
      <c r="W2155" s="47"/>
      <c r="X2155" s="47" t="s">
        <v>56</v>
      </c>
      <c r="Y2155" s="47"/>
      <c r="Z2155" s="47" t="s">
        <v>58</v>
      </c>
      <c r="AA2155" s="47"/>
      <c r="AB2155" s="47" t="s">
        <v>57</v>
      </c>
      <c r="AC2155" s="47">
        <v>2010</v>
      </c>
      <c r="AD2155" s="47"/>
      <c r="AE2155" s="47">
        <v>10</v>
      </c>
      <c r="AF2155" s="47"/>
      <c r="AG2155" s="17">
        <v>2009</v>
      </c>
      <c r="AH2155" s="14">
        <f t="shared" si="144"/>
        <v>1</v>
      </c>
      <c r="AI2155" s="17">
        <f t="shared" si="145"/>
        <v>1.8333333333333335</v>
      </c>
      <c r="AJ2155" s="47"/>
      <c r="AK2155" s="47" t="s">
        <v>56</v>
      </c>
      <c r="AL2155" s="61" t="s">
        <v>231</v>
      </c>
      <c r="AM2155" s="47">
        <v>2013</v>
      </c>
      <c r="AN2155" s="50" t="s">
        <v>232</v>
      </c>
      <c r="AO2155" s="59" t="s">
        <v>56</v>
      </c>
      <c r="AP2155" s="59"/>
      <c r="AQ2155" s="59" t="s">
        <v>56</v>
      </c>
      <c r="AR2155" s="59" t="s">
        <v>58</v>
      </c>
      <c r="AS2155" s="59" t="s">
        <v>94</v>
      </c>
      <c r="AT2155" s="59"/>
      <c r="AU2155" s="45" t="s">
        <v>2829</v>
      </c>
      <c r="AV2155" s="15"/>
      <c r="AW2155" s="12" t="str">
        <f>B2155&amp;C2155&amp;L2155&amp;M2155&amp;O2155&amp;U2155&amp;AL2155&amp;AM2155</f>
        <v>PortugalLuiz Saldanha Marine ParkAnemonesdensity1.81028571428571Henriques2013</v>
      </c>
    </row>
    <row r="2156" spans="1:49" ht="14.5" x14ac:dyDescent="0.35">
      <c r="A2156" s="12">
        <v>2155</v>
      </c>
      <c r="B2156" s="50" t="s">
        <v>210</v>
      </c>
      <c r="C2156" s="15" t="s">
        <v>1258</v>
      </c>
      <c r="D2156" s="59" t="s">
        <v>211</v>
      </c>
      <c r="E2156" s="50" t="s">
        <v>68</v>
      </c>
      <c r="F2156" s="13" t="s">
        <v>50</v>
      </c>
      <c r="G2156" s="13" t="s">
        <v>51</v>
      </c>
      <c r="H2156" s="13" t="s">
        <v>108</v>
      </c>
      <c r="I2156" s="13" t="s">
        <v>53</v>
      </c>
      <c r="J2156" s="47">
        <v>4</v>
      </c>
      <c r="K2156" s="47"/>
      <c r="L2156"/>
      <c r="M2156" s="18" t="s">
        <v>234</v>
      </c>
      <c r="N2156" s="53" t="s">
        <v>98</v>
      </c>
      <c r="O2156" s="18" t="s">
        <v>86</v>
      </c>
      <c r="P2156" s="18"/>
      <c r="Q2156" s="18"/>
      <c r="R2156" s="18"/>
      <c r="S2156" s="18">
        <f>SUM(50+33.3+41.7+33.3)/4</f>
        <v>39.575000000000003</v>
      </c>
      <c r="T2156" s="18">
        <f>SUM(91.7 + 33.7+41.7+75)/4</f>
        <v>60.525000000000006</v>
      </c>
      <c r="U2156" s="19">
        <f t="shared" si="147"/>
        <v>1.5293746051800379</v>
      </c>
      <c r="V2156" s="41">
        <f t="shared" si="146"/>
        <v>52.937460518003789</v>
      </c>
      <c r="W2156" s="18"/>
      <c r="X2156" s="18" t="s">
        <v>56</v>
      </c>
      <c r="Y2156" s="18"/>
      <c r="Z2156" s="18" t="s">
        <v>58</v>
      </c>
      <c r="AA2156" s="18"/>
      <c r="AB2156" s="18" t="s">
        <v>57</v>
      </c>
      <c r="AC2156" s="18">
        <v>2010</v>
      </c>
      <c r="AD2156" s="18"/>
      <c r="AE2156" s="18">
        <v>10</v>
      </c>
      <c r="AF2156" s="18"/>
      <c r="AG2156" s="17">
        <v>2009</v>
      </c>
      <c r="AH2156" s="14">
        <f t="shared" si="144"/>
        <v>1</v>
      </c>
      <c r="AI2156" s="17">
        <f t="shared" si="145"/>
        <v>1.8333333333333335</v>
      </c>
      <c r="AJ2156" s="18"/>
      <c r="AK2156" s="18" t="s">
        <v>56</v>
      </c>
      <c r="AL2156" s="62" t="s">
        <v>231</v>
      </c>
      <c r="AM2156" s="18">
        <v>2013</v>
      </c>
      <c r="AN2156" s="50" t="s">
        <v>232</v>
      </c>
      <c r="AO2156" s="50" t="s">
        <v>56</v>
      </c>
      <c r="AP2156" s="50"/>
      <c r="AQ2156" s="50" t="s">
        <v>56</v>
      </c>
      <c r="AR2156" s="50" t="s">
        <v>58</v>
      </c>
      <c r="AS2156" s="50" t="s">
        <v>94</v>
      </c>
      <c r="AT2156" s="50"/>
      <c r="AU2156" s="45" t="s">
        <v>2829</v>
      </c>
      <c r="AV2156" s="15"/>
      <c r="AW2156" s="12" t="str">
        <f>B2156&amp;C2156&amp;L2156&amp;M2156&amp;O2156&amp;U2156&amp;AL2156&amp;AM2156</f>
        <v>PortugalLuiz Saldanha Marine ParkHydrozoansdensity1.52937460518004Henriques2013</v>
      </c>
    </row>
    <row r="2157" spans="1:49" ht="14.5" x14ac:dyDescent="0.35">
      <c r="A2157" s="12">
        <v>2156</v>
      </c>
      <c r="B2157" s="50" t="s">
        <v>210</v>
      </c>
      <c r="C2157" s="15" t="s">
        <v>1258</v>
      </c>
      <c r="D2157" s="59" t="s">
        <v>211</v>
      </c>
      <c r="E2157" s="50" t="s">
        <v>68</v>
      </c>
      <c r="F2157" s="13" t="s">
        <v>50</v>
      </c>
      <c r="G2157" s="13" t="s">
        <v>51</v>
      </c>
      <c r="H2157" s="13" t="s">
        <v>108</v>
      </c>
      <c r="I2157" s="13" t="s">
        <v>53</v>
      </c>
      <c r="J2157" s="47">
        <v>4</v>
      </c>
      <c r="K2157" s="47"/>
      <c r="L2157"/>
      <c r="M2157" s="18" t="s">
        <v>235</v>
      </c>
      <c r="N2157" s="53" t="s">
        <v>98</v>
      </c>
      <c r="O2157" s="47" t="s">
        <v>86</v>
      </c>
      <c r="P2157" s="18"/>
      <c r="Q2157" s="18"/>
      <c r="R2157" s="18"/>
      <c r="S2157" s="18">
        <v>0</v>
      </c>
      <c r="T2157" s="18">
        <f>SUM(25+16.7+33.3+33.3)/4</f>
        <v>27.074999999999999</v>
      </c>
      <c r="U2157" s="19" t="str">
        <f t="shared" si="147"/>
        <v>N/A</v>
      </c>
      <c r="V2157" s="41" t="str">
        <f t="shared" si="146"/>
        <v>N/A</v>
      </c>
      <c r="W2157" s="18"/>
      <c r="X2157" s="18" t="s">
        <v>56</v>
      </c>
      <c r="Y2157" s="18"/>
      <c r="Z2157" s="18" t="s">
        <v>58</v>
      </c>
      <c r="AA2157" s="18"/>
      <c r="AB2157" s="18" t="s">
        <v>57</v>
      </c>
      <c r="AC2157" s="18">
        <v>2010</v>
      </c>
      <c r="AD2157" s="18"/>
      <c r="AE2157" s="18">
        <v>10</v>
      </c>
      <c r="AF2157" s="18"/>
      <c r="AG2157" s="17">
        <v>2009</v>
      </c>
      <c r="AH2157" s="14">
        <f t="shared" si="144"/>
        <v>1</v>
      </c>
      <c r="AI2157" s="17">
        <f t="shared" si="145"/>
        <v>1.8333333333333335</v>
      </c>
      <c r="AJ2157" s="18"/>
      <c r="AK2157" s="18" t="s">
        <v>56</v>
      </c>
      <c r="AL2157" s="62" t="s">
        <v>231</v>
      </c>
      <c r="AM2157" s="18">
        <v>2013</v>
      </c>
      <c r="AN2157" s="50" t="s">
        <v>232</v>
      </c>
      <c r="AO2157" s="50" t="s">
        <v>56</v>
      </c>
      <c r="AP2157" s="50"/>
      <c r="AQ2157" s="50" t="s">
        <v>56</v>
      </c>
      <c r="AR2157" s="50" t="s">
        <v>58</v>
      </c>
      <c r="AS2157" s="50" t="s">
        <v>94</v>
      </c>
      <c r="AT2157" s="50"/>
      <c r="AU2157" s="45" t="s">
        <v>2829</v>
      </c>
      <c r="AV2157" s="15"/>
      <c r="AW2157" s="12" t="str">
        <f>B2157&amp;C2157&amp;L2157&amp;M2157&amp;O2157&amp;U2157&amp;AL2157&amp;AM2157</f>
        <v>PortugalLuiz Saldanha Marine ParkGorgoniansdensityN/AHenriques2013</v>
      </c>
    </row>
    <row r="2158" spans="1:49" ht="14.5" x14ac:dyDescent="0.35">
      <c r="A2158" s="12">
        <v>2157</v>
      </c>
      <c r="B2158" s="50" t="s">
        <v>210</v>
      </c>
      <c r="C2158" s="15" t="s">
        <v>1258</v>
      </c>
      <c r="D2158" s="59" t="s">
        <v>211</v>
      </c>
      <c r="E2158" s="50" t="s">
        <v>68</v>
      </c>
      <c r="F2158" s="13" t="s">
        <v>50</v>
      </c>
      <c r="G2158" s="13" t="s">
        <v>51</v>
      </c>
      <c r="H2158" s="13" t="s">
        <v>108</v>
      </c>
      <c r="I2158" s="13" t="s">
        <v>53</v>
      </c>
      <c r="J2158" s="18">
        <v>4</v>
      </c>
      <c r="K2158" s="18"/>
      <c r="L2158"/>
      <c r="M2158" s="18" t="s">
        <v>236</v>
      </c>
      <c r="N2158" s="53" t="s">
        <v>98</v>
      </c>
      <c r="O2158" s="47" t="s">
        <v>86</v>
      </c>
      <c r="P2158" s="18"/>
      <c r="Q2158" s="18"/>
      <c r="R2158" s="18"/>
      <c r="S2158" s="18">
        <v>100</v>
      </c>
      <c r="T2158" s="18">
        <f>100</f>
        <v>100</v>
      </c>
      <c r="U2158" s="19">
        <f t="shared" si="147"/>
        <v>1</v>
      </c>
      <c r="V2158" s="41">
        <f t="shared" si="146"/>
        <v>0</v>
      </c>
      <c r="W2158" s="18"/>
      <c r="X2158" s="18" t="s">
        <v>56</v>
      </c>
      <c r="Y2158" s="18"/>
      <c r="Z2158" s="18" t="s">
        <v>58</v>
      </c>
      <c r="AA2158" s="18"/>
      <c r="AB2158" s="18" t="s">
        <v>57</v>
      </c>
      <c r="AC2158" s="18">
        <v>2010</v>
      </c>
      <c r="AD2158" s="18"/>
      <c r="AE2158" s="18">
        <v>10</v>
      </c>
      <c r="AF2158" s="18"/>
      <c r="AG2158" s="17">
        <v>2009</v>
      </c>
      <c r="AH2158" s="14">
        <f t="shared" si="144"/>
        <v>1</v>
      </c>
      <c r="AI2158" s="17">
        <f t="shared" si="145"/>
        <v>1.8333333333333335</v>
      </c>
      <c r="AJ2158" s="18"/>
      <c r="AK2158" s="18" t="s">
        <v>56</v>
      </c>
      <c r="AL2158" s="62" t="s">
        <v>231</v>
      </c>
      <c r="AM2158" s="18">
        <v>2013</v>
      </c>
      <c r="AN2158" s="50" t="s">
        <v>232</v>
      </c>
      <c r="AO2158" s="50" t="s">
        <v>56</v>
      </c>
      <c r="AP2158" s="50"/>
      <c r="AQ2158" s="50" t="s">
        <v>56</v>
      </c>
      <c r="AR2158" s="50" t="s">
        <v>58</v>
      </c>
      <c r="AS2158" s="50" t="s">
        <v>94</v>
      </c>
      <c r="AT2158" s="50"/>
      <c r="AU2158" s="45" t="s">
        <v>2829</v>
      </c>
      <c r="AV2158" s="15"/>
      <c r="AW2158" s="12" t="str">
        <f>B2158&amp;C2158&amp;L2158&amp;M2158&amp;O2158&amp;U2158&amp;AL2158&amp;AM2158</f>
        <v>PortugalLuiz Saldanha Marine ParkPolychaetesdensity1Henriques2013</v>
      </c>
    </row>
    <row r="2159" spans="1:49" ht="14.5" x14ac:dyDescent="0.35">
      <c r="A2159" s="12">
        <v>2158</v>
      </c>
      <c r="B2159" s="50" t="s">
        <v>210</v>
      </c>
      <c r="C2159" s="15" t="s">
        <v>1258</v>
      </c>
      <c r="D2159" s="50" t="s">
        <v>211</v>
      </c>
      <c r="E2159" s="50" t="s">
        <v>68</v>
      </c>
      <c r="F2159" s="13" t="s">
        <v>50</v>
      </c>
      <c r="G2159" s="13" t="s">
        <v>51</v>
      </c>
      <c r="H2159" s="13" t="s">
        <v>108</v>
      </c>
      <c r="I2159" s="13" t="s">
        <v>53</v>
      </c>
      <c r="J2159" s="18">
        <v>4</v>
      </c>
      <c r="K2159" s="18"/>
      <c r="L2159" s="17" t="s">
        <v>1355</v>
      </c>
      <c r="M2159" s="18" t="s">
        <v>237</v>
      </c>
      <c r="N2159" s="53" t="s">
        <v>98</v>
      </c>
      <c r="O2159" s="47" t="s">
        <v>86</v>
      </c>
      <c r="P2159" s="18"/>
      <c r="Q2159" s="18"/>
      <c r="R2159" s="18"/>
      <c r="S2159" s="18">
        <f>SUM(50+33.3)/2</f>
        <v>41.65</v>
      </c>
      <c r="T2159" s="18">
        <f>SUM(41.7+50+50+41.7)/4</f>
        <v>45.849999999999994</v>
      </c>
      <c r="U2159" s="19">
        <f t="shared" si="147"/>
        <v>1.1008403361344536</v>
      </c>
      <c r="V2159" s="41">
        <f t="shared" si="146"/>
        <v>10.084033613445364</v>
      </c>
      <c r="W2159" s="18"/>
      <c r="X2159" s="18" t="s">
        <v>56</v>
      </c>
      <c r="Y2159" s="18"/>
      <c r="Z2159" s="18" t="s">
        <v>58</v>
      </c>
      <c r="AA2159" s="18"/>
      <c r="AB2159" s="18" t="s">
        <v>57</v>
      </c>
      <c r="AC2159" s="18">
        <v>2010</v>
      </c>
      <c r="AD2159" s="18"/>
      <c r="AE2159" s="18">
        <v>10</v>
      </c>
      <c r="AF2159" s="18"/>
      <c r="AG2159" s="14">
        <v>2009</v>
      </c>
      <c r="AH2159" s="14">
        <f t="shared" si="144"/>
        <v>1</v>
      </c>
      <c r="AI2159" s="17">
        <f t="shared" si="145"/>
        <v>1.8333333333333335</v>
      </c>
      <c r="AJ2159" s="18"/>
      <c r="AK2159" s="18" t="s">
        <v>56</v>
      </c>
      <c r="AL2159" s="62" t="s">
        <v>231</v>
      </c>
      <c r="AM2159" s="18">
        <v>2013</v>
      </c>
      <c r="AN2159" s="50" t="s">
        <v>232</v>
      </c>
      <c r="AO2159" s="50" t="s">
        <v>56</v>
      </c>
      <c r="AP2159" s="50"/>
      <c r="AQ2159" s="50" t="s">
        <v>56</v>
      </c>
      <c r="AR2159" s="50" t="s">
        <v>58</v>
      </c>
      <c r="AS2159" s="50" t="s">
        <v>94</v>
      </c>
      <c r="AT2159" s="50"/>
      <c r="AU2159" s="45" t="s">
        <v>2829</v>
      </c>
      <c r="AV2159" s="15"/>
      <c r="AW2159" s="12" t="str">
        <f>B2159&amp;C2159&amp;L2159&amp;M2159&amp;O2159&amp;U2159&amp;AL2159&amp;AM2159</f>
        <v>PortugalLuiz Saldanha Marine ParkGastropodaGastropodsdensity1.10084033613445Henriques2013</v>
      </c>
    </row>
    <row r="2160" spans="1:49" ht="14.5" x14ac:dyDescent="0.35">
      <c r="A2160" s="12">
        <v>2159</v>
      </c>
      <c r="B2160" s="59" t="s">
        <v>210</v>
      </c>
      <c r="C2160" s="15" t="s">
        <v>1258</v>
      </c>
      <c r="D2160" s="59" t="s">
        <v>211</v>
      </c>
      <c r="E2160" s="50" t="s">
        <v>68</v>
      </c>
      <c r="F2160" s="13" t="s">
        <v>50</v>
      </c>
      <c r="G2160" s="13" t="s">
        <v>51</v>
      </c>
      <c r="H2160" s="13" t="s">
        <v>108</v>
      </c>
      <c r="I2160" s="13" t="s">
        <v>53</v>
      </c>
      <c r="J2160" s="47">
        <v>4</v>
      </c>
      <c r="K2160" s="47"/>
      <c r="L2160"/>
      <c r="M2160" s="47" t="s">
        <v>238</v>
      </c>
      <c r="N2160" s="53" t="s">
        <v>98</v>
      </c>
      <c r="O2160" s="47" t="s">
        <v>86</v>
      </c>
      <c r="P2160" s="47"/>
      <c r="Q2160" s="47"/>
      <c r="R2160" s="47"/>
      <c r="S2160" s="47">
        <f>SUM(8.3+16.7+41.7)/4</f>
        <v>16.675000000000001</v>
      </c>
      <c r="T2160" s="47">
        <f>(0+25+16.7+8.3)/4</f>
        <v>12.5</v>
      </c>
      <c r="U2160" s="19">
        <f t="shared" si="147"/>
        <v>0.7496251874062968</v>
      </c>
      <c r="V2160" s="41">
        <f t="shared" si="146"/>
        <v>-25.03748125937032</v>
      </c>
      <c r="W2160" s="18"/>
      <c r="X2160" s="47" t="s">
        <v>56</v>
      </c>
      <c r="Y2160" s="47"/>
      <c r="Z2160" s="47" t="s">
        <v>58</v>
      </c>
      <c r="AA2160" s="47"/>
      <c r="AB2160" s="47" t="s">
        <v>57</v>
      </c>
      <c r="AC2160" s="47">
        <v>2010</v>
      </c>
      <c r="AD2160" s="47"/>
      <c r="AE2160" s="47">
        <v>10</v>
      </c>
      <c r="AF2160" s="47"/>
      <c r="AG2160" s="17">
        <v>2009</v>
      </c>
      <c r="AH2160" s="14">
        <f t="shared" si="144"/>
        <v>1</v>
      </c>
      <c r="AI2160" s="17">
        <f t="shared" si="145"/>
        <v>1.8333333333333335</v>
      </c>
      <c r="AJ2160" s="47"/>
      <c r="AK2160" s="47" t="s">
        <v>56</v>
      </c>
      <c r="AL2160" s="61" t="s">
        <v>231</v>
      </c>
      <c r="AM2160" s="47">
        <v>2013</v>
      </c>
      <c r="AN2160" s="59" t="s">
        <v>232</v>
      </c>
      <c r="AO2160" s="59" t="s">
        <v>56</v>
      </c>
      <c r="AP2160" s="59"/>
      <c r="AQ2160" s="59" t="s">
        <v>56</v>
      </c>
      <c r="AR2160" s="59" t="s">
        <v>58</v>
      </c>
      <c r="AS2160" s="59" t="s">
        <v>94</v>
      </c>
      <c r="AT2160" s="50"/>
      <c r="AU2160" s="45" t="s">
        <v>2829</v>
      </c>
      <c r="AV2160" s="15"/>
      <c r="AW2160" s="12" t="str">
        <f>B2160&amp;C2160&amp;L2160&amp;M2160&amp;O2160&amp;U2160&amp;AL2160&amp;AM2160</f>
        <v>PortugalLuiz Saldanha Marine ParkBivalvesdensity0.749625187406297Henriques2013</v>
      </c>
    </row>
    <row r="2161" spans="1:49" ht="14.5" x14ac:dyDescent="0.35">
      <c r="A2161" s="12">
        <v>2160</v>
      </c>
      <c r="B2161" s="59" t="s">
        <v>210</v>
      </c>
      <c r="C2161" s="15" t="s">
        <v>1258</v>
      </c>
      <c r="D2161" s="50" t="s">
        <v>211</v>
      </c>
      <c r="E2161" s="59" t="s">
        <v>68</v>
      </c>
      <c r="F2161" s="16" t="s">
        <v>50</v>
      </c>
      <c r="G2161" s="16" t="s">
        <v>51</v>
      </c>
      <c r="H2161" s="13" t="s">
        <v>108</v>
      </c>
      <c r="I2161" s="13" t="s">
        <v>53</v>
      </c>
      <c r="J2161" s="47">
        <v>4</v>
      </c>
      <c r="K2161" s="47"/>
      <c r="L2161" s="47" t="s">
        <v>239</v>
      </c>
      <c r="M2161"/>
      <c r="N2161" s="53" t="s">
        <v>98</v>
      </c>
      <c r="O2161" s="47" t="s">
        <v>86</v>
      </c>
      <c r="P2161" s="47"/>
      <c r="Q2161" s="47"/>
      <c r="R2161" s="47"/>
      <c r="S2161" s="47">
        <f>SUM(8.3+25+33.3+8.3)/4</f>
        <v>18.724999999999998</v>
      </c>
      <c r="T2161" s="47">
        <f>(8.3+33.3+25+0)/4</f>
        <v>16.649999999999999</v>
      </c>
      <c r="U2161" s="20">
        <f t="shared" si="147"/>
        <v>0.88918558077436582</v>
      </c>
      <c r="V2161" s="41">
        <f t="shared" si="146"/>
        <v>-11.081441922563418</v>
      </c>
      <c r="W2161" s="47"/>
      <c r="X2161" s="47" t="s">
        <v>56</v>
      </c>
      <c r="Y2161" s="47"/>
      <c r="Z2161" s="47" t="s">
        <v>58</v>
      </c>
      <c r="AA2161" s="47"/>
      <c r="AB2161" s="47" t="s">
        <v>57</v>
      </c>
      <c r="AC2161" s="47">
        <v>2010</v>
      </c>
      <c r="AD2161" s="47"/>
      <c r="AE2161" s="47">
        <v>10</v>
      </c>
      <c r="AF2161" s="47"/>
      <c r="AG2161" s="17">
        <v>2009</v>
      </c>
      <c r="AH2161" s="14">
        <f t="shared" si="144"/>
        <v>1</v>
      </c>
      <c r="AI2161" s="17">
        <f t="shared" si="145"/>
        <v>1.8333333333333335</v>
      </c>
      <c r="AJ2161" s="47"/>
      <c r="AK2161" s="47" t="s">
        <v>56</v>
      </c>
      <c r="AL2161" s="61" t="s">
        <v>231</v>
      </c>
      <c r="AM2161" s="47">
        <v>2013</v>
      </c>
      <c r="AN2161" s="59" t="s">
        <v>232</v>
      </c>
      <c r="AO2161" s="59" t="s">
        <v>56</v>
      </c>
      <c r="AP2161" s="59"/>
      <c r="AQ2161" s="59" t="s">
        <v>56</v>
      </c>
      <c r="AR2161" s="59" t="s">
        <v>58</v>
      </c>
      <c r="AS2161" s="59" t="s">
        <v>94</v>
      </c>
      <c r="AT2161" s="59"/>
      <c r="AU2161" s="45" t="s">
        <v>2829</v>
      </c>
      <c r="AV2161" s="15"/>
      <c r="AW2161" s="12" t="str">
        <f>B2161&amp;C2161&amp;L2161&amp;M2161&amp;O2161&amp;U2161&amp;AL2161&amp;AM2161</f>
        <v>PortugalLuiz Saldanha Marine ParkCrustaceansdensity0.889185580774366Henriques2013</v>
      </c>
    </row>
    <row r="2162" spans="1:49" ht="14.5" x14ac:dyDescent="0.35">
      <c r="A2162" s="12">
        <v>2161</v>
      </c>
      <c r="B2162" s="59" t="s">
        <v>210</v>
      </c>
      <c r="C2162" s="15" t="s">
        <v>1258</v>
      </c>
      <c r="D2162" s="50" t="s">
        <v>211</v>
      </c>
      <c r="E2162" s="59" t="s">
        <v>68</v>
      </c>
      <c r="F2162" s="13" t="s">
        <v>50</v>
      </c>
      <c r="G2162" s="13" t="s">
        <v>51</v>
      </c>
      <c r="H2162" s="13" t="s">
        <v>108</v>
      </c>
      <c r="I2162" s="13" t="s">
        <v>53</v>
      </c>
      <c r="J2162" s="47">
        <v>4</v>
      </c>
      <c r="K2162" s="47"/>
      <c r="L2162" s="47" t="s">
        <v>240</v>
      </c>
      <c r="N2162" s="53" t="s">
        <v>98</v>
      </c>
      <c r="O2162" s="47" t="s">
        <v>86</v>
      </c>
      <c r="P2162" s="47"/>
      <c r="Q2162" s="47"/>
      <c r="R2162" s="47"/>
      <c r="S2162" s="47">
        <f>8.3/4</f>
        <v>2.0750000000000002</v>
      </c>
      <c r="T2162" s="47">
        <f>(33.3+16.7+8.3+16.7)/4</f>
        <v>18.75</v>
      </c>
      <c r="U2162" s="20">
        <f t="shared" si="147"/>
        <v>9.0361445783132517</v>
      </c>
      <c r="V2162" s="41">
        <f t="shared" si="146"/>
        <v>803.61445783132513</v>
      </c>
      <c r="W2162" s="47"/>
      <c r="X2162" s="47" t="s">
        <v>56</v>
      </c>
      <c r="Y2162" s="47"/>
      <c r="Z2162" s="47" t="s">
        <v>58</v>
      </c>
      <c r="AA2162" s="47"/>
      <c r="AB2162" s="47" t="s">
        <v>57</v>
      </c>
      <c r="AC2162" s="47">
        <v>2010</v>
      </c>
      <c r="AD2162" s="47"/>
      <c r="AE2162" s="47">
        <v>10</v>
      </c>
      <c r="AF2162" s="47"/>
      <c r="AG2162" s="17">
        <v>2009</v>
      </c>
      <c r="AH2162" s="14">
        <f t="shared" si="144"/>
        <v>1</v>
      </c>
      <c r="AI2162" s="17">
        <f t="shared" si="145"/>
        <v>1.8333333333333335</v>
      </c>
      <c r="AJ2162" s="47"/>
      <c r="AK2162" s="47" t="s">
        <v>56</v>
      </c>
      <c r="AL2162" s="61" t="s">
        <v>231</v>
      </c>
      <c r="AM2162" s="47">
        <v>2013</v>
      </c>
      <c r="AN2162" s="59" t="s">
        <v>232</v>
      </c>
      <c r="AO2162" s="59" t="s">
        <v>56</v>
      </c>
      <c r="AP2162" s="59"/>
      <c r="AQ2162" s="59" t="s">
        <v>56</v>
      </c>
      <c r="AR2162" s="59" t="s">
        <v>58</v>
      </c>
      <c r="AS2162" s="59" t="s">
        <v>94</v>
      </c>
      <c r="AT2162" s="59"/>
      <c r="AU2162" s="45" t="s">
        <v>2829</v>
      </c>
      <c r="AV2162" s="15"/>
      <c r="AW2162" s="12" t="str">
        <f>B2162&amp;C2162&amp;L2162&amp;M2162&amp;O2162&amp;U2162&amp;AL2162&amp;AM2162</f>
        <v>PortugalLuiz Saldanha Marine ParkAscidiansdensity9.03614457831325Henriques2013</v>
      </c>
    </row>
    <row r="2163" spans="1:49" ht="14.5" x14ac:dyDescent="0.35">
      <c r="A2163" s="12">
        <v>2162</v>
      </c>
      <c r="B2163" s="59" t="s">
        <v>210</v>
      </c>
      <c r="C2163" s="15" t="s">
        <v>1258</v>
      </c>
      <c r="D2163" s="59" t="s">
        <v>211</v>
      </c>
      <c r="E2163" s="50" t="s">
        <v>68</v>
      </c>
      <c r="F2163" s="13" t="s">
        <v>50</v>
      </c>
      <c r="G2163" s="13" t="s">
        <v>51</v>
      </c>
      <c r="H2163" s="13" t="s">
        <v>108</v>
      </c>
      <c r="I2163" s="13" t="s">
        <v>53</v>
      </c>
      <c r="J2163" s="47">
        <v>4</v>
      </c>
      <c r="K2163" s="47"/>
      <c r="L2163"/>
      <c r="M2163" s="47" t="s">
        <v>241</v>
      </c>
      <c r="N2163" s="53" t="s">
        <v>98</v>
      </c>
      <c r="O2163" s="47" t="s">
        <v>86</v>
      </c>
      <c r="P2163" s="47"/>
      <c r="Q2163" s="47"/>
      <c r="R2163" s="47"/>
      <c r="S2163" s="47">
        <f>8.3/4</f>
        <v>2.0750000000000002</v>
      </c>
      <c r="T2163" s="47">
        <f>8.3/4</f>
        <v>2.0750000000000002</v>
      </c>
      <c r="U2163" s="19">
        <f t="shared" si="147"/>
        <v>1</v>
      </c>
      <c r="V2163" s="41">
        <f t="shared" si="146"/>
        <v>0</v>
      </c>
      <c r="W2163" s="18"/>
      <c r="X2163" s="47" t="s">
        <v>56</v>
      </c>
      <c r="Y2163" s="47"/>
      <c r="Z2163" s="47" t="s">
        <v>58</v>
      </c>
      <c r="AA2163" s="47"/>
      <c r="AB2163" s="47" t="s">
        <v>57</v>
      </c>
      <c r="AC2163" s="47">
        <v>2010</v>
      </c>
      <c r="AD2163" s="47"/>
      <c r="AE2163" s="47">
        <v>10</v>
      </c>
      <c r="AF2163" s="47"/>
      <c r="AG2163" s="17">
        <v>2009</v>
      </c>
      <c r="AH2163" s="14">
        <f t="shared" si="144"/>
        <v>1</v>
      </c>
      <c r="AI2163" s="17">
        <f t="shared" si="145"/>
        <v>1.8333333333333335</v>
      </c>
      <c r="AJ2163" s="47"/>
      <c r="AK2163" s="47" t="s">
        <v>56</v>
      </c>
      <c r="AL2163" s="61" t="s">
        <v>231</v>
      </c>
      <c r="AM2163" s="47">
        <v>2013</v>
      </c>
      <c r="AN2163" s="59" t="s">
        <v>232</v>
      </c>
      <c r="AO2163" s="59" t="s">
        <v>56</v>
      </c>
      <c r="AP2163" s="59"/>
      <c r="AQ2163" s="59" t="s">
        <v>56</v>
      </c>
      <c r="AR2163" s="59" t="s">
        <v>58</v>
      </c>
      <c r="AS2163" s="59" t="s">
        <v>94</v>
      </c>
      <c r="AT2163" s="50"/>
      <c r="AU2163" s="45" t="s">
        <v>2829</v>
      </c>
      <c r="AV2163" s="15"/>
      <c r="AW2163" s="12" t="str">
        <f>B2163&amp;C2163&amp;L2163&amp;M2163&amp;O2163&amp;U2163&amp;AL2163&amp;AM2163</f>
        <v>PortugalLuiz Saldanha Marine ParkSea starsdensity1Henriques2013</v>
      </c>
    </row>
    <row r="2164" spans="1:49" ht="14.5" x14ac:dyDescent="0.35">
      <c r="A2164" s="12">
        <v>2163</v>
      </c>
      <c r="B2164" s="59" t="s">
        <v>210</v>
      </c>
      <c r="C2164" s="15" t="s">
        <v>1258</v>
      </c>
      <c r="D2164" s="59" t="s">
        <v>211</v>
      </c>
      <c r="E2164" s="50" t="s">
        <v>68</v>
      </c>
      <c r="F2164" s="13" t="s">
        <v>50</v>
      </c>
      <c r="G2164" s="13" t="s">
        <v>51</v>
      </c>
      <c r="H2164" s="13" t="s">
        <v>108</v>
      </c>
      <c r="I2164" s="13" t="s">
        <v>53</v>
      </c>
      <c r="J2164" s="47">
        <v>4</v>
      </c>
      <c r="K2164" s="47"/>
      <c r="L2164" s="14" t="s">
        <v>445</v>
      </c>
      <c r="M2164" s="47" t="s">
        <v>242</v>
      </c>
      <c r="N2164" s="14" t="s">
        <v>446</v>
      </c>
      <c r="O2164" s="47" t="s">
        <v>86</v>
      </c>
      <c r="P2164" s="47"/>
      <c r="Q2164" s="47"/>
      <c r="R2164" s="47"/>
      <c r="S2164" s="47">
        <f>SUM(25+50)/4</f>
        <v>18.75</v>
      </c>
      <c r="T2164" s="47">
        <f>(16.7+33.3+16.7)/4</f>
        <v>16.675000000000001</v>
      </c>
      <c r="U2164" s="19">
        <f t="shared" si="147"/>
        <v>0.88933333333333342</v>
      </c>
      <c r="V2164" s="41">
        <f t="shared" si="146"/>
        <v>-11.066666666666658</v>
      </c>
      <c r="W2164" s="18"/>
      <c r="X2164" s="47" t="s">
        <v>56</v>
      </c>
      <c r="Y2164" s="47"/>
      <c r="Z2164" s="47" t="s">
        <v>58</v>
      </c>
      <c r="AA2164" s="47"/>
      <c r="AB2164" s="47" t="s">
        <v>57</v>
      </c>
      <c r="AC2164" s="47">
        <v>2010</v>
      </c>
      <c r="AD2164" s="47"/>
      <c r="AE2164" s="47">
        <v>10</v>
      </c>
      <c r="AF2164" s="47"/>
      <c r="AG2164" s="17">
        <v>2009</v>
      </c>
      <c r="AH2164" s="14">
        <f t="shared" si="144"/>
        <v>1</v>
      </c>
      <c r="AI2164" s="17">
        <f t="shared" si="145"/>
        <v>1.8333333333333335</v>
      </c>
      <c r="AJ2164" s="47"/>
      <c r="AK2164" s="47" t="s">
        <v>56</v>
      </c>
      <c r="AL2164" s="61" t="s">
        <v>231</v>
      </c>
      <c r="AM2164" s="47">
        <v>2013</v>
      </c>
      <c r="AN2164" s="59" t="s">
        <v>232</v>
      </c>
      <c r="AO2164" s="59" t="s">
        <v>56</v>
      </c>
      <c r="AP2164" s="59"/>
      <c r="AQ2164" s="59" t="s">
        <v>56</v>
      </c>
      <c r="AR2164" s="59" t="s">
        <v>58</v>
      </c>
      <c r="AS2164" s="59" t="s">
        <v>94</v>
      </c>
      <c r="AT2164" s="50"/>
      <c r="AU2164" s="45" t="s">
        <v>2829</v>
      </c>
      <c r="AV2164" s="15"/>
      <c r="AW2164" s="12" t="str">
        <f>B2164&amp;C2164&amp;L2164&amp;M2164&amp;O2164&amp;U2164&amp;AL2164&amp;AM2164</f>
        <v>PortugalLuiz Saldanha Marine ParkEchinoideaSea urchinsdensity0.889333333333333Henriques2013</v>
      </c>
    </row>
    <row r="2165" spans="1:49" ht="14.5" x14ac:dyDescent="0.35">
      <c r="A2165" s="12">
        <v>2164</v>
      </c>
      <c r="B2165" s="59" t="s">
        <v>210</v>
      </c>
      <c r="C2165" s="15" t="s">
        <v>1258</v>
      </c>
      <c r="D2165" s="59" t="s">
        <v>211</v>
      </c>
      <c r="E2165" s="50" t="s">
        <v>68</v>
      </c>
      <c r="F2165" s="13" t="s">
        <v>50</v>
      </c>
      <c r="G2165" s="13" t="s">
        <v>51</v>
      </c>
      <c r="H2165" s="13" t="s">
        <v>108</v>
      </c>
      <c r="I2165" s="13" t="s">
        <v>53</v>
      </c>
      <c r="J2165" s="47">
        <v>4</v>
      </c>
      <c r="K2165" s="47"/>
      <c r="L2165"/>
      <c r="M2165" s="47" t="s">
        <v>243</v>
      </c>
      <c r="N2165" s="53" t="s">
        <v>98</v>
      </c>
      <c r="O2165" s="47" t="s">
        <v>86</v>
      </c>
      <c r="P2165" s="47"/>
      <c r="Q2165" s="47"/>
      <c r="R2165" s="47"/>
      <c r="S2165" s="47">
        <v>0</v>
      </c>
      <c r="T2165" s="47">
        <f>(16.7+8.3)/4</f>
        <v>6.25</v>
      </c>
      <c r="U2165" s="19" t="str">
        <f t="shared" si="147"/>
        <v>N/A</v>
      </c>
      <c r="V2165" s="41" t="str">
        <f t="shared" si="146"/>
        <v>N/A</v>
      </c>
      <c r="W2165" s="18"/>
      <c r="X2165" s="47" t="s">
        <v>56</v>
      </c>
      <c r="Y2165" s="47"/>
      <c r="Z2165" s="47" t="s">
        <v>58</v>
      </c>
      <c r="AA2165" s="47"/>
      <c r="AB2165" s="47" t="s">
        <v>57</v>
      </c>
      <c r="AC2165" s="47">
        <v>2010</v>
      </c>
      <c r="AD2165" s="47"/>
      <c r="AE2165" s="47">
        <v>10</v>
      </c>
      <c r="AF2165" s="47"/>
      <c r="AG2165" s="17">
        <v>2009</v>
      </c>
      <c r="AH2165" s="14">
        <f t="shared" si="144"/>
        <v>1</v>
      </c>
      <c r="AI2165" s="17">
        <f t="shared" si="145"/>
        <v>1.8333333333333335</v>
      </c>
      <c r="AJ2165" s="47"/>
      <c r="AK2165" s="47" t="s">
        <v>56</v>
      </c>
      <c r="AL2165" s="61" t="s">
        <v>231</v>
      </c>
      <c r="AM2165" s="47">
        <v>2013</v>
      </c>
      <c r="AN2165" s="59" t="s">
        <v>232</v>
      </c>
      <c r="AO2165" s="59" t="s">
        <v>56</v>
      </c>
      <c r="AP2165" s="59"/>
      <c r="AQ2165" s="59" t="s">
        <v>56</v>
      </c>
      <c r="AR2165" s="59" t="s">
        <v>58</v>
      </c>
      <c r="AS2165" s="59" t="s">
        <v>94</v>
      </c>
      <c r="AT2165" s="50"/>
      <c r="AU2165" s="45" t="s">
        <v>2829</v>
      </c>
      <c r="AV2165" s="15"/>
      <c r="AW2165" s="12" t="str">
        <f>B2165&amp;C2165&amp;L2165&amp;M2165&amp;O2165&amp;U2165&amp;AL2165&amp;AM2165</f>
        <v>PortugalLuiz Saldanha Marine ParkSea cucumbersdensityN/AHenriques2013</v>
      </c>
    </row>
    <row r="2166" spans="1:49" ht="14.5" x14ac:dyDescent="0.35">
      <c r="A2166" s="12">
        <v>2165</v>
      </c>
      <c r="B2166" s="59" t="s">
        <v>210</v>
      </c>
      <c r="C2166" s="15" t="s">
        <v>1258</v>
      </c>
      <c r="D2166" s="59" t="s">
        <v>211</v>
      </c>
      <c r="E2166" s="50" t="s">
        <v>68</v>
      </c>
      <c r="F2166" s="13" t="s">
        <v>50</v>
      </c>
      <c r="G2166" s="13" t="s">
        <v>51</v>
      </c>
      <c r="H2166" s="13" t="s">
        <v>108</v>
      </c>
      <c r="I2166" s="13" t="s">
        <v>53</v>
      </c>
      <c r="J2166" s="47">
        <v>4</v>
      </c>
      <c r="K2166" s="47"/>
      <c r="L2166"/>
      <c r="M2166" s="47" t="s">
        <v>244</v>
      </c>
      <c r="N2166" s="53" t="s">
        <v>98</v>
      </c>
      <c r="O2166" s="47" t="s">
        <v>101</v>
      </c>
      <c r="P2166" s="47"/>
      <c r="Q2166" s="47"/>
      <c r="R2166" s="47"/>
      <c r="S2166" s="47">
        <f>SUM(15.1+41.8+18.4+24.5)/4</f>
        <v>24.95</v>
      </c>
      <c r="T2166" s="47">
        <f>(39.3+48.9+42.5+37.4)/4</f>
        <v>42.024999999999999</v>
      </c>
      <c r="U2166" s="19">
        <f t="shared" si="147"/>
        <v>1.6843687374749499</v>
      </c>
      <c r="V2166" s="41">
        <f t="shared" si="146"/>
        <v>68.436873747494985</v>
      </c>
      <c r="W2166" s="18"/>
      <c r="X2166" s="47" t="s">
        <v>56</v>
      </c>
      <c r="Y2166" s="47"/>
      <c r="Z2166" s="47" t="s">
        <v>58</v>
      </c>
      <c r="AA2166" s="47"/>
      <c r="AB2166" s="47" t="s">
        <v>57</v>
      </c>
      <c r="AC2166" s="47">
        <v>2010</v>
      </c>
      <c r="AD2166" s="47"/>
      <c r="AE2166" s="47">
        <v>10</v>
      </c>
      <c r="AF2166" s="47"/>
      <c r="AG2166" s="17">
        <v>2009</v>
      </c>
      <c r="AH2166" s="14">
        <f t="shared" si="144"/>
        <v>1</v>
      </c>
      <c r="AI2166" s="17">
        <f t="shared" si="145"/>
        <v>1.8333333333333335</v>
      </c>
      <c r="AJ2166" s="47"/>
      <c r="AK2166" s="47" t="s">
        <v>56</v>
      </c>
      <c r="AL2166" s="61" t="s">
        <v>231</v>
      </c>
      <c r="AM2166" s="47">
        <v>2013</v>
      </c>
      <c r="AN2166" s="59" t="s">
        <v>232</v>
      </c>
      <c r="AO2166" s="59" t="s">
        <v>56</v>
      </c>
      <c r="AP2166" s="59"/>
      <c r="AQ2166" s="59" t="s">
        <v>56</v>
      </c>
      <c r="AR2166" s="59" t="s">
        <v>58</v>
      </c>
      <c r="AS2166" s="59" t="s">
        <v>94</v>
      </c>
      <c r="AT2166" s="50"/>
      <c r="AU2166" s="45" t="s">
        <v>2829</v>
      </c>
      <c r="AV2166" s="15"/>
      <c r="AW2166" s="12" t="str">
        <f>B2166&amp;C2166&amp;L2166&amp;M2166&amp;O2166&amp;U2166&amp;AL2166&amp;AM2166</f>
        <v>PortugalLuiz Saldanha Marine ParkCreeping algaecover1.68436873747495Henriques2013</v>
      </c>
    </row>
    <row r="2167" spans="1:49" ht="14.5" x14ac:dyDescent="0.35">
      <c r="A2167" s="12">
        <v>2166</v>
      </c>
      <c r="B2167" s="50" t="s">
        <v>210</v>
      </c>
      <c r="C2167" s="15" t="s">
        <v>1258</v>
      </c>
      <c r="D2167" s="50" t="s">
        <v>211</v>
      </c>
      <c r="E2167" s="50" t="s">
        <v>68</v>
      </c>
      <c r="F2167" s="13" t="s">
        <v>50</v>
      </c>
      <c r="G2167" s="13" t="s">
        <v>51</v>
      </c>
      <c r="H2167" s="13" t="s">
        <v>108</v>
      </c>
      <c r="I2167" s="13" t="s">
        <v>53</v>
      </c>
      <c r="J2167" s="18">
        <v>4</v>
      </c>
      <c r="K2167" s="47"/>
      <c r="L2167"/>
      <c r="M2167" s="18" t="s">
        <v>245</v>
      </c>
      <c r="N2167" s="53" t="s">
        <v>98</v>
      </c>
      <c r="O2167" s="47" t="s">
        <v>101</v>
      </c>
      <c r="P2167" s="18"/>
      <c r="Q2167" s="18"/>
      <c r="R2167" s="18"/>
      <c r="S2167" s="18">
        <f>SUM(66.2+11.9+19.4+31.6)/4</f>
        <v>32.274999999999999</v>
      </c>
      <c r="T2167" s="18">
        <f>(19.7+17+11.6+19.7)/4</f>
        <v>17</v>
      </c>
      <c r="U2167" s="19">
        <f t="shared" si="147"/>
        <v>0.52672347017815646</v>
      </c>
      <c r="V2167" s="41">
        <f t="shared" si="146"/>
        <v>-47.327652982184354</v>
      </c>
      <c r="W2167" s="18"/>
      <c r="X2167" s="18" t="s">
        <v>56</v>
      </c>
      <c r="Y2167" s="18"/>
      <c r="Z2167" s="18" t="s">
        <v>58</v>
      </c>
      <c r="AA2167" s="18"/>
      <c r="AB2167" s="18" t="s">
        <v>57</v>
      </c>
      <c r="AC2167" s="18">
        <v>2010</v>
      </c>
      <c r="AD2167" s="18"/>
      <c r="AE2167" s="18">
        <v>10</v>
      </c>
      <c r="AF2167" s="18"/>
      <c r="AG2167" s="14">
        <v>2009</v>
      </c>
      <c r="AH2167" s="14">
        <f t="shared" si="144"/>
        <v>1</v>
      </c>
      <c r="AI2167" s="17">
        <f t="shared" si="145"/>
        <v>1.8333333333333335</v>
      </c>
      <c r="AJ2167" s="18"/>
      <c r="AK2167" s="18" t="s">
        <v>56</v>
      </c>
      <c r="AL2167" s="62" t="s">
        <v>231</v>
      </c>
      <c r="AM2167" s="18">
        <v>2013</v>
      </c>
      <c r="AN2167" s="50" t="s">
        <v>232</v>
      </c>
      <c r="AO2167" s="50" t="s">
        <v>56</v>
      </c>
      <c r="AP2167" s="50"/>
      <c r="AQ2167" s="50" t="s">
        <v>56</v>
      </c>
      <c r="AR2167" s="50" t="s">
        <v>58</v>
      </c>
      <c r="AS2167" s="50" t="s">
        <v>94</v>
      </c>
      <c r="AT2167" s="50"/>
      <c r="AU2167" s="45" t="s">
        <v>2829</v>
      </c>
      <c r="AV2167" s="15"/>
      <c r="AW2167" s="12" t="str">
        <f>B2167&amp;C2167&amp;L2167&amp;M2167&amp;O2167&amp;U2167&amp;AL2167&amp;AM2167</f>
        <v>PortugalLuiz Saldanha Marine ParkTufts algaecover0.526723470178156Henriques2013</v>
      </c>
    </row>
    <row r="2168" spans="1:49" ht="14.5" x14ac:dyDescent="0.35">
      <c r="A2168" s="12">
        <v>2167</v>
      </c>
      <c r="B2168" s="50" t="s">
        <v>210</v>
      </c>
      <c r="C2168" s="15" t="s">
        <v>1258</v>
      </c>
      <c r="D2168" s="50" t="s">
        <v>211</v>
      </c>
      <c r="E2168" s="50" t="s">
        <v>68</v>
      </c>
      <c r="F2168" s="13" t="s">
        <v>50</v>
      </c>
      <c r="G2168" s="13" t="s">
        <v>51</v>
      </c>
      <c r="H2168" s="13" t="s">
        <v>108</v>
      </c>
      <c r="I2168" s="13" t="s">
        <v>53</v>
      </c>
      <c r="J2168" s="18">
        <v>4</v>
      </c>
      <c r="K2168" s="47"/>
      <c r="L2168"/>
      <c r="M2168" s="18" t="s">
        <v>246</v>
      </c>
      <c r="N2168" s="53" t="s">
        <v>98</v>
      </c>
      <c r="O2168" s="47" t="s">
        <v>101</v>
      </c>
      <c r="P2168" s="18"/>
      <c r="Q2168" s="18"/>
      <c r="R2168" s="18"/>
      <c r="S2168" s="14">
        <f>(11.2+12.1+51.7+30.4)/4</f>
        <v>26.35</v>
      </c>
      <c r="T2168" s="18">
        <f>(14.8+11.2+35+23.9)/4</f>
        <v>21.225000000000001</v>
      </c>
      <c r="U2168" s="19">
        <f t="shared" si="147"/>
        <v>0.80550284629981028</v>
      </c>
      <c r="V2168" s="41">
        <f t="shared" si="146"/>
        <v>-19.449715370018971</v>
      </c>
      <c r="W2168" s="18"/>
      <c r="X2168" s="18" t="s">
        <v>56</v>
      </c>
      <c r="Y2168" s="18"/>
      <c r="Z2168" s="18" t="s">
        <v>58</v>
      </c>
      <c r="AA2168" s="18"/>
      <c r="AB2168" s="18" t="s">
        <v>57</v>
      </c>
      <c r="AC2168" s="18">
        <v>2010</v>
      </c>
      <c r="AD2168" s="18"/>
      <c r="AE2168" s="18">
        <v>10</v>
      </c>
      <c r="AF2168" s="18"/>
      <c r="AG2168" s="14">
        <v>2009</v>
      </c>
      <c r="AH2168" s="14">
        <f t="shared" si="144"/>
        <v>1</v>
      </c>
      <c r="AI2168" s="17">
        <f t="shared" si="145"/>
        <v>1.8333333333333335</v>
      </c>
      <c r="AJ2168" s="18"/>
      <c r="AK2168" s="18" t="s">
        <v>56</v>
      </c>
      <c r="AL2168" s="62" t="s">
        <v>231</v>
      </c>
      <c r="AM2168" s="18">
        <v>2013</v>
      </c>
      <c r="AN2168" s="50" t="s">
        <v>232</v>
      </c>
      <c r="AO2168" s="50" t="s">
        <v>56</v>
      </c>
      <c r="AP2168" s="50"/>
      <c r="AQ2168" s="50" t="s">
        <v>56</v>
      </c>
      <c r="AR2168" s="50" t="s">
        <v>58</v>
      </c>
      <c r="AS2168" s="50" t="s">
        <v>94</v>
      </c>
      <c r="AT2168" s="50"/>
      <c r="AU2168" s="45" t="s">
        <v>2829</v>
      </c>
      <c r="AV2168" s="15"/>
      <c r="AW2168" s="12" t="str">
        <f>B2168&amp;C2168&amp;L2168&amp;M2168&amp;O2168&amp;U2168&amp;AL2168&amp;AM2168</f>
        <v>PortugalLuiz Saldanha Marine ParkEncrusting algaecover0.80550284629981Henriques2013</v>
      </c>
    </row>
    <row r="2169" spans="1:49" ht="14.5" x14ac:dyDescent="0.35">
      <c r="A2169" s="12">
        <v>2168</v>
      </c>
      <c r="B2169" s="50" t="s">
        <v>210</v>
      </c>
      <c r="C2169" s="15" t="s">
        <v>1258</v>
      </c>
      <c r="D2169" s="50" t="s">
        <v>211</v>
      </c>
      <c r="E2169" s="50" t="s">
        <v>68</v>
      </c>
      <c r="F2169" s="13" t="s">
        <v>50</v>
      </c>
      <c r="G2169" s="13" t="s">
        <v>51</v>
      </c>
      <c r="H2169" s="13" t="s">
        <v>108</v>
      </c>
      <c r="I2169" s="13" t="s">
        <v>53</v>
      </c>
      <c r="J2169" s="18">
        <v>4</v>
      </c>
      <c r="K2169" s="47"/>
      <c r="L2169"/>
      <c r="M2169" s="18" t="s">
        <v>247</v>
      </c>
      <c r="N2169" s="53" t="s">
        <v>98</v>
      </c>
      <c r="O2169" s="47" t="s">
        <v>101</v>
      </c>
      <c r="P2169" s="18"/>
      <c r="Q2169" s="18"/>
      <c r="R2169" s="18"/>
      <c r="S2169" s="18">
        <f>SUM(1.5+2.9+0.3+0.5)/4</f>
        <v>1.3</v>
      </c>
      <c r="T2169" s="18">
        <f>(0.5+3.9+6.5+0.5)/4</f>
        <v>2.85</v>
      </c>
      <c r="U2169" s="19">
        <f t="shared" si="147"/>
        <v>2.1923076923076925</v>
      </c>
      <c r="V2169" s="41">
        <f t="shared" si="146"/>
        <v>119.23076923076925</v>
      </c>
      <c r="W2169" s="18"/>
      <c r="X2169" s="18" t="s">
        <v>56</v>
      </c>
      <c r="Y2169" s="18"/>
      <c r="Z2169" s="18" t="s">
        <v>58</v>
      </c>
      <c r="AA2169" s="18"/>
      <c r="AB2169" s="18" t="s">
        <v>57</v>
      </c>
      <c r="AC2169" s="18">
        <v>2010</v>
      </c>
      <c r="AD2169" s="18"/>
      <c r="AE2169" s="18">
        <v>10</v>
      </c>
      <c r="AF2169" s="18"/>
      <c r="AG2169" s="14">
        <v>2009</v>
      </c>
      <c r="AH2169" s="14">
        <f t="shared" si="144"/>
        <v>1</v>
      </c>
      <c r="AI2169" s="17">
        <f t="shared" si="145"/>
        <v>1.8333333333333335</v>
      </c>
      <c r="AJ2169" s="18"/>
      <c r="AK2169" s="18" t="s">
        <v>56</v>
      </c>
      <c r="AL2169" s="62" t="s">
        <v>231</v>
      </c>
      <c r="AM2169" s="18">
        <v>2013</v>
      </c>
      <c r="AN2169" s="50" t="s">
        <v>232</v>
      </c>
      <c r="AO2169" s="50" t="s">
        <v>56</v>
      </c>
      <c r="AP2169" s="50"/>
      <c r="AQ2169" s="50" t="s">
        <v>56</v>
      </c>
      <c r="AR2169" s="50" t="s">
        <v>58</v>
      </c>
      <c r="AS2169" s="50" t="s">
        <v>94</v>
      </c>
      <c r="AT2169" s="12"/>
      <c r="AU2169" s="45" t="s">
        <v>2829</v>
      </c>
      <c r="AV2169" s="15"/>
      <c r="AW2169" s="12" t="str">
        <f>B2169&amp;C2169&amp;L2169&amp;M2169&amp;O2169&amp;U2169&amp;AL2169&amp;AM2169</f>
        <v>PortugalLuiz Saldanha Marine ParkFilamentous algaecover2.19230769230769Henriques2013</v>
      </c>
    </row>
    <row r="2170" spans="1:49" ht="14.5" x14ac:dyDescent="0.35">
      <c r="A2170" s="12">
        <v>2169</v>
      </c>
      <c r="B2170" s="50" t="s">
        <v>210</v>
      </c>
      <c r="C2170" s="15" t="s">
        <v>1258</v>
      </c>
      <c r="D2170" s="50" t="s">
        <v>211</v>
      </c>
      <c r="E2170" s="50" t="s">
        <v>68</v>
      </c>
      <c r="F2170" s="13" t="s">
        <v>50</v>
      </c>
      <c r="G2170" s="13" t="s">
        <v>51</v>
      </c>
      <c r="H2170" s="13" t="s">
        <v>108</v>
      </c>
      <c r="I2170" s="13" t="s">
        <v>53</v>
      </c>
      <c r="J2170" s="18">
        <v>4</v>
      </c>
      <c r="K2170" s="47"/>
      <c r="L2170"/>
      <c r="M2170" s="18" t="s">
        <v>248</v>
      </c>
      <c r="N2170" s="53" t="s">
        <v>98</v>
      </c>
      <c r="O2170" s="18" t="s">
        <v>101</v>
      </c>
      <c r="P2170" s="18"/>
      <c r="Q2170" s="18"/>
      <c r="R2170" s="18"/>
      <c r="S2170" s="18">
        <f>SUM(0+11.6+2.7+1.4)/4</f>
        <v>3.9250000000000003</v>
      </c>
      <c r="T2170" s="18">
        <f>(0.9+3.9+0.3)/4</f>
        <v>1.2749999999999999</v>
      </c>
      <c r="U2170" s="19">
        <f t="shared" si="147"/>
        <v>0.32484076433121012</v>
      </c>
      <c r="V2170" s="41">
        <f t="shared" si="146"/>
        <v>-67.515923566878982</v>
      </c>
      <c r="W2170" s="18"/>
      <c r="X2170" s="18" t="s">
        <v>56</v>
      </c>
      <c r="Y2170" s="18"/>
      <c r="Z2170" s="18" t="s">
        <v>58</v>
      </c>
      <c r="AA2170" s="18"/>
      <c r="AB2170" s="18" t="s">
        <v>57</v>
      </c>
      <c r="AC2170" s="18">
        <v>2010</v>
      </c>
      <c r="AD2170" s="18"/>
      <c r="AE2170" s="18">
        <v>10</v>
      </c>
      <c r="AF2170" s="18"/>
      <c r="AG2170" s="14">
        <v>2009</v>
      </c>
      <c r="AH2170" s="14">
        <f t="shared" si="144"/>
        <v>1</v>
      </c>
      <c r="AI2170" s="17">
        <f t="shared" si="145"/>
        <v>1.8333333333333335</v>
      </c>
      <c r="AJ2170" s="18"/>
      <c r="AK2170" s="18" t="s">
        <v>56</v>
      </c>
      <c r="AL2170" s="62" t="s">
        <v>231</v>
      </c>
      <c r="AM2170" s="18">
        <v>2013</v>
      </c>
      <c r="AN2170" s="50" t="s">
        <v>232</v>
      </c>
      <c r="AO2170" s="50" t="s">
        <v>56</v>
      </c>
      <c r="AP2170" s="50"/>
      <c r="AQ2170" s="50" t="s">
        <v>56</v>
      </c>
      <c r="AR2170" s="50" t="s">
        <v>58</v>
      </c>
      <c r="AS2170" s="50" t="s">
        <v>94</v>
      </c>
      <c r="AT2170" s="12"/>
      <c r="AU2170" s="45" t="s">
        <v>2829</v>
      </c>
      <c r="AV2170" s="15"/>
      <c r="AW2170" s="12" t="str">
        <f>B2170&amp;C2170&amp;L2170&amp;M2170&amp;O2170&amp;U2170&amp;AL2170&amp;AM2170</f>
        <v>PortugalLuiz Saldanha Marine ParkSheet algaecover0.32484076433121Henriques2013</v>
      </c>
    </row>
    <row r="2171" spans="1:49" ht="14.5" x14ac:dyDescent="0.35">
      <c r="A2171" s="12">
        <v>2170</v>
      </c>
      <c r="B2171" s="59" t="s">
        <v>210</v>
      </c>
      <c r="C2171" s="15" t="s">
        <v>1258</v>
      </c>
      <c r="D2171" s="59" t="s">
        <v>211</v>
      </c>
      <c r="E2171" s="59" t="s">
        <v>68</v>
      </c>
      <c r="F2171" s="13" t="s">
        <v>50</v>
      </c>
      <c r="G2171" s="13" t="s">
        <v>51</v>
      </c>
      <c r="H2171" s="13" t="s">
        <v>108</v>
      </c>
      <c r="I2171" s="13" t="s">
        <v>53</v>
      </c>
      <c r="J2171" s="47">
        <v>4</v>
      </c>
      <c r="K2171" s="47"/>
      <c r="L2171" s="47" t="s">
        <v>2818</v>
      </c>
      <c r="M2171" s="47"/>
      <c r="N2171" s="14" t="s">
        <v>85</v>
      </c>
      <c r="O2171" s="47" t="s">
        <v>86</v>
      </c>
      <c r="P2171" s="47"/>
      <c r="Q2171" s="47"/>
      <c r="R2171" s="47"/>
      <c r="S2171" s="17">
        <f>(0+6.6667+11.058+2.5087)/4</f>
        <v>5.0583499999999999</v>
      </c>
      <c r="T2171" s="47">
        <f>(3.7+28.333+4.5051+16.725)/4</f>
        <v>13.315775</v>
      </c>
      <c r="U2171" s="20">
        <f t="shared" si="147"/>
        <v>2.6324344895074483</v>
      </c>
      <c r="V2171" s="41">
        <f t="shared" si="146"/>
        <v>163.24344895074483</v>
      </c>
      <c r="W2171" s="47"/>
      <c r="X2171" s="47" t="s">
        <v>56</v>
      </c>
      <c r="Y2171" s="47"/>
      <c r="Z2171" s="17" t="s">
        <v>56</v>
      </c>
      <c r="AA2171" s="47"/>
      <c r="AB2171" s="47" t="s">
        <v>57</v>
      </c>
      <c r="AC2171" s="47">
        <v>2010</v>
      </c>
      <c r="AD2171" s="47"/>
      <c r="AE2171" s="47">
        <v>10</v>
      </c>
      <c r="AF2171" s="47"/>
      <c r="AG2171" s="17">
        <v>2009</v>
      </c>
      <c r="AH2171" s="14">
        <f t="shared" si="144"/>
        <v>1</v>
      </c>
      <c r="AI2171" s="17">
        <f t="shared" si="145"/>
        <v>1.8333333333333335</v>
      </c>
      <c r="AJ2171" s="47"/>
      <c r="AK2171" s="47" t="s">
        <v>56</v>
      </c>
      <c r="AL2171" s="61" t="s">
        <v>231</v>
      </c>
      <c r="AM2171" s="47">
        <v>2013</v>
      </c>
      <c r="AN2171" s="59" t="s">
        <v>232</v>
      </c>
      <c r="AO2171" s="59" t="s">
        <v>56</v>
      </c>
      <c r="AP2171" s="59"/>
      <c r="AQ2171" s="59" t="s">
        <v>56</v>
      </c>
      <c r="AR2171" s="59" t="s">
        <v>58</v>
      </c>
      <c r="AS2171" s="59" t="s">
        <v>94</v>
      </c>
      <c r="AT2171" s="15"/>
      <c r="AU2171" s="64" t="s">
        <v>249</v>
      </c>
      <c r="AV2171" s="59"/>
      <c r="AW2171" s="12" t="str">
        <f>B2171&amp;C2171&amp;L2171&amp;M2171&amp;O2171&amp;U2171&amp;AL2171&amp;AM2171</f>
        <v>PortugalLuiz Saldanha Marine ParkDiplodus vulgaris (early juvs)density2.63243448950745Henriques2013</v>
      </c>
    </row>
    <row r="2172" spans="1:49" ht="14.5" x14ac:dyDescent="0.35">
      <c r="A2172" s="12">
        <v>2171</v>
      </c>
      <c r="B2172" s="59" t="s">
        <v>210</v>
      </c>
      <c r="C2172" s="15" t="s">
        <v>1258</v>
      </c>
      <c r="D2172" s="59" t="s">
        <v>211</v>
      </c>
      <c r="E2172" s="59" t="s">
        <v>68</v>
      </c>
      <c r="F2172" s="13" t="s">
        <v>50</v>
      </c>
      <c r="G2172" s="13" t="s">
        <v>51</v>
      </c>
      <c r="H2172" s="13" t="s">
        <v>108</v>
      </c>
      <c r="I2172" s="13" t="s">
        <v>53</v>
      </c>
      <c r="J2172" s="47">
        <v>4</v>
      </c>
      <c r="K2172" s="47"/>
      <c r="L2172" s="47" t="s">
        <v>2819</v>
      </c>
      <c r="M2172" s="47"/>
      <c r="N2172" s="14" t="s">
        <v>85</v>
      </c>
      <c r="O2172" s="47" t="s">
        <v>86</v>
      </c>
      <c r="P2172" s="47"/>
      <c r="Q2172" s="47"/>
      <c r="R2172" s="47"/>
      <c r="S2172" s="17">
        <f>(35.417+30.833+24.164+26.76)/4</f>
        <v>29.293500000000002</v>
      </c>
      <c r="T2172" s="47">
        <f>(48.75+18.333+79.044+36.794)/4</f>
        <v>45.730249999999998</v>
      </c>
      <c r="U2172" s="20">
        <f t="shared" si="147"/>
        <v>1.5611057060440028</v>
      </c>
      <c r="V2172" s="41">
        <f t="shared" si="146"/>
        <v>56.11057060440028</v>
      </c>
      <c r="W2172" s="47"/>
      <c r="X2172" s="47" t="s">
        <v>56</v>
      </c>
      <c r="Y2172" s="47"/>
      <c r="Z2172" s="17" t="s">
        <v>56</v>
      </c>
      <c r="AA2172" s="47"/>
      <c r="AB2172" s="47" t="s">
        <v>57</v>
      </c>
      <c r="AC2172" s="47">
        <v>2010</v>
      </c>
      <c r="AD2172" s="47"/>
      <c r="AE2172" s="47">
        <v>10</v>
      </c>
      <c r="AF2172" s="47"/>
      <c r="AG2172" s="17">
        <v>2009</v>
      </c>
      <c r="AH2172" s="14">
        <f t="shared" si="144"/>
        <v>1</v>
      </c>
      <c r="AI2172" s="17">
        <f t="shared" si="145"/>
        <v>1.8333333333333335</v>
      </c>
      <c r="AJ2172" s="47"/>
      <c r="AK2172" s="47" t="s">
        <v>56</v>
      </c>
      <c r="AL2172" s="61" t="s">
        <v>231</v>
      </c>
      <c r="AM2172" s="47">
        <v>2013</v>
      </c>
      <c r="AN2172" s="59" t="s">
        <v>232</v>
      </c>
      <c r="AO2172" s="59" t="s">
        <v>56</v>
      </c>
      <c r="AP2172" s="59"/>
      <c r="AQ2172" s="59" t="s">
        <v>56</v>
      </c>
      <c r="AR2172" s="59" t="s">
        <v>58</v>
      </c>
      <c r="AS2172" s="59" t="s">
        <v>94</v>
      </c>
      <c r="AT2172" s="15"/>
      <c r="AU2172" s="64" t="s">
        <v>250</v>
      </c>
      <c r="AV2172" s="59"/>
      <c r="AW2172" s="12" t="str">
        <f>B2172&amp;C2172&amp;L2172&amp;M2172&amp;O2172&amp;U2172&amp;AL2172&amp;AM2172</f>
        <v>PortugalLuiz Saldanha Marine ParkDiplodus vulgaris (juvs)density1.561105706044Henriques2013</v>
      </c>
    </row>
    <row r="2173" spans="1:49" ht="14.5" x14ac:dyDescent="0.35">
      <c r="A2173" s="12">
        <v>2172</v>
      </c>
      <c r="B2173" s="59" t="s">
        <v>210</v>
      </c>
      <c r="C2173" s="15" t="s">
        <v>1258</v>
      </c>
      <c r="D2173" s="59" t="s">
        <v>211</v>
      </c>
      <c r="E2173" s="59" t="s">
        <v>68</v>
      </c>
      <c r="F2173" s="13" t="s">
        <v>50</v>
      </c>
      <c r="G2173" s="13" t="s">
        <v>51</v>
      </c>
      <c r="H2173" s="13" t="s">
        <v>108</v>
      </c>
      <c r="I2173" s="13" t="s">
        <v>53</v>
      </c>
      <c r="J2173" s="47">
        <v>4</v>
      </c>
      <c r="K2173" s="47"/>
      <c r="L2173" s="47" t="s">
        <v>2820</v>
      </c>
      <c r="M2173" s="47"/>
      <c r="N2173" s="14" t="s">
        <v>85</v>
      </c>
      <c r="O2173" s="47" t="s">
        <v>86</v>
      </c>
      <c r="P2173" s="47"/>
      <c r="Q2173" s="47"/>
      <c r="R2173" s="47"/>
      <c r="S2173" s="17">
        <f>(34.583+2.5+1.2287+5.8537)/4</f>
        <v>11.041350000000001</v>
      </c>
      <c r="T2173" s="47">
        <f>(20.417+10.833+42.184+25.087)/4</f>
        <v>24.63025</v>
      </c>
      <c r="U2173" s="20">
        <f t="shared" si="147"/>
        <v>2.230728126542497</v>
      </c>
      <c r="V2173" s="41">
        <f t="shared" si="146"/>
        <v>123.0728126542497</v>
      </c>
      <c r="W2173" s="47"/>
      <c r="X2173" s="47" t="s">
        <v>56</v>
      </c>
      <c r="Y2173" s="47"/>
      <c r="Z2173" s="17" t="s">
        <v>56</v>
      </c>
      <c r="AA2173" s="47"/>
      <c r="AB2173" s="47" t="s">
        <v>57</v>
      </c>
      <c r="AC2173" s="47">
        <v>2010</v>
      </c>
      <c r="AD2173" s="47"/>
      <c r="AE2173" s="47">
        <v>10</v>
      </c>
      <c r="AF2173" s="47"/>
      <c r="AG2173" s="17">
        <v>2009</v>
      </c>
      <c r="AH2173" s="14">
        <f t="shared" si="144"/>
        <v>1</v>
      </c>
      <c r="AI2173" s="17">
        <f t="shared" si="145"/>
        <v>1.8333333333333335</v>
      </c>
      <c r="AJ2173" s="47"/>
      <c r="AK2173" s="47" t="s">
        <v>56</v>
      </c>
      <c r="AL2173" s="61" t="s">
        <v>231</v>
      </c>
      <c r="AM2173" s="47">
        <v>2013</v>
      </c>
      <c r="AN2173" s="59" t="s">
        <v>232</v>
      </c>
      <c r="AO2173" s="59" t="s">
        <v>56</v>
      </c>
      <c r="AP2173" s="59"/>
      <c r="AQ2173" s="59" t="s">
        <v>56</v>
      </c>
      <c r="AR2173" s="59" t="s">
        <v>58</v>
      </c>
      <c r="AS2173" s="59" t="s">
        <v>94</v>
      </c>
      <c r="AT2173" s="15"/>
      <c r="AU2173" s="64" t="s">
        <v>251</v>
      </c>
      <c r="AV2173" s="59"/>
      <c r="AW2173" s="12" t="str">
        <f>B2173&amp;C2173&amp;L2173&amp;M2173&amp;O2173&amp;U2173&amp;AL2173&amp;AM2173</f>
        <v>PortugalLuiz Saldanha Marine ParkDiplodus vulgaris (adults)density2.2307281265425Henriques2013</v>
      </c>
    </row>
    <row r="2174" spans="1:49" ht="14.5" x14ac:dyDescent="0.35">
      <c r="A2174" s="12">
        <v>2173</v>
      </c>
      <c r="B2174" s="50" t="s">
        <v>210</v>
      </c>
      <c r="C2174" s="15" t="s">
        <v>1258</v>
      </c>
      <c r="D2174" s="50" t="s">
        <v>211</v>
      </c>
      <c r="E2174" s="50" t="s">
        <v>68</v>
      </c>
      <c r="F2174" s="13" t="s">
        <v>50</v>
      </c>
      <c r="G2174" s="13" t="s">
        <v>51</v>
      </c>
      <c r="H2174" s="13" t="s">
        <v>108</v>
      </c>
      <c r="I2174" s="13" t="s">
        <v>53</v>
      </c>
      <c r="J2174" s="18">
        <v>4</v>
      </c>
      <c r="K2174" s="47"/>
      <c r="L2174" s="18" t="s">
        <v>2821</v>
      </c>
      <c r="M2174" s="18"/>
      <c r="N2174" s="14" t="s">
        <v>85</v>
      </c>
      <c r="O2174" s="18" t="s">
        <v>86</v>
      </c>
      <c r="P2174" s="18"/>
      <c r="Q2174" s="18"/>
      <c r="R2174" s="18"/>
      <c r="S2174" s="18">
        <f>(2.0761+2.0906+1.6667+2.0833)/4</f>
        <v>1.9791749999999997</v>
      </c>
      <c r="T2174" s="18">
        <f>(2.0761+0.41812+0+2.0833)/4</f>
        <v>1.14438</v>
      </c>
      <c r="U2174" s="19">
        <f t="shared" si="147"/>
        <v>0.57821061806055563</v>
      </c>
      <c r="V2174" s="41">
        <f t="shared" si="146"/>
        <v>-42.17893819394444</v>
      </c>
      <c r="W2174" s="18"/>
      <c r="X2174" s="18" t="s">
        <v>56</v>
      </c>
      <c r="Y2174" s="18"/>
      <c r="Z2174" s="14" t="s">
        <v>56</v>
      </c>
      <c r="AA2174" s="18"/>
      <c r="AB2174" s="18" t="s">
        <v>57</v>
      </c>
      <c r="AC2174" s="18">
        <v>2010</v>
      </c>
      <c r="AD2174" s="18"/>
      <c r="AE2174" s="18">
        <v>10</v>
      </c>
      <c r="AF2174" s="18"/>
      <c r="AG2174" s="14">
        <v>2009</v>
      </c>
      <c r="AH2174" s="14">
        <f t="shared" si="144"/>
        <v>1</v>
      </c>
      <c r="AI2174" s="17">
        <f t="shared" si="145"/>
        <v>1.8333333333333335</v>
      </c>
      <c r="AJ2174" s="18"/>
      <c r="AK2174" s="18" t="s">
        <v>56</v>
      </c>
      <c r="AL2174" s="62" t="s">
        <v>231</v>
      </c>
      <c r="AM2174" s="18">
        <v>2013</v>
      </c>
      <c r="AN2174" s="50" t="s">
        <v>232</v>
      </c>
      <c r="AO2174" s="50" t="s">
        <v>56</v>
      </c>
      <c r="AP2174" s="50"/>
      <c r="AQ2174" s="50" t="s">
        <v>56</v>
      </c>
      <c r="AR2174" s="50" t="s">
        <v>58</v>
      </c>
      <c r="AS2174" s="50" t="s">
        <v>94</v>
      </c>
      <c r="AT2174" s="12"/>
      <c r="AU2174" s="64" t="s">
        <v>249</v>
      </c>
      <c r="AV2174" s="59"/>
      <c r="AW2174" s="12" t="str">
        <f>B2174&amp;C2174&amp;L2174&amp;M2174&amp;O2174&amp;U2174&amp;AL2174&amp;AM2174</f>
        <v>PortugalLuiz Saldanha Marine ParkDiplodus sargus (early juvs)density0.578210618060556Henriques2013</v>
      </c>
    </row>
    <row r="2175" spans="1:49" ht="14.5" x14ac:dyDescent="0.35">
      <c r="A2175" s="12">
        <v>2174</v>
      </c>
      <c r="B2175" s="59" t="s">
        <v>210</v>
      </c>
      <c r="C2175" s="15" t="s">
        <v>1258</v>
      </c>
      <c r="D2175" s="59" t="s">
        <v>211</v>
      </c>
      <c r="E2175" s="59" t="s">
        <v>68</v>
      </c>
      <c r="F2175" s="16" t="s">
        <v>50</v>
      </c>
      <c r="G2175" s="16" t="s">
        <v>51</v>
      </c>
      <c r="H2175" s="13" t="s">
        <v>108</v>
      </c>
      <c r="I2175" s="13" t="s">
        <v>53</v>
      </c>
      <c r="J2175" s="47">
        <v>4</v>
      </c>
      <c r="K2175" s="47"/>
      <c r="L2175" s="47" t="s">
        <v>2822</v>
      </c>
      <c r="M2175" s="47"/>
      <c r="N2175" s="14" t="s">
        <v>85</v>
      </c>
      <c r="O2175" s="47" t="s">
        <v>86</v>
      </c>
      <c r="P2175" s="47"/>
      <c r="Q2175" s="47"/>
      <c r="R2175" s="47"/>
      <c r="S2175" s="47">
        <f>(37.785+17.979+10.833+28.75)/4</f>
        <v>23.836749999999999</v>
      </c>
      <c r="T2175" s="47">
        <f>(32.803+18.815+21.667+27.917)/4</f>
        <v>25.3005</v>
      </c>
      <c r="U2175" s="20">
        <f t="shared" si="147"/>
        <v>1.0614072807744346</v>
      </c>
      <c r="V2175" s="41">
        <f t="shared" si="146"/>
        <v>6.1407280774434581</v>
      </c>
      <c r="W2175" s="47"/>
      <c r="X2175" s="47" t="s">
        <v>56</v>
      </c>
      <c r="Y2175" s="47"/>
      <c r="Z2175" s="17" t="s">
        <v>56</v>
      </c>
      <c r="AA2175" s="47"/>
      <c r="AB2175" s="47" t="s">
        <v>57</v>
      </c>
      <c r="AC2175" s="47">
        <v>2010</v>
      </c>
      <c r="AD2175" s="47"/>
      <c r="AE2175" s="47">
        <v>10</v>
      </c>
      <c r="AF2175" s="47"/>
      <c r="AG2175" s="17">
        <v>2009</v>
      </c>
      <c r="AH2175" s="14">
        <f t="shared" si="144"/>
        <v>1</v>
      </c>
      <c r="AI2175" s="17">
        <f t="shared" si="145"/>
        <v>1.8333333333333335</v>
      </c>
      <c r="AJ2175" s="47"/>
      <c r="AK2175" s="47" t="s">
        <v>56</v>
      </c>
      <c r="AL2175" s="61" t="s">
        <v>231</v>
      </c>
      <c r="AM2175" s="47">
        <v>2013</v>
      </c>
      <c r="AN2175" s="50" t="s">
        <v>232</v>
      </c>
      <c r="AO2175" s="59" t="s">
        <v>56</v>
      </c>
      <c r="AP2175" s="59"/>
      <c r="AQ2175" s="59" t="s">
        <v>56</v>
      </c>
      <c r="AR2175" s="59" t="s">
        <v>58</v>
      </c>
      <c r="AS2175" s="59" t="s">
        <v>94</v>
      </c>
      <c r="AT2175" s="59"/>
      <c r="AU2175" s="64" t="s">
        <v>252</v>
      </c>
      <c r="AV2175" s="59"/>
      <c r="AW2175" s="12" t="str">
        <f>B2175&amp;C2175&amp;L2175&amp;M2175&amp;O2175&amp;U2175&amp;AL2175&amp;AM2175</f>
        <v>PortugalLuiz Saldanha Marine ParkDiplodus sargus (juvs)density1.06140728077443Henriques2013</v>
      </c>
    </row>
    <row r="2176" spans="1:49" ht="14.5" x14ac:dyDescent="0.35">
      <c r="A2176" s="12">
        <v>2175</v>
      </c>
      <c r="B2176" s="59" t="s">
        <v>210</v>
      </c>
      <c r="C2176" s="15" t="s">
        <v>1258</v>
      </c>
      <c r="D2176" s="59" t="s">
        <v>211</v>
      </c>
      <c r="E2176" s="59" t="s">
        <v>68</v>
      </c>
      <c r="F2176" s="16" t="s">
        <v>50</v>
      </c>
      <c r="G2176" s="16" t="s">
        <v>51</v>
      </c>
      <c r="H2176" s="13" t="s">
        <v>108</v>
      </c>
      <c r="I2176" s="13" t="s">
        <v>53</v>
      </c>
      <c r="J2176" s="47">
        <v>4</v>
      </c>
      <c r="K2176" s="47"/>
      <c r="L2176" s="47" t="s">
        <v>2823</v>
      </c>
      <c r="M2176" s="47"/>
      <c r="N2176" s="14" t="s">
        <v>85</v>
      </c>
      <c r="O2176" s="47" t="s">
        <v>86</v>
      </c>
      <c r="P2176" s="47"/>
      <c r="Q2176" s="47"/>
      <c r="R2176" s="47"/>
      <c r="S2176" s="47">
        <f>(2.9066+4.5993+3.3333+4.5833)/4</f>
        <v>3.8556249999999999</v>
      </c>
      <c r="T2176" s="47">
        <f>(5.3979+6.2718+4.1667+14.583)/4</f>
        <v>7.604849999999999</v>
      </c>
      <c r="U2176" s="20">
        <f t="shared" si="147"/>
        <v>1.9724039552601715</v>
      </c>
      <c r="V2176" s="41">
        <f t="shared" si="146"/>
        <v>97.240395526017153</v>
      </c>
      <c r="W2176" s="47"/>
      <c r="X2176" s="47" t="s">
        <v>56</v>
      </c>
      <c r="Y2176" s="47"/>
      <c r="Z2176" s="17" t="s">
        <v>56</v>
      </c>
      <c r="AA2176" s="47"/>
      <c r="AB2176" s="47" t="s">
        <v>57</v>
      </c>
      <c r="AC2176" s="47">
        <v>2010</v>
      </c>
      <c r="AD2176" s="47"/>
      <c r="AE2176" s="47">
        <v>10</v>
      </c>
      <c r="AF2176" s="47"/>
      <c r="AG2176" s="17">
        <v>2009</v>
      </c>
      <c r="AH2176" s="14">
        <f t="shared" ref="AH2176:AH2239" si="148">IF(OR(AG2176="NA",AC2176="NA"),"NA",IF(OR(AC2176="",AG2176=""), "", AC2176-AG2176))</f>
        <v>1</v>
      </c>
      <c r="AI2176" s="17">
        <f t="shared" ref="AI2176:AI2239" si="149">IF(AH2176="NA", "NA",IF(OR(AH2176="",AND(AD2176="",AE2176="")), "",AH2176+AD2176+AE2176/12))</f>
        <v>1.8333333333333335</v>
      </c>
      <c r="AJ2176" s="47"/>
      <c r="AK2176" s="47" t="s">
        <v>56</v>
      </c>
      <c r="AL2176" s="61" t="s">
        <v>231</v>
      </c>
      <c r="AM2176" s="47">
        <v>2013</v>
      </c>
      <c r="AN2176" s="50" t="s">
        <v>232</v>
      </c>
      <c r="AO2176" s="59" t="s">
        <v>56</v>
      </c>
      <c r="AP2176" s="59"/>
      <c r="AQ2176" s="59" t="s">
        <v>56</v>
      </c>
      <c r="AR2176" s="59" t="s">
        <v>58</v>
      </c>
      <c r="AS2176" s="59" t="s">
        <v>94</v>
      </c>
      <c r="AT2176" s="59"/>
      <c r="AU2176" s="64" t="s">
        <v>253</v>
      </c>
      <c r="AV2176" s="59"/>
      <c r="AW2176" s="12" t="str">
        <f>B2176&amp;C2176&amp;L2176&amp;M2176&amp;O2176&amp;U2176&amp;AL2176&amp;AM2176</f>
        <v>PortugalLuiz Saldanha Marine ParkDiplodus sargus (adults)density1.97240395526017Henriques2013</v>
      </c>
    </row>
    <row r="2177" spans="1:49" ht="14.5" x14ac:dyDescent="0.35">
      <c r="A2177" s="12">
        <v>2176</v>
      </c>
      <c r="B2177" s="59" t="s">
        <v>477</v>
      </c>
      <c r="C2177" s="15" t="s">
        <v>478</v>
      </c>
      <c r="D2177" s="15" t="s">
        <v>478</v>
      </c>
      <c r="E2177" s="59" t="s">
        <v>89</v>
      </c>
      <c r="F2177" s="16" t="s">
        <v>480</v>
      </c>
      <c r="G2177" s="16" t="s">
        <v>51</v>
      </c>
      <c r="H2177" s="61" t="s">
        <v>229</v>
      </c>
      <c r="I2177" s="61" t="s">
        <v>1000</v>
      </c>
      <c r="J2177" s="17">
        <v>19</v>
      </c>
      <c r="K2177" s="47"/>
      <c r="L2177" s="47" t="s">
        <v>486</v>
      </c>
      <c r="M2177" s="47"/>
      <c r="N2177" s="14" t="s">
        <v>85</v>
      </c>
      <c r="O2177" s="47" t="s">
        <v>86</v>
      </c>
      <c r="P2177" s="47"/>
      <c r="Q2177" s="47"/>
      <c r="R2177" s="47"/>
      <c r="S2177" s="47">
        <f>(0.26042+0.10417+0.20833)/3</f>
        <v>0.19097333333333333</v>
      </c>
      <c r="T2177" s="47">
        <f>(0.46875+1.0938+0.10417)/3</f>
        <v>0.55557333333333336</v>
      </c>
      <c r="U2177" s="20">
        <f t="shared" si="147"/>
        <v>2.9091670739370246</v>
      </c>
      <c r="V2177" s="41">
        <f t="shared" si="146"/>
        <v>190.91670739370247</v>
      </c>
      <c r="W2177" s="47"/>
      <c r="X2177" s="47" t="s">
        <v>56</v>
      </c>
      <c r="Y2177" s="17"/>
      <c r="Z2177" s="47" t="s">
        <v>56</v>
      </c>
      <c r="AA2177" s="47"/>
      <c r="AB2177" s="47" t="s">
        <v>57</v>
      </c>
      <c r="AC2177" s="47">
        <v>2010</v>
      </c>
      <c r="AD2177" s="47">
        <v>1</v>
      </c>
      <c r="AE2177" s="47">
        <v>3</v>
      </c>
      <c r="AF2177" s="47"/>
      <c r="AG2177" s="47">
        <v>1995</v>
      </c>
      <c r="AH2177" s="14">
        <f t="shared" si="148"/>
        <v>15</v>
      </c>
      <c r="AI2177" s="17">
        <f t="shared" si="149"/>
        <v>16.25</v>
      </c>
      <c r="AJ2177" s="47"/>
      <c r="AK2177" s="47" t="s">
        <v>58</v>
      </c>
      <c r="AL2177" s="61" t="s">
        <v>484</v>
      </c>
      <c r="AM2177" s="47">
        <v>2020</v>
      </c>
      <c r="AN2177" s="50" t="s">
        <v>1001</v>
      </c>
      <c r="AO2177" s="59" t="s">
        <v>56</v>
      </c>
      <c r="AP2177" s="59"/>
      <c r="AQ2177" s="59" t="s">
        <v>56</v>
      </c>
      <c r="AR2177" s="59" t="s">
        <v>58</v>
      </c>
      <c r="AS2177" s="59" t="s">
        <v>94</v>
      </c>
      <c r="AT2177" s="59"/>
      <c r="AU2177" s="64"/>
      <c r="AV2177" s="59"/>
      <c r="AW2177" s="12" t="str">
        <f>B2177&amp;C2177&amp;L2177&amp;M2177&amp;O2177&amp;U2177&amp;AL2177&amp;AM2177</f>
        <v>SpainCabo de Palos – Islas Hormigas Marine ReserveEpinephelus costaedensity2.90916707393702Hackradt2020</v>
      </c>
    </row>
    <row r="2178" spans="1:49" ht="14.5" x14ac:dyDescent="0.35">
      <c r="A2178" s="12">
        <v>2177</v>
      </c>
      <c r="B2178" s="59" t="s">
        <v>477</v>
      </c>
      <c r="C2178" s="15" t="s">
        <v>478</v>
      </c>
      <c r="D2178" s="15" t="s">
        <v>478</v>
      </c>
      <c r="E2178" s="59" t="s">
        <v>89</v>
      </c>
      <c r="F2178" s="13" t="s">
        <v>480</v>
      </c>
      <c r="G2178" s="13" t="s">
        <v>51</v>
      </c>
      <c r="H2178" s="61" t="s">
        <v>229</v>
      </c>
      <c r="I2178" s="61" t="s">
        <v>1000</v>
      </c>
      <c r="J2178" s="17">
        <v>19</v>
      </c>
      <c r="K2178" s="47"/>
      <c r="L2178" s="47" t="s">
        <v>1002</v>
      </c>
      <c r="M2178" s="17" t="s">
        <v>1847</v>
      </c>
      <c r="N2178" s="14" t="s">
        <v>85</v>
      </c>
      <c r="O2178" s="47" t="s">
        <v>86</v>
      </c>
      <c r="P2178" s="47"/>
      <c r="Q2178" s="47"/>
      <c r="R2178" s="47"/>
      <c r="S2178" s="47">
        <f>(8.3246+10.151+9.786)/3</f>
        <v>9.4205333333333332</v>
      </c>
      <c r="T2178" s="47">
        <f>(5.0365+1.5919+2.4269)/3</f>
        <v>3.0184333333333329</v>
      </c>
      <c r="U2178" s="20">
        <f t="shared" si="147"/>
        <v>0.32041002632547338</v>
      </c>
      <c r="V2178" s="41">
        <f t="shared" ref="V2178:V2241" si="150">IFERROR(IF(U2178 = "", "",(U2178-1)*100),"N/A")</f>
        <v>-67.958997367452653</v>
      </c>
      <c r="W2178" s="47"/>
      <c r="X2178" s="47" t="s">
        <v>56</v>
      </c>
      <c r="Y2178" s="17"/>
      <c r="Z2178" s="47" t="s">
        <v>56</v>
      </c>
      <c r="AA2178" s="47"/>
      <c r="AB2178" s="47" t="s">
        <v>57</v>
      </c>
      <c r="AC2178" s="47">
        <v>2010</v>
      </c>
      <c r="AD2178" s="47">
        <v>1</v>
      </c>
      <c r="AE2178" s="47">
        <v>3</v>
      </c>
      <c r="AF2178" s="47"/>
      <c r="AG2178" s="47">
        <v>1995</v>
      </c>
      <c r="AH2178" s="14">
        <f t="shared" si="148"/>
        <v>15</v>
      </c>
      <c r="AI2178" s="17">
        <f t="shared" si="149"/>
        <v>16.25</v>
      </c>
      <c r="AJ2178" s="47"/>
      <c r="AK2178" s="47" t="s">
        <v>58</v>
      </c>
      <c r="AL2178" s="61" t="s">
        <v>484</v>
      </c>
      <c r="AM2178" s="47">
        <v>2020</v>
      </c>
      <c r="AN2178" s="50" t="s">
        <v>1001</v>
      </c>
      <c r="AO2178" s="59" t="s">
        <v>56</v>
      </c>
      <c r="AP2178" s="59"/>
      <c r="AQ2178" s="59" t="s">
        <v>56</v>
      </c>
      <c r="AR2178" s="59" t="s">
        <v>58</v>
      </c>
      <c r="AS2178" s="59" t="s">
        <v>94</v>
      </c>
      <c r="AT2178" s="59"/>
      <c r="AU2178" s="64"/>
      <c r="AV2178" s="59"/>
      <c r="AW2178" s="12" t="str">
        <f>B2178&amp;C2178&amp;L2178&amp;M2178&amp;O2178&amp;U2178&amp;AL2178&amp;AM2178</f>
        <v>SpainCabo de Palos – Islas Hormigas Marine ReserveSerranus scribaPainted comberdensity0.320410026325473Hackradt2020</v>
      </c>
    </row>
    <row r="2179" spans="1:49" ht="14.5" x14ac:dyDescent="0.35">
      <c r="A2179" s="12">
        <v>2178</v>
      </c>
      <c r="B2179" s="59" t="s">
        <v>477</v>
      </c>
      <c r="C2179" s="15" t="s">
        <v>478</v>
      </c>
      <c r="D2179" s="15" t="s">
        <v>478</v>
      </c>
      <c r="E2179" s="50" t="s">
        <v>89</v>
      </c>
      <c r="F2179" s="13" t="s">
        <v>480</v>
      </c>
      <c r="G2179" s="13" t="s">
        <v>51</v>
      </c>
      <c r="H2179" s="61" t="s">
        <v>229</v>
      </c>
      <c r="I2179" s="61" t="s">
        <v>1000</v>
      </c>
      <c r="J2179" s="17">
        <v>19</v>
      </c>
      <c r="K2179" s="47"/>
      <c r="L2179" s="47" t="s">
        <v>1003</v>
      </c>
      <c r="M2179" s="47"/>
      <c r="N2179" s="14" t="s">
        <v>85</v>
      </c>
      <c r="O2179" s="47" t="s">
        <v>86</v>
      </c>
      <c r="P2179" s="47"/>
      <c r="Q2179" s="47"/>
      <c r="R2179" s="47"/>
      <c r="S2179" s="47">
        <f>(1.0177+0.6524+0.13048)/3</f>
        <v>0.60019333333333336</v>
      </c>
      <c r="T2179" s="47">
        <f>(0.80898+3.3142+3.2098)/3</f>
        <v>2.4443266666666665</v>
      </c>
      <c r="U2179" s="19">
        <f t="shared" si="147"/>
        <v>4.072565506670073</v>
      </c>
      <c r="V2179" s="41">
        <f t="shared" si="150"/>
        <v>307.25655066700728</v>
      </c>
      <c r="W2179" s="18"/>
      <c r="X2179" s="47" t="s">
        <v>56</v>
      </c>
      <c r="Y2179" s="17"/>
      <c r="Z2179" s="47" t="s">
        <v>56</v>
      </c>
      <c r="AA2179" s="47"/>
      <c r="AB2179" s="47" t="s">
        <v>57</v>
      </c>
      <c r="AC2179" s="47">
        <v>2010</v>
      </c>
      <c r="AD2179" s="47">
        <v>1</v>
      </c>
      <c r="AE2179" s="47">
        <v>3</v>
      </c>
      <c r="AF2179" s="47"/>
      <c r="AG2179" s="47">
        <v>1995</v>
      </c>
      <c r="AH2179" s="14">
        <f t="shared" si="148"/>
        <v>15</v>
      </c>
      <c r="AI2179" s="17">
        <f t="shared" si="149"/>
        <v>16.25</v>
      </c>
      <c r="AJ2179" s="47"/>
      <c r="AK2179" s="47" t="s">
        <v>58</v>
      </c>
      <c r="AL2179" s="61" t="s">
        <v>484</v>
      </c>
      <c r="AM2179" s="47">
        <v>2020</v>
      </c>
      <c r="AN2179" s="50" t="s">
        <v>1001</v>
      </c>
      <c r="AO2179" s="59" t="s">
        <v>56</v>
      </c>
      <c r="AP2179" s="59"/>
      <c r="AQ2179" s="59" t="s">
        <v>56</v>
      </c>
      <c r="AR2179" s="59" t="s">
        <v>58</v>
      </c>
      <c r="AS2179" s="59" t="s">
        <v>94</v>
      </c>
      <c r="AT2179" s="50"/>
      <c r="AU2179" s="64"/>
      <c r="AV2179" s="59"/>
      <c r="AW2179" s="12" t="str">
        <f>B2179&amp;C2179&amp;L2179&amp;M2179&amp;O2179&amp;U2179&amp;AL2179&amp;AM2179</f>
        <v>SpainCabo de Palos – Islas Hormigas Marine ReserveEpinephalus marginatusdensity4.07256550667007Hackradt2020</v>
      </c>
    </row>
    <row r="2180" spans="1:49" ht="14.5" x14ac:dyDescent="0.35">
      <c r="A2180" s="12">
        <v>2179</v>
      </c>
      <c r="B2180" s="59" t="s">
        <v>477</v>
      </c>
      <c r="C2180" s="15" t="s">
        <v>478</v>
      </c>
      <c r="D2180" s="15" t="s">
        <v>478</v>
      </c>
      <c r="E2180" s="50" t="s">
        <v>89</v>
      </c>
      <c r="F2180" s="13" t="s">
        <v>480</v>
      </c>
      <c r="G2180" s="13" t="s">
        <v>51</v>
      </c>
      <c r="H2180" s="61" t="s">
        <v>229</v>
      </c>
      <c r="I2180" s="61" t="s">
        <v>1000</v>
      </c>
      <c r="J2180" s="17">
        <v>19</v>
      </c>
      <c r="K2180" s="47"/>
      <c r="L2180" s="47" t="s">
        <v>488</v>
      </c>
      <c r="M2180" s="47"/>
      <c r="N2180" s="14" t="s">
        <v>85</v>
      </c>
      <c r="O2180" s="47" t="s">
        <v>86</v>
      </c>
      <c r="P2180" s="47"/>
      <c r="Q2180" s="47"/>
      <c r="R2180" s="47"/>
      <c r="S2180" s="47">
        <f>(0+0.19894+0.066313)/3</f>
        <v>8.8417666666666672E-2</v>
      </c>
      <c r="T2180" s="47">
        <f>(0.033156+0.82891+0.099469)/3</f>
        <v>0.32051166666666669</v>
      </c>
      <c r="U2180" s="19">
        <f t="shared" si="147"/>
        <v>3.624973138852341</v>
      </c>
      <c r="V2180" s="41">
        <f t="shared" si="150"/>
        <v>262.49731388523412</v>
      </c>
      <c r="W2180" s="18"/>
      <c r="X2180" s="47" t="s">
        <v>56</v>
      </c>
      <c r="Y2180" s="17"/>
      <c r="Z2180" s="47" t="s">
        <v>56</v>
      </c>
      <c r="AA2180" s="47"/>
      <c r="AB2180" s="47" t="s">
        <v>57</v>
      </c>
      <c r="AC2180" s="47">
        <v>2010</v>
      </c>
      <c r="AD2180" s="47">
        <v>1</v>
      </c>
      <c r="AE2180" s="47">
        <v>3</v>
      </c>
      <c r="AF2180" s="47"/>
      <c r="AG2180" s="47">
        <v>1995</v>
      </c>
      <c r="AH2180" s="14">
        <f t="shared" si="148"/>
        <v>15</v>
      </c>
      <c r="AI2180" s="17">
        <f t="shared" si="149"/>
        <v>16.25</v>
      </c>
      <c r="AJ2180" s="47"/>
      <c r="AK2180" s="47" t="s">
        <v>58</v>
      </c>
      <c r="AL2180" s="61" t="s">
        <v>484</v>
      </c>
      <c r="AM2180" s="47">
        <v>2020</v>
      </c>
      <c r="AN2180" s="50" t="s">
        <v>1001</v>
      </c>
      <c r="AO2180" s="59" t="s">
        <v>56</v>
      </c>
      <c r="AP2180" s="59"/>
      <c r="AQ2180" s="59" t="s">
        <v>56</v>
      </c>
      <c r="AR2180" s="59" t="s">
        <v>58</v>
      </c>
      <c r="AS2180" s="59" t="s">
        <v>94</v>
      </c>
      <c r="AT2180" s="50"/>
      <c r="AU2180" s="64"/>
      <c r="AV2180" s="59"/>
      <c r="AW2180" s="12" t="str">
        <f>B2180&amp;C2180&amp;L2180&amp;M2180&amp;O2180&amp;U2180&amp;AL2180&amp;AM2180</f>
        <v>SpainCabo de Palos – Islas Hormigas Marine ReserveMycteroperca rubradensity3.62497313885234Hackradt2020</v>
      </c>
    </row>
    <row r="2181" spans="1:49" ht="14.5" x14ac:dyDescent="0.35">
      <c r="A2181" s="12">
        <v>2180</v>
      </c>
      <c r="B2181" s="59" t="s">
        <v>477</v>
      </c>
      <c r="C2181" s="15" t="s">
        <v>478</v>
      </c>
      <c r="D2181" s="15" t="s">
        <v>478</v>
      </c>
      <c r="E2181" s="59" t="s">
        <v>89</v>
      </c>
      <c r="F2181" s="16" t="s">
        <v>480</v>
      </c>
      <c r="G2181" s="16" t="s">
        <v>51</v>
      </c>
      <c r="H2181" s="61" t="s">
        <v>229</v>
      </c>
      <c r="I2181" s="61" t="s">
        <v>1000</v>
      </c>
      <c r="J2181" s="17">
        <v>19</v>
      </c>
      <c r="K2181" s="47"/>
      <c r="L2181" s="47" t="s">
        <v>217</v>
      </c>
      <c r="M2181" s="47"/>
      <c r="N2181" s="14" t="s">
        <v>85</v>
      </c>
      <c r="O2181" s="47" t="s">
        <v>86</v>
      </c>
      <c r="P2181" s="47"/>
      <c r="Q2181" s="47"/>
      <c r="R2181" s="47"/>
      <c r="S2181" s="47">
        <f>(3.8542+4.1146+3.8542)/3</f>
        <v>3.9410000000000003</v>
      </c>
      <c r="T2181" s="47">
        <f>(0.9375+3.2813+3.3854)/3</f>
        <v>2.5347333333333335</v>
      </c>
      <c r="U2181" s="20">
        <f t="shared" si="147"/>
        <v>0.64317009219318277</v>
      </c>
      <c r="V2181" s="41">
        <f t="shared" si="150"/>
        <v>-35.68299078068172</v>
      </c>
      <c r="W2181" s="47"/>
      <c r="X2181" s="47" t="s">
        <v>56</v>
      </c>
      <c r="Y2181" s="17"/>
      <c r="Z2181" s="47" t="s">
        <v>56</v>
      </c>
      <c r="AA2181" s="47"/>
      <c r="AB2181" s="47" t="s">
        <v>57</v>
      </c>
      <c r="AC2181" s="47">
        <v>2010</v>
      </c>
      <c r="AD2181" s="47">
        <v>1</v>
      </c>
      <c r="AE2181" s="47">
        <v>3</v>
      </c>
      <c r="AF2181" s="47"/>
      <c r="AG2181" s="47">
        <v>1995</v>
      </c>
      <c r="AH2181" s="14">
        <f t="shared" si="148"/>
        <v>15</v>
      </c>
      <c r="AI2181" s="17">
        <f t="shared" si="149"/>
        <v>16.25</v>
      </c>
      <c r="AJ2181" s="47"/>
      <c r="AK2181" s="47" t="s">
        <v>58</v>
      </c>
      <c r="AL2181" s="61" t="s">
        <v>484</v>
      </c>
      <c r="AM2181" s="47">
        <v>2020</v>
      </c>
      <c r="AN2181" s="50" t="s">
        <v>1001</v>
      </c>
      <c r="AO2181" s="59" t="s">
        <v>56</v>
      </c>
      <c r="AP2181" s="59"/>
      <c r="AQ2181" s="59" t="s">
        <v>56</v>
      </c>
      <c r="AR2181" s="59" t="s">
        <v>58</v>
      </c>
      <c r="AS2181" s="59" t="s">
        <v>94</v>
      </c>
      <c r="AT2181" s="59"/>
      <c r="AU2181" s="64"/>
      <c r="AV2181" s="59"/>
      <c r="AW2181" s="12" t="str">
        <f>B2181&amp;C2181&amp;L2181&amp;M2181&amp;O2181&amp;U2181&amp;AL2181&amp;AM2181</f>
        <v>SpainCabo de Palos – Islas Hormigas Marine ReserveSerranus cabrilladensity0.643170092193183Hackradt2020</v>
      </c>
    </row>
    <row r="2182" spans="1:49" ht="14.5" x14ac:dyDescent="0.35">
      <c r="A2182" s="12">
        <v>2181</v>
      </c>
      <c r="B2182" s="59" t="s">
        <v>66</v>
      </c>
      <c r="C2182" s="59" t="s">
        <v>2585</v>
      </c>
      <c r="D2182" s="59" t="s">
        <v>907</v>
      </c>
      <c r="E2182" s="50" t="s">
        <v>908</v>
      </c>
      <c r="F2182" s="13" t="s">
        <v>50</v>
      </c>
      <c r="G2182" s="13" t="s">
        <v>51</v>
      </c>
      <c r="H2182" s="61" t="s">
        <v>909</v>
      </c>
      <c r="I2182" s="61" t="s">
        <v>156</v>
      </c>
      <c r="J2182" s="47"/>
      <c r="K2182" s="47">
        <v>5916</v>
      </c>
      <c r="L2182"/>
      <c r="M2182" s="17" t="s">
        <v>910</v>
      </c>
      <c r="N2182" s="53" t="s">
        <v>98</v>
      </c>
      <c r="O2182" s="47" t="s">
        <v>86</v>
      </c>
      <c r="P2182" s="47"/>
      <c r="Q2182" s="47"/>
      <c r="R2182" s="47"/>
      <c r="S2182" s="17">
        <f>(14.248+64.91)/2</f>
        <v>39.579000000000001</v>
      </c>
      <c r="T2182" s="17">
        <f>(258.05+80.739)/2</f>
        <v>169.39449999999999</v>
      </c>
      <c r="U2182" s="19">
        <f t="shared" si="147"/>
        <v>4.2799085373556682</v>
      </c>
      <c r="V2182" s="41">
        <f t="shared" si="150"/>
        <v>327.99085373556682</v>
      </c>
      <c r="W2182" s="18"/>
      <c r="X2182" s="47" t="s">
        <v>58</v>
      </c>
      <c r="Y2182" s="17">
        <v>160</v>
      </c>
      <c r="Z2182" s="47" t="s">
        <v>56</v>
      </c>
      <c r="AA2182" s="47"/>
      <c r="AB2182" s="47" t="s">
        <v>57</v>
      </c>
      <c r="AC2182" s="47">
        <v>2013</v>
      </c>
      <c r="AD2182" s="47"/>
      <c r="AE2182" s="47">
        <v>2</v>
      </c>
      <c r="AF2182" s="47"/>
      <c r="AG2182" s="47">
        <v>2006</v>
      </c>
      <c r="AH2182" s="14">
        <f t="shared" si="148"/>
        <v>7</v>
      </c>
      <c r="AI2182" s="17">
        <f t="shared" si="149"/>
        <v>7.166666666666667</v>
      </c>
      <c r="AJ2182" s="47"/>
      <c r="AK2182" s="47" t="s">
        <v>56</v>
      </c>
      <c r="AL2182" s="61" t="s">
        <v>911</v>
      </c>
      <c r="AM2182" s="47">
        <v>2015</v>
      </c>
      <c r="AN2182" s="50" t="s">
        <v>183</v>
      </c>
      <c r="AO2182" s="59" t="s">
        <v>56</v>
      </c>
      <c r="AP2182" s="59"/>
      <c r="AQ2182" s="59" t="s">
        <v>56</v>
      </c>
      <c r="AR2182" s="59" t="s">
        <v>58</v>
      </c>
      <c r="AS2182" s="59" t="s">
        <v>94</v>
      </c>
      <c r="AT2182" s="50"/>
      <c r="AU2182" s="64" t="s">
        <v>2586</v>
      </c>
      <c r="AV2182" s="59"/>
      <c r="AW2182" s="12" t="str">
        <f>B2182&amp;C2182&amp;L2182&amp;M2182&amp;O2182&amp;U2182&amp;AL2182&amp;AM2182</f>
        <v>AustraliaGreat Sandy Marine Park NetworkHarvested fishdensity4.27990853735567Martin2015</v>
      </c>
    </row>
    <row r="2183" spans="1:49" ht="14.5" x14ac:dyDescent="0.35">
      <c r="A2183" s="12">
        <v>2182</v>
      </c>
      <c r="B2183" s="59" t="s">
        <v>66</v>
      </c>
      <c r="C2183" s="59" t="s">
        <v>2585</v>
      </c>
      <c r="D2183" s="59" t="s">
        <v>907</v>
      </c>
      <c r="E2183" s="50" t="s">
        <v>908</v>
      </c>
      <c r="F2183" s="13" t="s">
        <v>50</v>
      </c>
      <c r="G2183" s="13" t="s">
        <v>51</v>
      </c>
      <c r="H2183" s="61" t="s">
        <v>909</v>
      </c>
      <c r="I2183" s="61" t="s">
        <v>156</v>
      </c>
      <c r="J2183" s="47"/>
      <c r="K2183" s="47">
        <v>5916</v>
      </c>
      <c r="L2183"/>
      <c r="M2183" s="47" t="s">
        <v>912</v>
      </c>
      <c r="N2183" s="53" t="s">
        <v>98</v>
      </c>
      <c r="O2183" s="47" t="s">
        <v>86</v>
      </c>
      <c r="P2183" s="47"/>
      <c r="Q2183" s="47"/>
      <c r="R2183" s="47"/>
      <c r="S2183" s="47">
        <f>(4.7493+93.4)/2</f>
        <v>49.074650000000005</v>
      </c>
      <c r="T2183" s="47">
        <f>(248.55+4.7493)/2</f>
        <v>126.64965000000001</v>
      </c>
      <c r="U2183" s="19">
        <f t="shared" si="147"/>
        <v>2.5807550334031926</v>
      </c>
      <c r="V2183" s="41">
        <f t="shared" si="150"/>
        <v>158.07550334031924</v>
      </c>
      <c r="W2183" s="18"/>
      <c r="X2183" s="47" t="s">
        <v>58</v>
      </c>
      <c r="Y2183" s="17">
        <v>160</v>
      </c>
      <c r="Z2183" s="47" t="s">
        <v>56</v>
      </c>
      <c r="AA2183" s="47"/>
      <c r="AB2183" s="47" t="s">
        <v>57</v>
      </c>
      <c r="AC2183" s="47">
        <v>2013</v>
      </c>
      <c r="AD2183" s="47"/>
      <c r="AE2183" s="47">
        <v>2</v>
      </c>
      <c r="AF2183" s="47"/>
      <c r="AG2183" s="47">
        <v>2006</v>
      </c>
      <c r="AH2183" s="14">
        <f t="shared" si="148"/>
        <v>7</v>
      </c>
      <c r="AI2183" s="17">
        <f t="shared" si="149"/>
        <v>7.166666666666667</v>
      </c>
      <c r="AJ2183" s="47"/>
      <c r="AK2183" s="47" t="s">
        <v>56</v>
      </c>
      <c r="AL2183" s="61" t="s">
        <v>911</v>
      </c>
      <c r="AM2183" s="47">
        <v>2015</v>
      </c>
      <c r="AN2183" s="50" t="s">
        <v>183</v>
      </c>
      <c r="AO2183" s="59" t="s">
        <v>56</v>
      </c>
      <c r="AP2183" s="59"/>
      <c r="AQ2183" s="59" t="s">
        <v>56</v>
      </c>
      <c r="AR2183" s="59" t="s">
        <v>58</v>
      </c>
      <c r="AS2183" s="59" t="s">
        <v>94</v>
      </c>
      <c r="AT2183" s="50"/>
      <c r="AU2183" s="64" t="s">
        <v>2586</v>
      </c>
      <c r="AV2183" s="59"/>
      <c r="AW2183" s="12" t="str">
        <f>B2183&amp;C2183&amp;L2183&amp;M2183&amp;O2183&amp;U2183&amp;AL2183&amp;AM2183</f>
        <v>AustraliaGreat Sandy Marine Park NetworkPrey fishdensity2.58075503340319Martin2015</v>
      </c>
    </row>
    <row r="2184" spans="1:49" ht="14.5" x14ac:dyDescent="0.35">
      <c r="A2184" s="12">
        <v>2183</v>
      </c>
      <c r="B2184" s="59" t="s">
        <v>66</v>
      </c>
      <c r="C2184" s="59" t="s">
        <v>2585</v>
      </c>
      <c r="D2184" s="59" t="s">
        <v>907</v>
      </c>
      <c r="E2184" s="50" t="s">
        <v>908</v>
      </c>
      <c r="F2184" s="13" t="s">
        <v>50</v>
      </c>
      <c r="G2184" s="13" t="s">
        <v>51</v>
      </c>
      <c r="H2184" s="61" t="s">
        <v>909</v>
      </c>
      <c r="I2184" s="61" t="s">
        <v>156</v>
      </c>
      <c r="J2184" s="47"/>
      <c r="K2184" s="47">
        <v>5916</v>
      </c>
      <c r="L2184"/>
      <c r="M2184" s="47" t="s">
        <v>292</v>
      </c>
      <c r="N2184" s="53" t="s">
        <v>98</v>
      </c>
      <c r="O2184" s="47" t="s">
        <v>86</v>
      </c>
      <c r="P2184" s="47"/>
      <c r="Q2184" s="47"/>
      <c r="R2184" s="47"/>
      <c r="S2184" s="47">
        <f>(77.368+109)/2</f>
        <v>93.183999999999997</v>
      </c>
      <c r="T2184" s="47">
        <f>(396.32+150)/2</f>
        <v>273.15999999999997</v>
      </c>
      <c r="U2184" s="19">
        <f t="shared" si="147"/>
        <v>2.9314045329670328</v>
      </c>
      <c r="V2184" s="41">
        <f t="shared" si="150"/>
        <v>193.1404532967033</v>
      </c>
      <c r="W2184" s="18"/>
      <c r="X2184" s="47" t="s">
        <v>58</v>
      </c>
      <c r="Y2184" s="17">
        <v>160</v>
      </c>
      <c r="Z2184" s="47" t="s">
        <v>56</v>
      </c>
      <c r="AA2184" s="47"/>
      <c r="AB2184" s="47" t="s">
        <v>57</v>
      </c>
      <c r="AC2184" s="47">
        <v>2013</v>
      </c>
      <c r="AD2184" s="47"/>
      <c r="AE2184" s="47">
        <v>2</v>
      </c>
      <c r="AF2184" s="47"/>
      <c r="AG2184" s="47">
        <v>2006</v>
      </c>
      <c r="AH2184" s="14">
        <f t="shared" si="148"/>
        <v>7</v>
      </c>
      <c r="AI2184" s="17">
        <f t="shared" si="149"/>
        <v>7.166666666666667</v>
      </c>
      <c r="AJ2184" s="47"/>
      <c r="AK2184" s="47" t="s">
        <v>56</v>
      </c>
      <c r="AL2184" s="61" t="s">
        <v>911</v>
      </c>
      <c r="AM2184" s="47">
        <v>2015</v>
      </c>
      <c r="AN2184" s="50" t="s">
        <v>183</v>
      </c>
      <c r="AO2184" s="59" t="s">
        <v>56</v>
      </c>
      <c r="AP2184" s="59"/>
      <c r="AQ2184" s="59" t="s">
        <v>56</v>
      </c>
      <c r="AR2184" s="59" t="s">
        <v>58</v>
      </c>
      <c r="AS2184" s="59" t="s">
        <v>94</v>
      </c>
      <c r="AT2184" s="50"/>
      <c r="AU2184" s="64" t="s">
        <v>2586</v>
      </c>
      <c r="AV2184" s="59"/>
      <c r="AW2184" s="12" t="str">
        <f>B2184&amp;C2184&amp;L2184&amp;M2184&amp;O2184&amp;U2184&amp;AL2184&amp;AM2184</f>
        <v>AustraliaGreat Sandy Marine Park NetworkHerbivorous fishdensity2.93140453296703Martin2015</v>
      </c>
    </row>
    <row r="2185" spans="1:49" ht="14.5" x14ac:dyDescent="0.35">
      <c r="A2185" s="12">
        <v>2184</v>
      </c>
      <c r="B2185" s="59" t="s">
        <v>66</v>
      </c>
      <c r="C2185" s="59" t="s">
        <v>2585</v>
      </c>
      <c r="D2185" s="59" t="s">
        <v>907</v>
      </c>
      <c r="E2185" s="59" t="s">
        <v>908</v>
      </c>
      <c r="F2185" s="13" t="s">
        <v>50</v>
      </c>
      <c r="G2185" s="13" t="s">
        <v>51</v>
      </c>
      <c r="H2185" s="61" t="s">
        <v>909</v>
      </c>
      <c r="I2185" s="61" t="s">
        <v>156</v>
      </c>
      <c r="J2185" s="47"/>
      <c r="K2185" s="47">
        <v>5916</v>
      </c>
      <c r="L2185"/>
      <c r="M2185" s="47" t="s">
        <v>913</v>
      </c>
      <c r="N2185" s="53" t="s">
        <v>98</v>
      </c>
      <c r="O2185" s="47" t="s">
        <v>86</v>
      </c>
      <c r="P2185" s="47"/>
      <c r="Q2185" s="47"/>
      <c r="R2185" s="47"/>
      <c r="S2185" s="47">
        <f>(4.8421+19.61)/2</f>
        <v>12.226050000000001</v>
      </c>
      <c r="T2185" s="47">
        <f>(50.737+32.632)/2</f>
        <v>41.6845</v>
      </c>
      <c r="U2185" s="20">
        <f t="shared" si="147"/>
        <v>3.4094822121617363</v>
      </c>
      <c r="V2185" s="41">
        <f t="shared" si="150"/>
        <v>240.94822121617364</v>
      </c>
      <c r="W2185" s="47"/>
      <c r="X2185" s="47" t="s">
        <v>58</v>
      </c>
      <c r="Y2185" s="17">
        <v>160</v>
      </c>
      <c r="Z2185" s="47" t="s">
        <v>56</v>
      </c>
      <c r="AA2185" s="47"/>
      <c r="AB2185" s="47" t="s">
        <v>57</v>
      </c>
      <c r="AC2185" s="47">
        <v>2013</v>
      </c>
      <c r="AD2185" s="47"/>
      <c r="AE2185" s="47">
        <v>2</v>
      </c>
      <c r="AF2185" s="47"/>
      <c r="AG2185" s="47">
        <v>2006</v>
      </c>
      <c r="AH2185" s="14">
        <f t="shared" si="148"/>
        <v>7</v>
      </c>
      <c r="AI2185" s="17">
        <f t="shared" si="149"/>
        <v>7.166666666666667</v>
      </c>
      <c r="AJ2185" s="47"/>
      <c r="AK2185" s="47" t="s">
        <v>56</v>
      </c>
      <c r="AL2185" s="61" t="s">
        <v>911</v>
      </c>
      <c r="AM2185" s="47">
        <v>2015</v>
      </c>
      <c r="AN2185" s="50" t="s">
        <v>183</v>
      </c>
      <c r="AO2185" s="59" t="s">
        <v>56</v>
      </c>
      <c r="AP2185" s="59"/>
      <c r="AQ2185" s="59" t="s">
        <v>56</v>
      </c>
      <c r="AR2185" s="59" t="s">
        <v>58</v>
      </c>
      <c r="AS2185" s="59" t="s">
        <v>94</v>
      </c>
      <c r="AT2185" s="59"/>
      <c r="AU2185" s="64" t="s">
        <v>2586</v>
      </c>
      <c r="AV2185" s="59"/>
      <c r="AW2185" s="12" t="str">
        <f>B2185&amp;C2185&amp;L2185&amp;M2185&amp;O2185&amp;U2185&amp;AL2185&amp;AM2185</f>
        <v>AustraliaGreat Sandy Marine Park NetworkPiscivorous fishdensity3.40948221216174Martin2015</v>
      </c>
    </row>
    <row r="2186" spans="1:49" ht="14.5" x14ac:dyDescent="0.35">
      <c r="A2186" s="12">
        <v>2185</v>
      </c>
      <c r="B2186" s="59" t="s">
        <v>2064</v>
      </c>
      <c r="C2186" s="59" t="s">
        <v>2770</v>
      </c>
      <c r="D2186" s="59" t="s">
        <v>2770</v>
      </c>
      <c r="E2186" s="59" t="s">
        <v>89</v>
      </c>
      <c r="F2186" s="13" t="s">
        <v>480</v>
      </c>
      <c r="G2186" s="13" t="s">
        <v>51</v>
      </c>
      <c r="H2186" s="61" t="s">
        <v>329</v>
      </c>
      <c r="I2186" s="61" t="s">
        <v>156</v>
      </c>
      <c r="J2186" s="47" t="s">
        <v>509</v>
      </c>
      <c r="K2186" s="47"/>
      <c r="L2186" s="47" t="s">
        <v>2065</v>
      </c>
      <c r="M2186" s="47"/>
      <c r="N2186" s="47" t="s">
        <v>120</v>
      </c>
      <c r="O2186" s="47" t="s">
        <v>86</v>
      </c>
      <c r="P2186" s="47"/>
      <c r="Q2186" s="47"/>
      <c r="R2186" s="47"/>
      <c r="S2186" s="47">
        <f>(16+13)/2</f>
        <v>14.5</v>
      </c>
      <c r="T2186" s="47">
        <f>(29+24)/2</f>
        <v>26.5</v>
      </c>
      <c r="U2186" s="20">
        <f t="shared" si="147"/>
        <v>1.8275862068965518</v>
      </c>
      <c r="V2186" s="41">
        <f t="shared" si="150"/>
        <v>82.758620689655189</v>
      </c>
      <c r="W2186" s="47"/>
      <c r="X2186" s="47" t="s">
        <v>58</v>
      </c>
      <c r="Y2186" s="47">
        <v>75</v>
      </c>
      <c r="Z2186" s="47" t="s">
        <v>56</v>
      </c>
      <c r="AA2186" s="47"/>
      <c r="AB2186" s="47" t="s">
        <v>57</v>
      </c>
      <c r="AC2186" s="47">
        <v>2008</v>
      </c>
      <c r="AD2186" s="47"/>
      <c r="AE2186" s="47">
        <v>1</v>
      </c>
      <c r="AF2186" s="47"/>
      <c r="AG2186" s="47" t="s">
        <v>509</v>
      </c>
      <c r="AH2186" s="14" t="str">
        <f t="shared" si="148"/>
        <v>NA</v>
      </c>
      <c r="AI2186" s="17" t="str">
        <f t="shared" si="149"/>
        <v>NA</v>
      </c>
      <c r="AJ2186" s="47"/>
      <c r="AK2186" s="47" t="s">
        <v>56</v>
      </c>
      <c r="AL2186" s="61" t="s">
        <v>2066</v>
      </c>
      <c r="AM2186" s="47">
        <v>2013</v>
      </c>
      <c r="AN2186" s="12" t="s">
        <v>685</v>
      </c>
      <c r="AO2186" s="59" t="s">
        <v>56</v>
      </c>
      <c r="AP2186" s="59"/>
      <c r="AQ2186" s="59" t="s">
        <v>56</v>
      </c>
      <c r="AR2186" s="59" t="s">
        <v>58</v>
      </c>
      <c r="AS2186" s="59" t="s">
        <v>94</v>
      </c>
      <c r="AT2186" s="59" t="s">
        <v>2067</v>
      </c>
      <c r="AU2186" s="64"/>
      <c r="AV2186" s="59"/>
      <c r="AW2186" s="12" t="str">
        <f>B2186&amp;C2186&amp;L2186&amp;M2186&amp;O2186&amp;U2186&amp;AL2186&amp;AM2186</f>
        <v>Republic of SeychellesVarious (9) marine protected areasBohadschia atra / argusdensity1.82758620689655Cariglia2013</v>
      </c>
    </row>
    <row r="2187" spans="1:49" ht="14.5" x14ac:dyDescent="0.35">
      <c r="A2187" s="12">
        <v>2186</v>
      </c>
      <c r="B2187" s="59" t="s">
        <v>2064</v>
      </c>
      <c r="C2187" s="59" t="s">
        <v>2770</v>
      </c>
      <c r="D2187" s="59" t="s">
        <v>2770</v>
      </c>
      <c r="E2187" s="50" t="s">
        <v>89</v>
      </c>
      <c r="F2187" s="13" t="s">
        <v>480</v>
      </c>
      <c r="G2187" s="13" t="s">
        <v>51</v>
      </c>
      <c r="H2187" s="61" t="s">
        <v>329</v>
      </c>
      <c r="I2187" s="61" t="s">
        <v>156</v>
      </c>
      <c r="J2187" s="47" t="s">
        <v>509</v>
      </c>
      <c r="K2187" s="47"/>
      <c r="L2187" s="47" t="s">
        <v>2068</v>
      </c>
      <c r="M2187" s="47"/>
      <c r="N2187" s="47" t="s">
        <v>120</v>
      </c>
      <c r="O2187" s="47" t="s">
        <v>86</v>
      </c>
      <c r="P2187" s="47"/>
      <c r="Q2187" s="47"/>
      <c r="R2187" s="47"/>
      <c r="S2187" s="47">
        <f>1</f>
        <v>1</v>
      </c>
      <c r="T2187" s="47">
        <v>10</v>
      </c>
      <c r="U2187" s="19">
        <f t="shared" si="147"/>
        <v>10</v>
      </c>
      <c r="V2187" s="41">
        <f t="shared" si="150"/>
        <v>900</v>
      </c>
      <c r="W2187" s="18"/>
      <c r="X2187" s="47" t="s">
        <v>58</v>
      </c>
      <c r="Y2187" s="47">
        <v>75</v>
      </c>
      <c r="Z2187" s="47" t="s">
        <v>56</v>
      </c>
      <c r="AA2187" s="47"/>
      <c r="AB2187" s="47" t="s">
        <v>57</v>
      </c>
      <c r="AC2187" s="47">
        <v>2008</v>
      </c>
      <c r="AD2187" s="47"/>
      <c r="AE2187" s="47">
        <v>1</v>
      </c>
      <c r="AF2187" s="47"/>
      <c r="AG2187" s="47" t="s">
        <v>509</v>
      </c>
      <c r="AH2187" s="14" t="str">
        <f t="shared" si="148"/>
        <v>NA</v>
      </c>
      <c r="AI2187" s="17" t="str">
        <f t="shared" si="149"/>
        <v>NA</v>
      </c>
      <c r="AJ2187" s="47"/>
      <c r="AK2187" s="47" t="s">
        <v>56</v>
      </c>
      <c r="AL2187" s="61" t="s">
        <v>2066</v>
      </c>
      <c r="AM2187" s="47">
        <v>2013</v>
      </c>
      <c r="AN2187" s="12" t="s">
        <v>685</v>
      </c>
      <c r="AO2187" s="59" t="s">
        <v>56</v>
      </c>
      <c r="AP2187" s="59"/>
      <c r="AQ2187" s="59" t="s">
        <v>56</v>
      </c>
      <c r="AR2187" s="59" t="s">
        <v>58</v>
      </c>
      <c r="AS2187" s="59" t="s">
        <v>94</v>
      </c>
      <c r="AT2187" s="50" t="s">
        <v>2067</v>
      </c>
      <c r="AU2187" s="64"/>
      <c r="AV2187" s="59"/>
      <c r="AW2187" s="12" t="str">
        <f>B2187&amp;C2187&amp;L2187&amp;M2187&amp;O2187&amp;U2187&amp;AL2187&amp;AM2187</f>
        <v>Republic of SeychellesVarious (9) marine protected areasBohadschia spp.density10Cariglia2013</v>
      </c>
    </row>
    <row r="2188" spans="1:49" ht="14.5" x14ac:dyDescent="0.35">
      <c r="A2188" s="12">
        <v>2187</v>
      </c>
      <c r="B2188" s="59" t="s">
        <v>2064</v>
      </c>
      <c r="C2188" s="59" t="s">
        <v>2770</v>
      </c>
      <c r="D2188" s="59" t="s">
        <v>2770</v>
      </c>
      <c r="E2188" s="50" t="s">
        <v>89</v>
      </c>
      <c r="F2188" s="13" t="s">
        <v>480</v>
      </c>
      <c r="G2188" s="13" t="s">
        <v>51</v>
      </c>
      <c r="H2188" s="61" t="s">
        <v>329</v>
      </c>
      <c r="I2188" s="61" t="s">
        <v>156</v>
      </c>
      <c r="J2188" s="47" t="s">
        <v>509</v>
      </c>
      <c r="K2188" s="47"/>
      <c r="L2188" s="47" t="s">
        <v>2069</v>
      </c>
      <c r="M2188" s="47"/>
      <c r="N2188" s="14" t="s">
        <v>85</v>
      </c>
      <c r="O2188" s="47" t="s">
        <v>86</v>
      </c>
      <c r="P2188" s="47"/>
      <c r="Q2188" s="47"/>
      <c r="R2188" s="47"/>
      <c r="S2188" s="47">
        <f>(54+32)/2</f>
        <v>43</v>
      </c>
      <c r="T2188" s="47">
        <v>35</v>
      </c>
      <c r="U2188" s="19">
        <f t="shared" si="147"/>
        <v>0.81395348837209303</v>
      </c>
      <c r="V2188" s="41">
        <f t="shared" si="150"/>
        <v>-18.604651162790699</v>
      </c>
      <c r="W2188" s="18"/>
      <c r="X2188" s="47" t="s">
        <v>58</v>
      </c>
      <c r="Y2188" s="47">
        <v>75</v>
      </c>
      <c r="Z2188" s="47" t="s">
        <v>56</v>
      </c>
      <c r="AA2188" s="47"/>
      <c r="AB2188" s="47" t="s">
        <v>57</v>
      </c>
      <c r="AC2188" s="47">
        <v>2008</v>
      </c>
      <c r="AD2188" s="47"/>
      <c r="AE2188" s="47">
        <v>1</v>
      </c>
      <c r="AF2188" s="47"/>
      <c r="AG2188" s="47" t="s">
        <v>509</v>
      </c>
      <c r="AH2188" s="14" t="str">
        <f t="shared" si="148"/>
        <v>NA</v>
      </c>
      <c r="AI2188" s="17" t="str">
        <f t="shared" si="149"/>
        <v>NA</v>
      </c>
      <c r="AJ2188" s="47"/>
      <c r="AK2188" s="47" t="s">
        <v>56</v>
      </c>
      <c r="AL2188" s="61" t="s">
        <v>2066</v>
      </c>
      <c r="AM2188" s="47">
        <v>2013</v>
      </c>
      <c r="AN2188" s="12" t="s">
        <v>685</v>
      </c>
      <c r="AO2188" s="59" t="s">
        <v>56</v>
      </c>
      <c r="AP2188" s="59"/>
      <c r="AQ2188" s="59" t="s">
        <v>56</v>
      </c>
      <c r="AR2188" s="59" t="s">
        <v>58</v>
      </c>
      <c r="AS2188" s="59" t="s">
        <v>94</v>
      </c>
      <c r="AT2188" s="50" t="s">
        <v>2067</v>
      </c>
      <c r="AU2188" s="64"/>
      <c r="AV2188" s="59"/>
      <c r="AW2188" s="12" t="str">
        <f>B2188&amp;C2188&amp;L2188&amp;M2188&amp;O2188&amp;U2188&amp;AL2188&amp;AM2188</f>
        <v>Republic of SeychellesVarious (9) marine protected areasHolothuria atradensity0.813953488372093Cariglia2013</v>
      </c>
    </row>
    <row r="2189" spans="1:49" ht="14.5" x14ac:dyDescent="0.35">
      <c r="A2189" s="12">
        <v>2188</v>
      </c>
      <c r="B2189" s="59" t="s">
        <v>2064</v>
      </c>
      <c r="C2189" s="59" t="s">
        <v>2770</v>
      </c>
      <c r="D2189" s="59" t="s">
        <v>2770</v>
      </c>
      <c r="E2189" s="59" t="s">
        <v>89</v>
      </c>
      <c r="F2189" s="13" t="s">
        <v>480</v>
      </c>
      <c r="G2189" s="13" t="s">
        <v>51</v>
      </c>
      <c r="H2189" s="61" t="s">
        <v>329</v>
      </c>
      <c r="I2189" s="61" t="s">
        <v>156</v>
      </c>
      <c r="J2189" s="47" t="s">
        <v>509</v>
      </c>
      <c r="K2189" s="47"/>
      <c r="L2189" s="47" t="s">
        <v>2070</v>
      </c>
      <c r="M2189" s="47"/>
      <c r="N2189" s="14" t="s">
        <v>85</v>
      </c>
      <c r="O2189" s="47" t="s">
        <v>86</v>
      </c>
      <c r="P2189" s="47"/>
      <c r="Q2189" s="47"/>
      <c r="R2189" s="47"/>
      <c r="S2189" s="47">
        <v>0</v>
      </c>
      <c r="T2189" s="47">
        <v>5</v>
      </c>
      <c r="U2189" s="20" t="str">
        <f t="shared" si="147"/>
        <v>N/A</v>
      </c>
      <c r="V2189" s="41" t="str">
        <f t="shared" si="150"/>
        <v>N/A</v>
      </c>
      <c r="W2189" s="47"/>
      <c r="X2189" s="47" t="s">
        <v>58</v>
      </c>
      <c r="Y2189" s="47">
        <v>75</v>
      </c>
      <c r="Z2189" s="47" t="s">
        <v>56</v>
      </c>
      <c r="AA2189" s="47"/>
      <c r="AB2189" s="47" t="s">
        <v>57</v>
      </c>
      <c r="AC2189" s="47">
        <v>2008</v>
      </c>
      <c r="AD2189" s="47"/>
      <c r="AE2189" s="47">
        <v>1</v>
      </c>
      <c r="AF2189" s="47"/>
      <c r="AG2189" s="47" t="s">
        <v>509</v>
      </c>
      <c r="AH2189" s="14" t="str">
        <f t="shared" si="148"/>
        <v>NA</v>
      </c>
      <c r="AI2189" s="17" t="str">
        <f t="shared" si="149"/>
        <v>NA</v>
      </c>
      <c r="AJ2189" s="47"/>
      <c r="AK2189" s="47" t="s">
        <v>56</v>
      </c>
      <c r="AL2189" s="61" t="s">
        <v>2066</v>
      </c>
      <c r="AM2189" s="47">
        <v>2013</v>
      </c>
      <c r="AN2189" s="12" t="s">
        <v>685</v>
      </c>
      <c r="AO2189" s="59" t="s">
        <v>56</v>
      </c>
      <c r="AP2189" s="59"/>
      <c r="AQ2189" s="59" t="s">
        <v>56</v>
      </c>
      <c r="AR2189" s="59" t="s">
        <v>58</v>
      </c>
      <c r="AS2189" s="59" t="s">
        <v>94</v>
      </c>
      <c r="AT2189" s="59" t="s">
        <v>2067</v>
      </c>
      <c r="AU2189" s="64"/>
      <c r="AV2189" s="59"/>
      <c r="AW2189" s="12" t="str">
        <f>B2189&amp;C2189&amp;L2189&amp;M2189&amp;O2189&amp;U2189&amp;AL2189&amp;AM2189</f>
        <v>Republic of SeychellesVarious (9) marine protected areasHolothuria edulisdensityN/ACariglia2013</v>
      </c>
    </row>
    <row r="2190" spans="1:49" ht="14.5" x14ac:dyDescent="0.35">
      <c r="A2190" s="12">
        <v>2189</v>
      </c>
      <c r="B2190" s="50" t="s">
        <v>2064</v>
      </c>
      <c r="C2190" s="59" t="s">
        <v>2770</v>
      </c>
      <c r="D2190" s="59" t="s">
        <v>2770</v>
      </c>
      <c r="E2190" s="50" t="s">
        <v>89</v>
      </c>
      <c r="F2190" s="13" t="s">
        <v>480</v>
      </c>
      <c r="G2190" s="13" t="s">
        <v>51</v>
      </c>
      <c r="H2190" s="62" t="s">
        <v>329</v>
      </c>
      <c r="I2190" s="62" t="s">
        <v>156</v>
      </c>
      <c r="J2190" s="18" t="s">
        <v>509</v>
      </c>
      <c r="K2190" s="18"/>
      <c r="L2190" s="18" t="s">
        <v>2071</v>
      </c>
      <c r="M2190" s="18"/>
      <c r="N2190" s="14" t="s">
        <v>85</v>
      </c>
      <c r="O2190" s="47" t="s">
        <v>86</v>
      </c>
      <c r="P2190" s="18"/>
      <c r="Q2190" s="18"/>
      <c r="R2190" s="18"/>
      <c r="S2190" s="18">
        <v>0</v>
      </c>
      <c r="T2190" s="18">
        <v>3</v>
      </c>
      <c r="U2190" s="19" t="str">
        <f t="shared" si="147"/>
        <v>N/A</v>
      </c>
      <c r="V2190" s="41" t="str">
        <f t="shared" si="150"/>
        <v>N/A</v>
      </c>
      <c r="W2190" s="18"/>
      <c r="X2190" s="18" t="s">
        <v>58</v>
      </c>
      <c r="Y2190" s="18">
        <v>75</v>
      </c>
      <c r="Z2190" s="47" t="s">
        <v>56</v>
      </c>
      <c r="AA2190" s="18"/>
      <c r="AB2190" s="18" t="s">
        <v>57</v>
      </c>
      <c r="AC2190" s="18">
        <v>2008</v>
      </c>
      <c r="AD2190" s="18"/>
      <c r="AE2190" s="18">
        <v>1</v>
      </c>
      <c r="AF2190" s="18"/>
      <c r="AG2190" s="18" t="s">
        <v>509</v>
      </c>
      <c r="AH2190" s="14" t="str">
        <f t="shared" si="148"/>
        <v>NA</v>
      </c>
      <c r="AI2190" s="17" t="str">
        <f t="shared" si="149"/>
        <v>NA</v>
      </c>
      <c r="AJ2190" s="18"/>
      <c r="AK2190" s="18" t="s">
        <v>56</v>
      </c>
      <c r="AL2190" s="62" t="s">
        <v>2066</v>
      </c>
      <c r="AM2190" s="18">
        <v>2013</v>
      </c>
      <c r="AN2190" s="12" t="s">
        <v>685</v>
      </c>
      <c r="AO2190" s="50" t="s">
        <v>56</v>
      </c>
      <c r="AP2190" s="50"/>
      <c r="AQ2190" s="50" t="s">
        <v>56</v>
      </c>
      <c r="AR2190" s="50" t="s">
        <v>58</v>
      </c>
      <c r="AS2190" s="50" t="s">
        <v>94</v>
      </c>
      <c r="AT2190" s="50" t="s">
        <v>2067</v>
      </c>
      <c r="AU2190" s="64"/>
      <c r="AV2190" s="59"/>
      <c r="AW2190" s="12" t="str">
        <f>B2190&amp;C2190&amp;L2190&amp;M2190&amp;O2190&amp;U2190&amp;AL2190&amp;AM2190</f>
        <v>Republic of SeychellesVarious (9) marine protected areasHolothuria fuscopunctatadensityN/ACariglia2013</v>
      </c>
    </row>
    <row r="2191" spans="1:49" ht="14.5" x14ac:dyDescent="0.35">
      <c r="A2191" s="12">
        <v>2190</v>
      </c>
      <c r="B2191" s="50" t="s">
        <v>2064</v>
      </c>
      <c r="C2191" s="50" t="s">
        <v>2770</v>
      </c>
      <c r="D2191" s="50" t="s">
        <v>2770</v>
      </c>
      <c r="E2191" s="50" t="s">
        <v>89</v>
      </c>
      <c r="F2191" s="13" t="s">
        <v>480</v>
      </c>
      <c r="G2191" s="13" t="s">
        <v>51</v>
      </c>
      <c r="H2191" s="62" t="s">
        <v>329</v>
      </c>
      <c r="I2191" s="62" t="s">
        <v>156</v>
      </c>
      <c r="J2191" s="18" t="s">
        <v>509</v>
      </c>
      <c r="K2191" s="18"/>
      <c r="L2191" s="18" t="s">
        <v>2072</v>
      </c>
      <c r="M2191" s="18"/>
      <c r="N2191" s="14" t="s">
        <v>85</v>
      </c>
      <c r="O2191" s="18" t="s">
        <v>86</v>
      </c>
      <c r="P2191" s="18"/>
      <c r="Q2191" s="18"/>
      <c r="R2191" s="18"/>
      <c r="S2191" s="18">
        <f>(40+26)/2</f>
        <v>33</v>
      </c>
      <c r="T2191" s="18">
        <f>(24+17)/2</f>
        <v>20.5</v>
      </c>
      <c r="U2191" s="19">
        <f t="shared" si="147"/>
        <v>0.62121212121212122</v>
      </c>
      <c r="V2191" s="41">
        <f t="shared" si="150"/>
        <v>-37.878787878787875</v>
      </c>
      <c r="W2191" s="18"/>
      <c r="X2191" s="18" t="s">
        <v>58</v>
      </c>
      <c r="Y2191" s="18">
        <v>75</v>
      </c>
      <c r="Z2191" s="47" t="s">
        <v>56</v>
      </c>
      <c r="AA2191" s="18"/>
      <c r="AB2191" s="18" t="s">
        <v>57</v>
      </c>
      <c r="AC2191" s="18">
        <v>2008</v>
      </c>
      <c r="AD2191" s="18"/>
      <c r="AE2191" s="18">
        <v>1</v>
      </c>
      <c r="AF2191" s="18"/>
      <c r="AG2191" s="18" t="s">
        <v>509</v>
      </c>
      <c r="AH2191" s="14" t="str">
        <f t="shared" si="148"/>
        <v>NA</v>
      </c>
      <c r="AI2191" s="17" t="str">
        <f t="shared" si="149"/>
        <v>NA</v>
      </c>
      <c r="AJ2191" s="18"/>
      <c r="AK2191" s="18" t="s">
        <v>56</v>
      </c>
      <c r="AL2191" s="62" t="s">
        <v>2066</v>
      </c>
      <c r="AM2191" s="18">
        <v>2013</v>
      </c>
      <c r="AN2191" s="12" t="s">
        <v>685</v>
      </c>
      <c r="AO2191" s="50" t="s">
        <v>56</v>
      </c>
      <c r="AP2191" s="50"/>
      <c r="AQ2191" s="50" t="s">
        <v>56</v>
      </c>
      <c r="AR2191" s="50" t="s">
        <v>58</v>
      </c>
      <c r="AS2191" s="50" t="s">
        <v>94</v>
      </c>
      <c r="AT2191" s="50" t="s">
        <v>2067</v>
      </c>
      <c r="AU2191" s="64"/>
      <c r="AV2191" s="59"/>
      <c r="AW2191" s="12" t="str">
        <f>B2191&amp;C2191&amp;L2191&amp;M2191&amp;O2191&amp;U2191&amp;AL2191&amp;AM2191</f>
        <v>Republic of SeychellesVarious (9) marine protected areasPearsonothuria graeffeidensity0.621212121212121Cariglia2013</v>
      </c>
    </row>
    <row r="2192" spans="1:49" ht="14.5" x14ac:dyDescent="0.35">
      <c r="A2192" s="12">
        <v>2191</v>
      </c>
      <c r="B2192" s="50" t="s">
        <v>2064</v>
      </c>
      <c r="C2192" s="50" t="s">
        <v>2770</v>
      </c>
      <c r="D2192" s="50" t="s">
        <v>2770</v>
      </c>
      <c r="E2192" s="50" t="s">
        <v>89</v>
      </c>
      <c r="F2192" s="13" t="s">
        <v>480</v>
      </c>
      <c r="G2192" s="13" t="s">
        <v>51</v>
      </c>
      <c r="H2192" s="62" t="s">
        <v>329</v>
      </c>
      <c r="I2192" s="62" t="s">
        <v>156</v>
      </c>
      <c r="J2192" s="18" t="s">
        <v>509</v>
      </c>
      <c r="K2192" s="18"/>
      <c r="L2192" s="18" t="s">
        <v>2073</v>
      </c>
      <c r="M2192" s="18"/>
      <c r="N2192" s="14" t="s">
        <v>85</v>
      </c>
      <c r="O2192" s="18" t="s">
        <v>86</v>
      </c>
      <c r="P2192" s="18"/>
      <c r="Q2192" s="18"/>
      <c r="R2192" s="18"/>
      <c r="S2192" s="18">
        <f>(59+24)/2</f>
        <v>41.5</v>
      </c>
      <c r="T2192" s="18">
        <f>(71+27)/2</f>
        <v>49</v>
      </c>
      <c r="U2192" s="19">
        <f t="shared" si="147"/>
        <v>1.1807228915662651</v>
      </c>
      <c r="V2192" s="41">
        <f t="shared" si="150"/>
        <v>18.07228915662651</v>
      </c>
      <c r="W2192" s="18"/>
      <c r="X2192" s="18" t="s">
        <v>58</v>
      </c>
      <c r="Y2192" s="18">
        <v>75</v>
      </c>
      <c r="Z2192" s="47" t="s">
        <v>56</v>
      </c>
      <c r="AA2192" s="18"/>
      <c r="AB2192" s="18" t="s">
        <v>57</v>
      </c>
      <c r="AC2192" s="18">
        <v>2008</v>
      </c>
      <c r="AD2192" s="18"/>
      <c r="AE2192" s="18">
        <v>1</v>
      </c>
      <c r="AF2192" s="18"/>
      <c r="AG2192" s="18" t="s">
        <v>509</v>
      </c>
      <c r="AH2192" s="14" t="str">
        <f t="shared" si="148"/>
        <v>NA</v>
      </c>
      <c r="AI2192" s="17" t="str">
        <f t="shared" si="149"/>
        <v>NA</v>
      </c>
      <c r="AJ2192" s="18"/>
      <c r="AK2192" s="18" t="s">
        <v>56</v>
      </c>
      <c r="AL2192" s="62" t="s">
        <v>2066</v>
      </c>
      <c r="AM2192" s="18">
        <v>2013</v>
      </c>
      <c r="AN2192" s="12" t="s">
        <v>685</v>
      </c>
      <c r="AO2192" s="50" t="s">
        <v>56</v>
      </c>
      <c r="AP2192" s="50"/>
      <c r="AQ2192" s="50" t="s">
        <v>56</v>
      </c>
      <c r="AR2192" s="50" t="s">
        <v>58</v>
      </c>
      <c r="AS2192" s="50" t="s">
        <v>94</v>
      </c>
      <c r="AT2192" s="50" t="s">
        <v>2067</v>
      </c>
      <c r="AU2192" s="64"/>
      <c r="AV2192" s="59"/>
      <c r="AW2192" s="12" t="str">
        <f>B2192&amp;C2192&amp;L2192&amp;M2192&amp;O2192&amp;U2192&amp;AL2192&amp;AM2192</f>
        <v>Republic of SeychellesVarious (9) marine protected areasStichopus chloronotusdensity1.18072289156627Cariglia2013</v>
      </c>
    </row>
    <row r="2193" spans="1:49" ht="14.5" x14ac:dyDescent="0.35">
      <c r="A2193" s="12">
        <v>2192</v>
      </c>
      <c r="B2193" s="59" t="s">
        <v>2064</v>
      </c>
      <c r="C2193" s="59" t="s">
        <v>2770</v>
      </c>
      <c r="D2193" s="59" t="s">
        <v>2770</v>
      </c>
      <c r="E2193" s="59" t="s">
        <v>89</v>
      </c>
      <c r="F2193" s="13" t="s">
        <v>480</v>
      </c>
      <c r="G2193" s="13" t="s">
        <v>51</v>
      </c>
      <c r="H2193" s="61" t="s">
        <v>329</v>
      </c>
      <c r="I2193" s="61" t="s">
        <v>156</v>
      </c>
      <c r="J2193" s="18" t="s">
        <v>509</v>
      </c>
      <c r="K2193" s="47"/>
      <c r="L2193" s="47" t="s">
        <v>2074</v>
      </c>
      <c r="M2193" s="47"/>
      <c r="N2193" s="14" t="s">
        <v>85</v>
      </c>
      <c r="O2193" s="47" t="s">
        <v>86</v>
      </c>
      <c r="P2193" s="47"/>
      <c r="Q2193" s="47"/>
      <c r="R2193" s="47"/>
      <c r="S2193" s="47">
        <f>15</f>
        <v>15</v>
      </c>
      <c r="T2193" s="47">
        <f>(530+39/2)</f>
        <v>549.5</v>
      </c>
      <c r="U2193" s="20">
        <f t="shared" si="147"/>
        <v>36.633333333333333</v>
      </c>
      <c r="V2193" s="41">
        <f t="shared" si="150"/>
        <v>3563.3333333333335</v>
      </c>
      <c r="W2193" s="47"/>
      <c r="X2193" s="47" t="s">
        <v>58</v>
      </c>
      <c r="Y2193" s="18">
        <v>75</v>
      </c>
      <c r="Z2193" s="47" t="s">
        <v>56</v>
      </c>
      <c r="AA2193" s="47"/>
      <c r="AB2193" s="47" t="s">
        <v>57</v>
      </c>
      <c r="AC2193" s="47">
        <v>2008</v>
      </c>
      <c r="AD2193" s="47"/>
      <c r="AE2193" s="47">
        <v>1</v>
      </c>
      <c r="AF2193" s="47"/>
      <c r="AG2193" s="18" t="s">
        <v>509</v>
      </c>
      <c r="AH2193" s="14" t="str">
        <f t="shared" si="148"/>
        <v>NA</v>
      </c>
      <c r="AI2193" s="17" t="str">
        <f t="shared" si="149"/>
        <v>NA</v>
      </c>
      <c r="AJ2193" s="47"/>
      <c r="AK2193" s="47" t="s">
        <v>56</v>
      </c>
      <c r="AL2193" s="61" t="s">
        <v>2066</v>
      </c>
      <c r="AM2193" s="47">
        <v>2013</v>
      </c>
      <c r="AN2193" s="15" t="s">
        <v>685</v>
      </c>
      <c r="AO2193" s="59" t="s">
        <v>56</v>
      </c>
      <c r="AP2193" s="59"/>
      <c r="AQ2193" s="59" t="s">
        <v>56</v>
      </c>
      <c r="AR2193" s="59" t="s">
        <v>58</v>
      </c>
      <c r="AS2193" s="59" t="s">
        <v>94</v>
      </c>
      <c r="AT2193" s="59" t="s">
        <v>2067</v>
      </c>
      <c r="AU2193" s="64"/>
      <c r="AV2193" s="59"/>
      <c r="AW2193" s="12" t="str">
        <f>B2193&amp;C2193&amp;L2193&amp;M2193&amp;O2193&amp;U2193&amp;AL2193&amp;AM2193</f>
        <v>Republic of SeychellesVarious (9) marine protected areasActinopyga mauritianadensity36.6333333333333Cariglia2013</v>
      </c>
    </row>
    <row r="2194" spans="1:49" ht="14.5" x14ac:dyDescent="0.35">
      <c r="A2194" s="12">
        <v>2193</v>
      </c>
      <c r="B2194" s="50" t="s">
        <v>2064</v>
      </c>
      <c r="C2194" s="50" t="s">
        <v>2770</v>
      </c>
      <c r="D2194" s="50" t="s">
        <v>2770</v>
      </c>
      <c r="E2194" s="50" t="s">
        <v>89</v>
      </c>
      <c r="F2194" s="13" t="s">
        <v>480</v>
      </c>
      <c r="G2194" s="13" t="s">
        <v>51</v>
      </c>
      <c r="H2194" s="62" t="s">
        <v>329</v>
      </c>
      <c r="I2194" s="62" t="s">
        <v>156</v>
      </c>
      <c r="J2194" s="18" t="s">
        <v>509</v>
      </c>
      <c r="K2194" s="18"/>
      <c r="L2194" s="18" t="s">
        <v>2075</v>
      </c>
      <c r="M2194" s="18"/>
      <c r="N2194" s="14" t="s">
        <v>85</v>
      </c>
      <c r="O2194" s="47" t="s">
        <v>86</v>
      </c>
      <c r="P2194" s="18"/>
      <c r="Q2194" s="18"/>
      <c r="R2194" s="18"/>
      <c r="S2194" s="18">
        <v>3</v>
      </c>
      <c r="T2194" s="18">
        <v>3</v>
      </c>
      <c r="U2194" s="19">
        <f t="shared" si="147"/>
        <v>1</v>
      </c>
      <c r="V2194" s="41">
        <f t="shared" si="150"/>
        <v>0</v>
      </c>
      <c r="W2194" s="18"/>
      <c r="X2194" s="18" t="s">
        <v>58</v>
      </c>
      <c r="Y2194" s="18">
        <v>75</v>
      </c>
      <c r="Z2194" s="47" t="s">
        <v>56</v>
      </c>
      <c r="AA2194" s="18"/>
      <c r="AB2194" s="18" t="s">
        <v>57</v>
      </c>
      <c r="AC2194" s="18">
        <v>2008</v>
      </c>
      <c r="AD2194" s="18"/>
      <c r="AE2194" s="18">
        <v>1</v>
      </c>
      <c r="AF2194" s="18"/>
      <c r="AG2194" s="18" t="s">
        <v>509</v>
      </c>
      <c r="AH2194" s="14" t="str">
        <f t="shared" si="148"/>
        <v>NA</v>
      </c>
      <c r="AI2194" s="17" t="str">
        <f t="shared" si="149"/>
        <v>NA</v>
      </c>
      <c r="AJ2194" s="18"/>
      <c r="AK2194" s="18" t="s">
        <v>56</v>
      </c>
      <c r="AL2194" s="62" t="s">
        <v>2066</v>
      </c>
      <c r="AM2194" s="18">
        <v>2013</v>
      </c>
      <c r="AN2194" s="12" t="s">
        <v>685</v>
      </c>
      <c r="AO2194" s="50" t="s">
        <v>56</v>
      </c>
      <c r="AP2194" s="50"/>
      <c r="AQ2194" s="50" t="s">
        <v>56</v>
      </c>
      <c r="AR2194" s="50" t="s">
        <v>58</v>
      </c>
      <c r="AS2194" s="50" t="s">
        <v>94</v>
      </c>
      <c r="AT2194" s="50" t="s">
        <v>2067</v>
      </c>
      <c r="AU2194" s="64"/>
      <c r="AV2194" s="59"/>
      <c r="AW2194" s="12" t="str">
        <f>B2194&amp;C2194&amp;L2194&amp;M2194&amp;O2194&amp;U2194&amp;AL2194&amp;AM2194</f>
        <v>Republic of SeychellesVarious (9) marine protected areasActinopyga miliarisdensity1Cariglia2013</v>
      </c>
    </row>
    <row r="2195" spans="1:49" ht="14.5" x14ac:dyDescent="0.35">
      <c r="A2195" s="12">
        <v>2194</v>
      </c>
      <c r="B2195" s="50" t="s">
        <v>2064</v>
      </c>
      <c r="C2195" s="50" t="s">
        <v>2770</v>
      </c>
      <c r="D2195" s="50" t="s">
        <v>2770</v>
      </c>
      <c r="E2195" s="50" t="s">
        <v>89</v>
      </c>
      <c r="F2195" s="13" t="s">
        <v>480</v>
      </c>
      <c r="G2195" s="13" t="s">
        <v>51</v>
      </c>
      <c r="H2195" s="62" t="s">
        <v>329</v>
      </c>
      <c r="I2195" s="62" t="s">
        <v>156</v>
      </c>
      <c r="J2195" s="18" t="s">
        <v>509</v>
      </c>
      <c r="K2195" s="18"/>
      <c r="L2195" s="18" t="s">
        <v>2076</v>
      </c>
      <c r="M2195" s="18"/>
      <c r="N2195" s="14" t="s">
        <v>85</v>
      </c>
      <c r="O2195" s="47" t="s">
        <v>86</v>
      </c>
      <c r="P2195" s="18"/>
      <c r="Q2195" s="18"/>
      <c r="R2195" s="18"/>
      <c r="S2195" s="18">
        <v>5</v>
      </c>
      <c r="T2195" s="18">
        <f>(21+12)/2</f>
        <v>16.5</v>
      </c>
      <c r="U2195" s="19">
        <f t="shared" ref="U2195:U2258" si="151">IFERROR(IF(AND(Q2195="",R2195="",S2195="",T2195=""),"",IF(AND(Q2195&lt;&gt;"",R2195&lt;&gt;"",S2195&lt;&gt;"",T2195&lt;&gt;""),(T2195/R2195)/(S2195/Q2195),IF(AND(Q2195&lt;&gt;"",R2195&lt;&gt;""),R2195/Q2195,IF(AND(S2195&lt;&gt;"",T2195&lt;&gt;""),T2195/S2195,IF(AND(Q2195&lt;&gt;"",S2195&lt;&gt;""),Q2195/S2195,IF(AND(R2195&lt;&gt;"",T2195&lt;&gt;""),T2195/R2195)))))), "N/A")</f>
        <v>3.3</v>
      </c>
      <c r="V2195" s="41">
        <f t="shared" si="150"/>
        <v>229.99999999999997</v>
      </c>
      <c r="W2195" s="18"/>
      <c r="X2195" s="18" t="s">
        <v>58</v>
      </c>
      <c r="Y2195" s="18">
        <v>75</v>
      </c>
      <c r="Z2195" s="47" t="s">
        <v>56</v>
      </c>
      <c r="AA2195" s="18"/>
      <c r="AB2195" s="18" t="s">
        <v>57</v>
      </c>
      <c r="AC2195" s="18">
        <v>2008</v>
      </c>
      <c r="AD2195" s="18"/>
      <c r="AE2195" s="18">
        <v>1</v>
      </c>
      <c r="AF2195" s="18"/>
      <c r="AG2195" s="18" t="s">
        <v>509</v>
      </c>
      <c r="AH2195" s="14" t="str">
        <f t="shared" si="148"/>
        <v>NA</v>
      </c>
      <c r="AI2195" s="17" t="str">
        <f t="shared" si="149"/>
        <v>NA</v>
      </c>
      <c r="AJ2195" s="18"/>
      <c r="AK2195" s="18" t="s">
        <v>56</v>
      </c>
      <c r="AL2195" s="62" t="s">
        <v>2066</v>
      </c>
      <c r="AM2195" s="18">
        <v>2013</v>
      </c>
      <c r="AN2195" s="12" t="s">
        <v>685</v>
      </c>
      <c r="AO2195" s="50" t="s">
        <v>56</v>
      </c>
      <c r="AP2195" s="50"/>
      <c r="AQ2195" s="50" t="s">
        <v>56</v>
      </c>
      <c r="AR2195" s="50" t="s">
        <v>58</v>
      </c>
      <c r="AS2195" s="50" t="s">
        <v>94</v>
      </c>
      <c r="AT2195" s="50" t="s">
        <v>2067</v>
      </c>
      <c r="AU2195" s="64"/>
      <c r="AV2195" s="59"/>
      <c r="AW2195" s="12" t="str">
        <f>B2195&amp;C2195&amp;L2195&amp;M2195&amp;O2195&amp;U2195&amp;AL2195&amp;AM2195</f>
        <v>Republic of SeychellesVarious (9) marine protected areasStichopus hermannidensity3.3Cariglia2013</v>
      </c>
    </row>
    <row r="2196" spans="1:49" ht="14.5" x14ac:dyDescent="0.35">
      <c r="A2196" s="12">
        <v>2195</v>
      </c>
      <c r="B2196" s="50" t="s">
        <v>2064</v>
      </c>
      <c r="C2196" s="50" t="s">
        <v>2770</v>
      </c>
      <c r="D2196" s="50" t="s">
        <v>2770</v>
      </c>
      <c r="E2196" s="50" t="s">
        <v>89</v>
      </c>
      <c r="F2196" s="13" t="s">
        <v>480</v>
      </c>
      <c r="G2196" s="13" t="s">
        <v>51</v>
      </c>
      <c r="H2196" s="62" t="s">
        <v>329</v>
      </c>
      <c r="I2196" s="62" t="s">
        <v>156</v>
      </c>
      <c r="J2196" s="18" t="s">
        <v>509</v>
      </c>
      <c r="K2196" s="18"/>
      <c r="L2196" s="18" t="s">
        <v>2077</v>
      </c>
      <c r="M2196" s="18"/>
      <c r="N2196" s="14" t="s">
        <v>85</v>
      </c>
      <c r="O2196" s="47" t="s">
        <v>86</v>
      </c>
      <c r="P2196" s="18"/>
      <c r="Q2196" s="18"/>
      <c r="R2196" s="18"/>
      <c r="S2196" s="18">
        <v>3</v>
      </c>
      <c r="T2196" s="18">
        <v>12</v>
      </c>
      <c r="U2196" s="19">
        <f t="shared" si="151"/>
        <v>4</v>
      </c>
      <c r="V2196" s="41">
        <f t="shared" si="150"/>
        <v>300</v>
      </c>
      <c r="W2196" s="18"/>
      <c r="X2196" s="18" t="s">
        <v>58</v>
      </c>
      <c r="Y2196" s="18">
        <v>75</v>
      </c>
      <c r="Z2196" s="18" t="s">
        <v>56</v>
      </c>
      <c r="AA2196" s="18"/>
      <c r="AB2196" s="18" t="s">
        <v>57</v>
      </c>
      <c r="AC2196" s="18">
        <v>2008</v>
      </c>
      <c r="AD2196" s="18"/>
      <c r="AE2196" s="18">
        <v>1</v>
      </c>
      <c r="AF2196" s="18"/>
      <c r="AG2196" s="18" t="s">
        <v>509</v>
      </c>
      <c r="AH2196" s="14" t="str">
        <f t="shared" si="148"/>
        <v>NA</v>
      </c>
      <c r="AI2196" s="17" t="str">
        <f t="shared" si="149"/>
        <v>NA</v>
      </c>
      <c r="AJ2196" s="18"/>
      <c r="AK2196" s="18" t="s">
        <v>56</v>
      </c>
      <c r="AL2196" s="62" t="s">
        <v>2066</v>
      </c>
      <c r="AM2196" s="18">
        <v>2013</v>
      </c>
      <c r="AN2196" s="12" t="s">
        <v>685</v>
      </c>
      <c r="AO2196" s="50" t="s">
        <v>56</v>
      </c>
      <c r="AP2196" s="50"/>
      <c r="AQ2196" s="50" t="s">
        <v>56</v>
      </c>
      <c r="AR2196" s="50" t="s">
        <v>58</v>
      </c>
      <c r="AS2196" s="50" t="s">
        <v>94</v>
      </c>
      <c r="AT2196" s="50" t="s">
        <v>2067</v>
      </c>
      <c r="AU2196" s="64"/>
      <c r="AV2196" s="59"/>
      <c r="AW2196" s="12" t="str">
        <f>B2196&amp;C2196&amp;L2196&amp;M2196&amp;O2196&amp;U2196&amp;AL2196&amp;AM2196</f>
        <v>Republic of SeychellesVarious (9) marine protected areasHolothuria nobilisdensity4Cariglia2013</v>
      </c>
    </row>
    <row r="2197" spans="1:49" ht="14.5" x14ac:dyDescent="0.35">
      <c r="A2197" s="12">
        <v>2196</v>
      </c>
      <c r="B2197" s="59" t="s">
        <v>2064</v>
      </c>
      <c r="C2197" s="59" t="s">
        <v>2770</v>
      </c>
      <c r="D2197" s="59" t="s">
        <v>2770</v>
      </c>
      <c r="E2197" s="59" t="s">
        <v>89</v>
      </c>
      <c r="F2197" s="16" t="s">
        <v>480</v>
      </c>
      <c r="G2197" s="16" t="s">
        <v>51</v>
      </c>
      <c r="H2197" s="61" t="s">
        <v>329</v>
      </c>
      <c r="I2197" s="61" t="s">
        <v>156</v>
      </c>
      <c r="J2197" s="18" t="s">
        <v>509</v>
      </c>
      <c r="K2197" s="47"/>
      <c r="L2197" s="47" t="s">
        <v>2078</v>
      </c>
      <c r="M2197" s="47"/>
      <c r="N2197" s="14" t="s">
        <v>85</v>
      </c>
      <c r="O2197" s="47" t="s">
        <v>86</v>
      </c>
      <c r="P2197" s="47"/>
      <c r="Q2197" s="47"/>
      <c r="R2197" s="47"/>
      <c r="S2197" s="47">
        <v>2</v>
      </c>
      <c r="T2197" s="47">
        <v>5</v>
      </c>
      <c r="U2197" s="20">
        <f t="shared" si="151"/>
        <v>2.5</v>
      </c>
      <c r="V2197" s="41">
        <f t="shared" si="150"/>
        <v>150</v>
      </c>
      <c r="W2197" s="47"/>
      <c r="X2197" s="47" t="s">
        <v>58</v>
      </c>
      <c r="Y2197" s="47">
        <v>75</v>
      </c>
      <c r="Z2197" s="47" t="s">
        <v>56</v>
      </c>
      <c r="AA2197" s="47"/>
      <c r="AB2197" s="47" t="s">
        <v>57</v>
      </c>
      <c r="AC2197" s="47">
        <v>2008</v>
      </c>
      <c r="AD2197" s="47"/>
      <c r="AE2197" s="47">
        <v>1</v>
      </c>
      <c r="AF2197" s="47"/>
      <c r="AG2197" s="47" t="s">
        <v>509</v>
      </c>
      <c r="AH2197" s="14" t="str">
        <f t="shared" si="148"/>
        <v>NA</v>
      </c>
      <c r="AI2197" s="17" t="str">
        <f t="shared" si="149"/>
        <v>NA</v>
      </c>
      <c r="AJ2197" s="47"/>
      <c r="AK2197" s="47" t="s">
        <v>56</v>
      </c>
      <c r="AL2197" s="61" t="s">
        <v>2066</v>
      </c>
      <c r="AM2197" s="47">
        <v>2013</v>
      </c>
      <c r="AN2197" s="12" t="s">
        <v>685</v>
      </c>
      <c r="AO2197" s="59" t="s">
        <v>56</v>
      </c>
      <c r="AP2197" s="59"/>
      <c r="AQ2197" s="59" t="s">
        <v>56</v>
      </c>
      <c r="AR2197" s="59" t="s">
        <v>58</v>
      </c>
      <c r="AS2197" s="59" t="s">
        <v>94</v>
      </c>
      <c r="AT2197" s="59" t="s">
        <v>2067</v>
      </c>
      <c r="AU2197" s="64"/>
      <c r="AV2197" s="59"/>
      <c r="AW2197" s="12" t="str">
        <f>B2197&amp;C2197&amp;L2197&amp;M2197&amp;O2197&amp;U2197&amp;AL2197&amp;AM2197</f>
        <v>Republic of SeychellesVarious (9) marine protected areasHolothuria scabradensity2.5Cariglia2013</v>
      </c>
    </row>
    <row r="2198" spans="1:49" ht="14.5" x14ac:dyDescent="0.35">
      <c r="A2198" s="12">
        <v>2197</v>
      </c>
      <c r="B2198" s="59" t="s">
        <v>2064</v>
      </c>
      <c r="C2198" s="59" t="s">
        <v>2770</v>
      </c>
      <c r="D2198" s="59" t="s">
        <v>2770</v>
      </c>
      <c r="E2198" s="59" t="s">
        <v>89</v>
      </c>
      <c r="F2198" s="13" t="s">
        <v>480</v>
      </c>
      <c r="G2198" s="13" t="s">
        <v>51</v>
      </c>
      <c r="H2198" s="61" t="s">
        <v>329</v>
      </c>
      <c r="I2198" s="61" t="s">
        <v>156</v>
      </c>
      <c r="J2198" s="18" t="s">
        <v>509</v>
      </c>
      <c r="K2198" s="47"/>
      <c r="L2198" s="47" t="s">
        <v>2079</v>
      </c>
      <c r="M2198" s="47"/>
      <c r="N2198" s="14" t="s">
        <v>85</v>
      </c>
      <c r="O2198" s="47" t="s">
        <v>86</v>
      </c>
      <c r="P2198" s="47"/>
      <c r="Q2198" s="47"/>
      <c r="R2198" s="47"/>
      <c r="S2198" s="47">
        <v>6</v>
      </c>
      <c r="T2198" s="47">
        <v>9.5</v>
      </c>
      <c r="U2198" s="20">
        <f t="shared" si="151"/>
        <v>1.5833333333333333</v>
      </c>
      <c r="V2198" s="41">
        <f t="shared" si="150"/>
        <v>58.333333333333329</v>
      </c>
      <c r="W2198" s="47"/>
      <c r="X2198" s="47" t="s">
        <v>58</v>
      </c>
      <c r="Y2198" s="47">
        <v>75</v>
      </c>
      <c r="Z2198" s="47" t="s">
        <v>56</v>
      </c>
      <c r="AA2198" s="47"/>
      <c r="AB2198" s="47" t="s">
        <v>57</v>
      </c>
      <c r="AC2198" s="47">
        <v>2008</v>
      </c>
      <c r="AD2198" s="47"/>
      <c r="AE2198" s="47">
        <v>1</v>
      </c>
      <c r="AF2198" s="47"/>
      <c r="AG2198" s="47" t="s">
        <v>509</v>
      </c>
      <c r="AH2198" s="14" t="str">
        <f t="shared" si="148"/>
        <v>NA</v>
      </c>
      <c r="AI2198" s="17" t="str">
        <f t="shared" si="149"/>
        <v>NA</v>
      </c>
      <c r="AJ2198" s="47"/>
      <c r="AK2198" s="47" t="s">
        <v>56</v>
      </c>
      <c r="AL2198" s="61" t="s">
        <v>2066</v>
      </c>
      <c r="AM2198" s="47">
        <v>2013</v>
      </c>
      <c r="AN2198" s="15" t="s">
        <v>685</v>
      </c>
      <c r="AO2198" s="59" t="s">
        <v>56</v>
      </c>
      <c r="AP2198" s="59"/>
      <c r="AQ2198" s="59" t="s">
        <v>56</v>
      </c>
      <c r="AR2198" s="59" t="s">
        <v>58</v>
      </c>
      <c r="AS2198" s="59" t="s">
        <v>94</v>
      </c>
      <c r="AT2198" s="59" t="s">
        <v>2067</v>
      </c>
      <c r="AU2198" s="64"/>
      <c r="AV2198" s="59"/>
      <c r="AW2198" s="12" t="str">
        <f>B2198&amp;C2198&amp;L2198&amp;M2198&amp;O2198&amp;U2198&amp;AL2198&amp;AM2198</f>
        <v>Republic of SeychellesVarious (9) marine protected areasThelenota ananasdensity1.58333333333333Cariglia2013</v>
      </c>
    </row>
    <row r="2199" spans="1:49" ht="14.5" x14ac:dyDescent="0.35">
      <c r="A2199" s="12">
        <v>2198</v>
      </c>
      <c r="B2199" s="50" t="s">
        <v>75</v>
      </c>
      <c r="C2199" s="59" t="s">
        <v>106</v>
      </c>
      <c r="D2199" s="50" t="s">
        <v>77</v>
      </c>
      <c r="E2199" s="50" t="s">
        <v>89</v>
      </c>
      <c r="F2199" s="13" t="s">
        <v>50</v>
      </c>
      <c r="G2199" s="13" t="s">
        <v>51</v>
      </c>
      <c r="H2199" s="62" t="s">
        <v>90</v>
      </c>
      <c r="I2199" s="62" t="s">
        <v>53</v>
      </c>
      <c r="J2199" s="14">
        <v>0.12</v>
      </c>
      <c r="K2199" s="47"/>
      <c r="L2199" s="18" t="s">
        <v>115</v>
      </c>
      <c r="M2199" s="18" t="s">
        <v>91</v>
      </c>
      <c r="N2199" s="14" t="s">
        <v>85</v>
      </c>
      <c r="O2199" s="47" t="s">
        <v>70</v>
      </c>
      <c r="P2199" s="18"/>
      <c r="Q2199" s="18"/>
      <c r="R2199" s="18"/>
      <c r="S2199" s="18">
        <f>(0.010638+0.074468+0.01773)/3</f>
        <v>3.4278666666666666E-2</v>
      </c>
      <c r="T2199" s="18">
        <f>(0.31915+0.078014+0.10993)/3</f>
        <v>0.16903133333333331</v>
      </c>
      <c r="U2199" s="19">
        <f t="shared" si="151"/>
        <v>4.931094169357034</v>
      </c>
      <c r="V2199" s="41">
        <f t="shared" si="150"/>
        <v>393.10941693570339</v>
      </c>
      <c r="W2199" s="18"/>
      <c r="X2199" s="18" t="s">
        <v>56</v>
      </c>
      <c r="Y2199" s="18"/>
      <c r="Z2199" s="18" t="s">
        <v>56</v>
      </c>
      <c r="AA2199" s="18"/>
      <c r="AB2199" s="18" t="s">
        <v>57</v>
      </c>
      <c r="AC2199" s="18">
        <v>2010</v>
      </c>
      <c r="AD2199" s="18">
        <v>6</v>
      </c>
      <c r="AE2199" s="18"/>
      <c r="AF2199" s="18"/>
      <c r="AG2199" s="18">
        <v>1978</v>
      </c>
      <c r="AH2199" s="14">
        <f t="shared" si="148"/>
        <v>32</v>
      </c>
      <c r="AI2199" s="17">
        <f t="shared" si="149"/>
        <v>38</v>
      </c>
      <c r="AJ2199" s="18"/>
      <c r="AK2199" s="18" t="s">
        <v>58</v>
      </c>
      <c r="AL2199" s="62" t="s">
        <v>92</v>
      </c>
      <c r="AM2199" s="18">
        <v>2018</v>
      </c>
      <c r="AN2199" s="50" t="s">
        <v>93</v>
      </c>
      <c r="AO2199" s="50" t="s">
        <v>56</v>
      </c>
      <c r="AP2199" s="50"/>
      <c r="AQ2199" s="50" t="s">
        <v>56</v>
      </c>
      <c r="AR2199" s="50" t="s">
        <v>58</v>
      </c>
      <c r="AS2199" s="50" t="s">
        <v>94</v>
      </c>
      <c r="AT2199" s="50"/>
      <c r="AU2199" s="64"/>
      <c r="AV2199" s="59"/>
      <c r="AW2199" s="12" t="str">
        <f>B2199&amp;C2199&amp;L2199&amp;M2199&amp;O2199&amp;U2199&amp;AL2199&amp;AM2199</f>
        <v>United StatesAnacapa Island State Marine Reserve (old)Semicossyphus pulcherCalifornia sheepheadbiomassden4.93109416935703Caselle2018</v>
      </c>
    </row>
    <row r="2200" spans="1:49" ht="14.5" x14ac:dyDescent="0.35">
      <c r="A2200" s="12">
        <v>2199</v>
      </c>
      <c r="B2200" s="50" t="s">
        <v>75</v>
      </c>
      <c r="C2200" s="59" t="s">
        <v>106</v>
      </c>
      <c r="D2200" s="50" t="s">
        <v>77</v>
      </c>
      <c r="E2200" s="50" t="s">
        <v>89</v>
      </c>
      <c r="F2200" s="13" t="s">
        <v>50</v>
      </c>
      <c r="G2200" s="13" t="s">
        <v>51</v>
      </c>
      <c r="H2200" s="62" t="s">
        <v>90</v>
      </c>
      <c r="I2200" s="62" t="s">
        <v>53</v>
      </c>
      <c r="J2200" s="14">
        <v>0.12</v>
      </c>
      <c r="K2200" s="47"/>
      <c r="L2200" s="18" t="s">
        <v>109</v>
      </c>
      <c r="M2200" s="18" t="s">
        <v>95</v>
      </c>
      <c r="N2200" s="14" t="s">
        <v>85</v>
      </c>
      <c r="O2200" s="47" t="s">
        <v>86</v>
      </c>
      <c r="P2200" s="18"/>
      <c r="Q2200" s="18"/>
      <c r="R2200" s="18"/>
      <c r="S2200" s="18">
        <f>(0.75+0.10714+0.10714)/3</f>
        <v>0.32142666666666669</v>
      </c>
      <c r="T2200" s="18">
        <f>(1+2.3571+2.9286)/3</f>
        <v>2.0952333333333333</v>
      </c>
      <c r="U2200" s="19">
        <f t="shared" si="151"/>
        <v>6.5185423321027081</v>
      </c>
      <c r="V2200" s="41">
        <f t="shared" si="150"/>
        <v>551.85423321027076</v>
      </c>
      <c r="W2200" s="18"/>
      <c r="X2200" s="18" t="s">
        <v>56</v>
      </c>
      <c r="Y2200" s="18"/>
      <c r="Z2200" s="18" t="s">
        <v>56</v>
      </c>
      <c r="AA2200" s="18"/>
      <c r="AB2200" s="18" t="s">
        <v>57</v>
      </c>
      <c r="AC2200" s="18">
        <v>2010</v>
      </c>
      <c r="AD2200" s="18">
        <v>6</v>
      </c>
      <c r="AE2200" s="18"/>
      <c r="AF2200" s="18"/>
      <c r="AG2200" s="18">
        <v>1978</v>
      </c>
      <c r="AH2200" s="14">
        <f t="shared" si="148"/>
        <v>32</v>
      </c>
      <c r="AI2200" s="17">
        <f t="shared" si="149"/>
        <v>38</v>
      </c>
      <c r="AJ2200" s="18"/>
      <c r="AK2200" s="18" t="s">
        <v>58</v>
      </c>
      <c r="AL2200" s="62" t="s">
        <v>92</v>
      </c>
      <c r="AM2200" s="18">
        <v>2018</v>
      </c>
      <c r="AN2200" s="50" t="s">
        <v>93</v>
      </c>
      <c r="AO2200" s="50" t="s">
        <v>56</v>
      </c>
      <c r="AP2200" s="50"/>
      <c r="AQ2200" s="50" t="s">
        <v>56</v>
      </c>
      <c r="AR2200" s="50" t="s">
        <v>58</v>
      </c>
      <c r="AS2200" s="50" t="s">
        <v>94</v>
      </c>
      <c r="AT2200" s="50"/>
      <c r="AU2200" s="64"/>
      <c r="AV2200" s="59"/>
      <c r="AW2200" s="12" t="str">
        <f>B2200&amp;C2200&amp;L2200&amp;M2200&amp;O2200&amp;U2200&amp;AL2200&amp;AM2200</f>
        <v>United StatesAnacapa Island State Marine Reserve (old)Panulirus interruptusCalifornia spiny lobsterdensity6.51854233210271Caselle2018</v>
      </c>
    </row>
    <row r="2201" spans="1:49" ht="14.5" x14ac:dyDescent="0.35">
      <c r="A2201" s="12">
        <v>2200</v>
      </c>
      <c r="B2201" s="50" t="s">
        <v>75</v>
      </c>
      <c r="C2201" s="59" t="s">
        <v>106</v>
      </c>
      <c r="D2201" s="50" t="s">
        <v>77</v>
      </c>
      <c r="E2201" s="50" t="s">
        <v>89</v>
      </c>
      <c r="F2201" s="13" t="s">
        <v>50</v>
      </c>
      <c r="G2201" s="13" t="s">
        <v>51</v>
      </c>
      <c r="H2201" s="62" t="s">
        <v>90</v>
      </c>
      <c r="I2201" s="62" t="s">
        <v>53</v>
      </c>
      <c r="J2201" s="14">
        <v>0.12</v>
      </c>
      <c r="K2201" s="47"/>
      <c r="L2201" s="18" t="s">
        <v>1991</v>
      </c>
      <c r="M2201" s="18" t="s">
        <v>96</v>
      </c>
      <c r="N2201" s="14" t="s">
        <v>85</v>
      </c>
      <c r="O2201" s="47" t="s">
        <v>86</v>
      </c>
      <c r="P2201" s="18"/>
      <c r="Q2201" s="18"/>
      <c r="R2201" s="18"/>
      <c r="S2201" s="18">
        <f>(2.4823/3)</f>
        <v>0.82743333333333335</v>
      </c>
      <c r="T2201" s="18">
        <f>(136.52+124.11+258.16)/3</f>
        <v>172.92999999999998</v>
      </c>
      <c r="U2201" s="19">
        <f t="shared" si="151"/>
        <v>208.99568948152918</v>
      </c>
      <c r="V2201" s="41">
        <f t="shared" si="150"/>
        <v>20799.568948152919</v>
      </c>
      <c r="W2201" s="18"/>
      <c r="X2201" s="18" t="s">
        <v>56</v>
      </c>
      <c r="Y2201" s="18"/>
      <c r="Z2201" s="18" t="s">
        <v>56</v>
      </c>
      <c r="AA2201" s="18"/>
      <c r="AB2201" s="18" t="s">
        <v>57</v>
      </c>
      <c r="AC2201" s="18">
        <v>2010</v>
      </c>
      <c r="AD2201" s="18">
        <v>6</v>
      </c>
      <c r="AE2201" s="18"/>
      <c r="AF2201" s="18"/>
      <c r="AG2201" s="18">
        <v>1978</v>
      </c>
      <c r="AH2201" s="14">
        <f t="shared" si="148"/>
        <v>32</v>
      </c>
      <c r="AI2201" s="17">
        <f t="shared" si="149"/>
        <v>38</v>
      </c>
      <c r="AJ2201" s="18"/>
      <c r="AK2201" s="18" t="s">
        <v>58</v>
      </c>
      <c r="AL2201" s="62" t="s">
        <v>92</v>
      </c>
      <c r="AM2201" s="18">
        <v>2018</v>
      </c>
      <c r="AN2201" s="50" t="s">
        <v>93</v>
      </c>
      <c r="AO2201" s="50" t="s">
        <v>56</v>
      </c>
      <c r="AP2201" s="50"/>
      <c r="AQ2201" s="50" t="s">
        <v>56</v>
      </c>
      <c r="AR2201" s="50" t="s">
        <v>58</v>
      </c>
      <c r="AS2201" s="50" t="s">
        <v>94</v>
      </c>
      <c r="AT2201" s="50"/>
      <c r="AU2201" s="64" t="s">
        <v>2844</v>
      </c>
      <c r="AV2201" s="59"/>
      <c r="AW2201" s="12" t="str">
        <f>B2201&amp;C2201&amp;L2201&amp;M2201&amp;O2201&amp;U2201&amp;AL2201&amp;AM2201</f>
        <v>United StatesAnacapa Island State Marine Reserve (old)Macrocystis pyriferaGiant kelp stipesdensity208.995689481529Caselle2018</v>
      </c>
    </row>
    <row r="2202" spans="1:49" ht="14.5" x14ac:dyDescent="0.35">
      <c r="A2202" s="12">
        <v>2201</v>
      </c>
      <c r="B2202" s="50" t="s">
        <v>75</v>
      </c>
      <c r="C2202" s="50" t="s">
        <v>106</v>
      </c>
      <c r="D2202" s="50" t="s">
        <v>77</v>
      </c>
      <c r="E2202" s="50" t="s">
        <v>89</v>
      </c>
      <c r="F2202" s="13" t="s">
        <v>50</v>
      </c>
      <c r="G2202" s="13" t="s">
        <v>51</v>
      </c>
      <c r="H2202" s="62" t="s">
        <v>90</v>
      </c>
      <c r="I2202" s="62" t="s">
        <v>53</v>
      </c>
      <c r="J2202" s="14">
        <v>0.12</v>
      </c>
      <c r="K2202" s="47"/>
      <c r="L2202" s="14" t="s">
        <v>445</v>
      </c>
      <c r="M2202" s="18" t="s">
        <v>97</v>
      </c>
      <c r="N2202" s="14" t="s">
        <v>446</v>
      </c>
      <c r="O2202" s="47" t="s">
        <v>86</v>
      </c>
      <c r="P2202" s="18"/>
      <c r="Q2202" s="18"/>
      <c r="R2202" s="18"/>
      <c r="S2202" s="18">
        <f>(389.36+1091.5+887.23)/3</f>
        <v>789.36333333333334</v>
      </c>
      <c r="T2202" s="18">
        <f>(57.447+31.915+44.681)/3</f>
        <v>44.681000000000004</v>
      </c>
      <c r="U2202" s="19">
        <f t="shared" si="151"/>
        <v>5.6603845293042077E-2</v>
      </c>
      <c r="V2202" s="41">
        <f t="shared" si="150"/>
        <v>-94.33961547069579</v>
      </c>
      <c r="W2202" s="18"/>
      <c r="X2202" s="18" t="s">
        <v>56</v>
      </c>
      <c r="Y2202" s="18"/>
      <c r="Z2202" s="18" t="s">
        <v>56</v>
      </c>
      <c r="AA2202" s="18"/>
      <c r="AB2202" s="18" t="s">
        <v>57</v>
      </c>
      <c r="AC2202" s="18">
        <v>2010</v>
      </c>
      <c r="AD2202" s="18">
        <v>6</v>
      </c>
      <c r="AE2202" s="18"/>
      <c r="AF2202" s="18"/>
      <c r="AG2202" s="18">
        <v>1978</v>
      </c>
      <c r="AH2202" s="14">
        <f t="shared" si="148"/>
        <v>32</v>
      </c>
      <c r="AI2202" s="17">
        <f t="shared" si="149"/>
        <v>38</v>
      </c>
      <c r="AJ2202" s="18"/>
      <c r="AK2202" s="18" t="s">
        <v>58</v>
      </c>
      <c r="AL2202" s="62" t="s">
        <v>92</v>
      </c>
      <c r="AM2202" s="18">
        <v>2018</v>
      </c>
      <c r="AN2202" s="59" t="s">
        <v>93</v>
      </c>
      <c r="AO2202" s="50" t="s">
        <v>56</v>
      </c>
      <c r="AP2202" s="50"/>
      <c r="AQ2202" s="50" t="s">
        <v>56</v>
      </c>
      <c r="AR2202" s="50" t="s">
        <v>58</v>
      </c>
      <c r="AS2202" s="50" t="s">
        <v>94</v>
      </c>
      <c r="AT2202" s="50"/>
      <c r="AU2202" s="64"/>
      <c r="AV2202" s="59"/>
      <c r="AW2202" s="12" t="str">
        <f>B2202&amp;C2202&amp;L2202&amp;M2202&amp;O2202&amp;U2202&amp;AL2202&amp;AM2202</f>
        <v>United StatesAnacapa Island State Marine Reserve (old)EchinoideaUrchinsdensity0.0566038452930421Caselle2018</v>
      </c>
    </row>
    <row r="2203" spans="1:49" ht="14.5" x14ac:dyDescent="0.35">
      <c r="A2203" s="12">
        <v>2202</v>
      </c>
      <c r="B2203" s="50" t="s">
        <v>75</v>
      </c>
      <c r="C2203" s="50" t="s">
        <v>106</v>
      </c>
      <c r="D2203" s="50" t="s">
        <v>77</v>
      </c>
      <c r="E2203" s="50" t="s">
        <v>89</v>
      </c>
      <c r="F2203" s="13" t="s">
        <v>50</v>
      </c>
      <c r="G2203" s="13" t="s">
        <v>51</v>
      </c>
      <c r="H2203" s="62" t="s">
        <v>90</v>
      </c>
      <c r="I2203" s="62" t="s">
        <v>53</v>
      </c>
      <c r="J2203" s="14">
        <v>0.12</v>
      </c>
      <c r="K2203" s="18"/>
      <c r="L2203" s="18"/>
      <c r="M2203" s="18" t="s">
        <v>99</v>
      </c>
      <c r="N2203" s="53" t="s">
        <v>98</v>
      </c>
      <c r="O2203" s="47" t="s">
        <v>86</v>
      </c>
      <c r="P2203" s="18"/>
      <c r="Q2203" s="18"/>
      <c r="R2203" s="18"/>
      <c r="S2203" s="18">
        <f>(5.3191+23.05+30.142)/3</f>
        <v>19.503699999999998</v>
      </c>
      <c r="T2203" s="18">
        <f>(253.55+345.74+370.57)/3</f>
        <v>323.28666666666663</v>
      </c>
      <c r="U2203" s="19">
        <f t="shared" si="151"/>
        <v>16.575658293896371</v>
      </c>
      <c r="V2203" s="41">
        <f t="shared" si="150"/>
        <v>1557.5658293896372</v>
      </c>
      <c r="W2203" s="18"/>
      <c r="X2203" s="18" t="s">
        <v>56</v>
      </c>
      <c r="Y2203" s="18"/>
      <c r="Z2203" s="18" t="s">
        <v>56</v>
      </c>
      <c r="AA2203" s="18"/>
      <c r="AB2203" s="18" t="s">
        <v>57</v>
      </c>
      <c r="AC2203" s="18">
        <v>2010</v>
      </c>
      <c r="AD2203" s="18">
        <v>6</v>
      </c>
      <c r="AE2203" s="18"/>
      <c r="AF2203" s="18"/>
      <c r="AG2203" s="18">
        <v>1978</v>
      </c>
      <c r="AH2203" s="14">
        <f t="shared" si="148"/>
        <v>32</v>
      </c>
      <c r="AI2203" s="17">
        <f t="shared" si="149"/>
        <v>38</v>
      </c>
      <c r="AJ2203" s="18"/>
      <c r="AK2203" s="18" t="s">
        <v>58</v>
      </c>
      <c r="AL2203" s="62" t="s">
        <v>92</v>
      </c>
      <c r="AM2203" s="18">
        <v>2018</v>
      </c>
      <c r="AN2203" s="59" t="s">
        <v>93</v>
      </c>
      <c r="AO2203" s="50" t="s">
        <v>56</v>
      </c>
      <c r="AP2203" s="50"/>
      <c r="AQ2203" s="50" t="s">
        <v>56</v>
      </c>
      <c r="AR2203" s="50" t="s">
        <v>58</v>
      </c>
      <c r="AS2203" s="50" t="s">
        <v>94</v>
      </c>
      <c r="AT2203" s="50"/>
      <c r="AU2203" s="64"/>
      <c r="AV2203" s="59"/>
      <c r="AW2203" s="12" t="str">
        <f>B2203&amp;C2203&amp;L2203&amp;M2203&amp;O2203&amp;U2203&amp;AL2203&amp;AM2203</f>
        <v>United StatesAnacapa Island State Marine Reserve (old)Understory brown algaedensity16.5756582938964Caselle2018</v>
      </c>
    </row>
    <row r="2204" spans="1:49" ht="14.5" x14ac:dyDescent="0.35">
      <c r="A2204" s="12">
        <v>2203</v>
      </c>
      <c r="B2204" s="50" t="s">
        <v>75</v>
      </c>
      <c r="C2204" s="50" t="s">
        <v>106</v>
      </c>
      <c r="D2204" s="50" t="s">
        <v>77</v>
      </c>
      <c r="E2204" s="50" t="s">
        <v>89</v>
      </c>
      <c r="F2204" s="13" t="s">
        <v>50</v>
      </c>
      <c r="G2204" s="13" t="s">
        <v>51</v>
      </c>
      <c r="H2204" s="62" t="s">
        <v>90</v>
      </c>
      <c r="I2204" s="62" t="s">
        <v>53</v>
      </c>
      <c r="J2204" s="14">
        <v>0.12</v>
      </c>
      <c r="K2204" s="18"/>
      <c r="L2204" s="18"/>
      <c r="M2204" s="18" t="s">
        <v>100</v>
      </c>
      <c r="N2204" s="53" t="s">
        <v>98</v>
      </c>
      <c r="O2204" s="47" t="s">
        <v>101</v>
      </c>
      <c r="P2204" s="18"/>
      <c r="Q2204" s="18"/>
      <c r="R2204" s="18"/>
      <c r="S2204" s="18">
        <f>(5.1418+8.3333+9.7518)/3</f>
        <v>7.7423000000000002</v>
      </c>
      <c r="T2204" s="18">
        <f>(30.319+40.248+25.355)/3</f>
        <v>31.974</v>
      </c>
      <c r="U2204" s="19">
        <f t="shared" si="151"/>
        <v>4.1297805561654801</v>
      </c>
      <c r="V2204" s="41">
        <f t="shared" si="150"/>
        <v>312.97805561654803</v>
      </c>
      <c r="W2204" s="18"/>
      <c r="X2204" s="18" t="s">
        <v>56</v>
      </c>
      <c r="Y2204" s="18"/>
      <c r="Z2204" s="18" t="s">
        <v>56</v>
      </c>
      <c r="AA2204" s="18"/>
      <c r="AB2204" s="18" t="s">
        <v>57</v>
      </c>
      <c r="AC2204" s="18">
        <v>2010</v>
      </c>
      <c r="AD2204" s="18">
        <v>6</v>
      </c>
      <c r="AE2204" s="18"/>
      <c r="AF2204" s="18"/>
      <c r="AG2204" s="18">
        <v>1978</v>
      </c>
      <c r="AH2204" s="14">
        <f t="shared" si="148"/>
        <v>32</v>
      </c>
      <c r="AI2204" s="17">
        <f t="shared" si="149"/>
        <v>38</v>
      </c>
      <c r="AJ2204" s="18"/>
      <c r="AK2204" s="18" t="s">
        <v>58</v>
      </c>
      <c r="AL2204" s="62" t="s">
        <v>92</v>
      </c>
      <c r="AM2204" s="18">
        <v>2018</v>
      </c>
      <c r="AN2204" s="59" t="s">
        <v>93</v>
      </c>
      <c r="AO2204" s="50" t="s">
        <v>56</v>
      </c>
      <c r="AP2204" s="50"/>
      <c r="AQ2204" s="50" t="s">
        <v>56</v>
      </c>
      <c r="AR2204" s="50" t="s">
        <v>58</v>
      </c>
      <c r="AS2204" s="50" t="s">
        <v>94</v>
      </c>
      <c r="AT2204" s="50"/>
      <c r="AU2204" s="64"/>
      <c r="AV2204" s="59"/>
      <c r="AW2204" s="12" t="str">
        <f>B2204&amp;C2204&amp;L2204&amp;M2204&amp;O2204&amp;U2204&amp;AL2204&amp;AM2204</f>
        <v>United StatesAnacapa Island State Marine Reserve (old)Fleshy red algaecover4.12978055616548Caselle2018</v>
      </c>
    </row>
    <row r="2205" spans="1:49" ht="14.5" x14ac:dyDescent="0.35">
      <c r="A2205" s="12">
        <v>2204</v>
      </c>
      <c r="B2205" s="50" t="s">
        <v>75</v>
      </c>
      <c r="C2205" s="50" t="s">
        <v>106</v>
      </c>
      <c r="D2205" s="50" t="s">
        <v>77</v>
      </c>
      <c r="E2205" s="50" t="s">
        <v>89</v>
      </c>
      <c r="F2205" s="13" t="s">
        <v>50</v>
      </c>
      <c r="G2205" s="13" t="s">
        <v>51</v>
      </c>
      <c r="H2205" s="62" t="s">
        <v>90</v>
      </c>
      <c r="I2205" s="62" t="s">
        <v>53</v>
      </c>
      <c r="J2205" s="14">
        <v>0.12</v>
      </c>
      <c r="K2205" s="18"/>
      <c r="L2205" s="18" t="s">
        <v>2779</v>
      </c>
      <c r="M2205" s="18"/>
      <c r="N2205" s="14" t="s">
        <v>85</v>
      </c>
      <c r="O2205" s="47" t="s">
        <v>101</v>
      </c>
      <c r="P2205" s="18"/>
      <c r="Q2205" s="18"/>
      <c r="R2205" s="18"/>
      <c r="S2205" s="18">
        <f>(1.4947+5.4804)/3</f>
        <v>2.3250333333333333</v>
      </c>
      <c r="T2205" s="18">
        <f>(0.49822+3.4875+2.4911)/3</f>
        <v>2.1589399999999999</v>
      </c>
      <c r="U2205" s="19">
        <f t="shared" si="151"/>
        <v>0.92856303135438911</v>
      </c>
      <c r="V2205" s="41">
        <f t="shared" si="150"/>
        <v>-7.1436968645610888</v>
      </c>
      <c r="W2205" s="18"/>
      <c r="X2205" s="18" t="s">
        <v>56</v>
      </c>
      <c r="Y2205" s="18"/>
      <c r="Z2205" s="18" t="s">
        <v>56</v>
      </c>
      <c r="AA2205" s="18"/>
      <c r="AB2205" s="18" t="s">
        <v>57</v>
      </c>
      <c r="AC2205" s="18">
        <v>2010</v>
      </c>
      <c r="AD2205" s="18">
        <v>6</v>
      </c>
      <c r="AE2205" s="18"/>
      <c r="AF2205" s="18"/>
      <c r="AG2205" s="18">
        <v>1978</v>
      </c>
      <c r="AH2205" s="14">
        <f t="shared" si="148"/>
        <v>32</v>
      </c>
      <c r="AI2205" s="17">
        <f t="shared" si="149"/>
        <v>38</v>
      </c>
      <c r="AJ2205" s="18"/>
      <c r="AK2205" s="18" t="s">
        <v>58</v>
      </c>
      <c r="AL2205" s="62" t="s">
        <v>92</v>
      </c>
      <c r="AM2205" s="18">
        <v>2018</v>
      </c>
      <c r="AN2205" s="59" t="s">
        <v>93</v>
      </c>
      <c r="AO2205" s="50" t="s">
        <v>56</v>
      </c>
      <c r="AP2205" s="50"/>
      <c r="AQ2205" s="50" t="s">
        <v>56</v>
      </c>
      <c r="AR2205" s="50" t="s">
        <v>58</v>
      </c>
      <c r="AS2205" s="50" t="s">
        <v>94</v>
      </c>
      <c r="AT2205" s="50"/>
      <c r="AU2205" s="64"/>
      <c r="AV2205" s="59"/>
      <c r="AW2205" s="12" t="str">
        <f>B2205&amp;C2205&amp;L2205&amp;M2205&amp;O2205&amp;U2205&amp;AL2205&amp;AM2205</f>
        <v>United StatesAnacapa Island State Marine Reserve (old)Sargassum hornericover0.928563031354389Caselle2018</v>
      </c>
    </row>
    <row r="2206" spans="1:49" ht="14.5" x14ac:dyDescent="0.35">
      <c r="A2206" s="12">
        <v>2205</v>
      </c>
      <c r="B2206" s="50" t="s">
        <v>75</v>
      </c>
      <c r="C2206" s="50" t="s">
        <v>106</v>
      </c>
      <c r="D2206" s="50" t="s">
        <v>77</v>
      </c>
      <c r="E2206" s="50" t="s">
        <v>89</v>
      </c>
      <c r="F2206" s="13" t="s">
        <v>50</v>
      </c>
      <c r="G2206" s="13" t="s">
        <v>51</v>
      </c>
      <c r="H2206" s="62" t="s">
        <v>90</v>
      </c>
      <c r="I2206" s="62" t="s">
        <v>53</v>
      </c>
      <c r="J2206" s="14">
        <v>0.12</v>
      </c>
      <c r="K2206" s="18"/>
      <c r="L2206" s="18"/>
      <c r="M2206" s="18" t="s">
        <v>102</v>
      </c>
      <c r="N2206" s="53" t="s">
        <v>98</v>
      </c>
      <c r="O2206" s="47" t="s">
        <v>70</v>
      </c>
      <c r="P2206" s="18"/>
      <c r="Q2206" s="18"/>
      <c r="R2206" s="18"/>
      <c r="S2206" s="18">
        <f>(26.868+25.089+30.783)/3</f>
        <v>27.58</v>
      </c>
      <c r="T2206" s="18">
        <f>(4.8043+3.0249+4.0925)/3</f>
        <v>3.9739000000000004</v>
      </c>
      <c r="U2206" s="19">
        <f t="shared" si="151"/>
        <v>0.14408629441624368</v>
      </c>
      <c r="V2206" s="41">
        <f t="shared" si="150"/>
        <v>-85.59137055837563</v>
      </c>
      <c r="W2206" s="18"/>
      <c r="X2206" s="18" t="s">
        <v>56</v>
      </c>
      <c r="Y2206" s="18"/>
      <c r="Z2206" s="18" t="s">
        <v>56</v>
      </c>
      <c r="AA2206" s="18"/>
      <c r="AB2206" s="18" t="s">
        <v>57</v>
      </c>
      <c r="AC2206" s="18">
        <v>2010</v>
      </c>
      <c r="AD2206" s="18">
        <v>6</v>
      </c>
      <c r="AE2206" s="18"/>
      <c r="AF2206" s="18"/>
      <c r="AG2206" s="18">
        <v>1978</v>
      </c>
      <c r="AH2206" s="14">
        <f t="shared" si="148"/>
        <v>32</v>
      </c>
      <c r="AI2206" s="17">
        <f t="shared" si="149"/>
        <v>38</v>
      </c>
      <c r="AJ2206" s="18"/>
      <c r="AK2206" s="18" t="s">
        <v>58</v>
      </c>
      <c r="AL2206" s="62" t="s">
        <v>92</v>
      </c>
      <c r="AM2206" s="18">
        <v>2018</v>
      </c>
      <c r="AN2206" s="59" t="s">
        <v>93</v>
      </c>
      <c r="AO2206" s="50" t="s">
        <v>56</v>
      </c>
      <c r="AP2206" s="50"/>
      <c r="AQ2206" s="50" t="s">
        <v>56</v>
      </c>
      <c r="AR2206" s="50" t="s">
        <v>58</v>
      </c>
      <c r="AS2206" s="50" t="s">
        <v>94</v>
      </c>
      <c r="AT2206" s="50"/>
      <c r="AU2206" s="64"/>
      <c r="AV2206" s="59"/>
      <c r="AW2206" s="12" t="str">
        <f>B2206&amp;C2206&amp;L2206&amp;M2206&amp;O2206&amp;U2206&amp;AL2206&amp;AM2206</f>
        <v>United StatesAnacapa Island State Marine Reserve (old)Crustose coralline algaebiomassden0.144086294416244Caselle2018</v>
      </c>
    </row>
    <row r="2207" spans="1:49" ht="14.5" x14ac:dyDescent="0.35">
      <c r="A2207" s="12">
        <v>2206</v>
      </c>
      <c r="B2207" s="50" t="s">
        <v>75</v>
      </c>
      <c r="C2207" s="50" t="s">
        <v>76</v>
      </c>
      <c r="D2207" s="50" t="s">
        <v>77</v>
      </c>
      <c r="E2207" s="50" t="s">
        <v>89</v>
      </c>
      <c r="F2207" s="13" t="s">
        <v>50</v>
      </c>
      <c r="G2207" s="13" t="s">
        <v>51</v>
      </c>
      <c r="H2207" s="62" t="s">
        <v>90</v>
      </c>
      <c r="I2207" s="62" t="s">
        <v>53</v>
      </c>
      <c r="J2207" s="18"/>
      <c r="K2207" s="47">
        <v>30</v>
      </c>
      <c r="L2207" s="18" t="s">
        <v>115</v>
      </c>
      <c r="M2207" s="18" t="s">
        <v>91</v>
      </c>
      <c r="N2207" s="14" t="s">
        <v>85</v>
      </c>
      <c r="O2207" s="47" t="s">
        <v>70</v>
      </c>
      <c r="P2207" s="18"/>
      <c r="Q2207" s="18"/>
      <c r="R2207" s="18"/>
      <c r="S2207" s="18">
        <f>(0.010638+0.074468+0.01773)/3</f>
        <v>3.4278666666666666E-2</v>
      </c>
      <c r="T2207" s="18">
        <f>(0.024823+0.08156+0.078014)/3</f>
        <v>6.1465666666666662E-2</v>
      </c>
      <c r="U2207" s="19">
        <f t="shared" si="151"/>
        <v>1.7931171963125752</v>
      </c>
      <c r="V2207" s="41">
        <f t="shared" si="150"/>
        <v>79.311719631257517</v>
      </c>
      <c r="W2207" s="18"/>
      <c r="X2207" s="18" t="s">
        <v>56</v>
      </c>
      <c r="Y2207" s="18"/>
      <c r="Z2207" s="18" t="s">
        <v>56</v>
      </c>
      <c r="AA2207" s="18"/>
      <c r="AB2207" s="18" t="s">
        <v>57</v>
      </c>
      <c r="AC2207" s="18">
        <v>2010</v>
      </c>
      <c r="AD2207" s="18">
        <v>6</v>
      </c>
      <c r="AE2207" s="18"/>
      <c r="AF2207" s="18"/>
      <c r="AG2207" s="18">
        <v>2003</v>
      </c>
      <c r="AH2207" s="14">
        <f t="shared" si="148"/>
        <v>7</v>
      </c>
      <c r="AI2207" s="17">
        <f t="shared" si="149"/>
        <v>13</v>
      </c>
      <c r="AJ2207" s="18"/>
      <c r="AK2207" s="18" t="s">
        <v>58</v>
      </c>
      <c r="AL2207" s="62" t="s">
        <v>92</v>
      </c>
      <c r="AM2207" s="18">
        <v>2018</v>
      </c>
      <c r="AN2207" s="59" t="s">
        <v>93</v>
      </c>
      <c r="AO2207" s="50" t="s">
        <v>56</v>
      </c>
      <c r="AP2207" s="50"/>
      <c r="AQ2207" s="50" t="s">
        <v>56</v>
      </c>
      <c r="AR2207" s="50" t="s">
        <v>58</v>
      </c>
      <c r="AS2207" s="50" t="s">
        <v>94</v>
      </c>
      <c r="AT2207" s="50"/>
      <c r="AU2207" s="64"/>
      <c r="AV2207" s="59"/>
      <c r="AW2207" s="12" t="str">
        <f>B2207&amp;C2207&amp;L2207&amp;M2207&amp;O2207&amp;U2207&amp;AL2207&amp;AM2207</f>
        <v>United StatesAnacapa Island State Marine Reserve (new)Semicossyphus pulcherCalifornia sheepheadbiomassden1.79311719631258Caselle2018</v>
      </c>
    </row>
    <row r="2208" spans="1:49" ht="14.5" x14ac:dyDescent="0.35">
      <c r="A2208" s="12">
        <v>2207</v>
      </c>
      <c r="B2208" s="50" t="s">
        <v>75</v>
      </c>
      <c r="C2208" s="50" t="s">
        <v>76</v>
      </c>
      <c r="D2208" s="50" t="s">
        <v>77</v>
      </c>
      <c r="E2208" s="50" t="s">
        <v>89</v>
      </c>
      <c r="F2208" s="13" t="s">
        <v>50</v>
      </c>
      <c r="G2208" s="13" t="s">
        <v>51</v>
      </c>
      <c r="H2208" s="62" t="s">
        <v>90</v>
      </c>
      <c r="I2208" s="62" t="s">
        <v>53</v>
      </c>
      <c r="J2208" s="18"/>
      <c r="K2208" s="18">
        <v>30</v>
      </c>
      <c r="L2208" s="18" t="s">
        <v>109</v>
      </c>
      <c r="M2208" s="18" t="s">
        <v>95</v>
      </c>
      <c r="N2208" s="14" t="s">
        <v>85</v>
      </c>
      <c r="O2208" s="47" t="s">
        <v>86</v>
      </c>
      <c r="P2208" s="18"/>
      <c r="Q2208" s="18"/>
      <c r="R2208" s="18"/>
      <c r="S2208" s="18">
        <f>(0.75+0.10714+0.10714)/3</f>
        <v>0.32142666666666669</v>
      </c>
      <c r="T2208" s="18">
        <f>(2.4286+1.5+2.8214)/3</f>
        <v>2.25</v>
      </c>
      <c r="U2208" s="19">
        <f t="shared" si="151"/>
        <v>7.0000414817272985</v>
      </c>
      <c r="V2208" s="41">
        <f t="shared" si="150"/>
        <v>600.00414817272986</v>
      </c>
      <c r="W2208" s="18"/>
      <c r="X2208" s="18" t="s">
        <v>56</v>
      </c>
      <c r="Y2208" s="18"/>
      <c r="Z2208" s="18" t="s">
        <v>56</v>
      </c>
      <c r="AA2208" s="18"/>
      <c r="AB2208" s="18" t="s">
        <v>57</v>
      </c>
      <c r="AC2208" s="18">
        <v>2010</v>
      </c>
      <c r="AD2208" s="18">
        <v>6</v>
      </c>
      <c r="AE2208" s="18"/>
      <c r="AF2208" s="18"/>
      <c r="AG2208" s="18">
        <v>2003</v>
      </c>
      <c r="AH2208" s="14">
        <f t="shared" si="148"/>
        <v>7</v>
      </c>
      <c r="AI2208" s="17">
        <f t="shared" si="149"/>
        <v>13</v>
      </c>
      <c r="AJ2208" s="18"/>
      <c r="AK2208" s="18" t="s">
        <v>58</v>
      </c>
      <c r="AL2208" s="62" t="s">
        <v>92</v>
      </c>
      <c r="AM2208" s="18">
        <v>2018</v>
      </c>
      <c r="AN2208" s="50" t="s">
        <v>93</v>
      </c>
      <c r="AO2208" s="50" t="s">
        <v>56</v>
      </c>
      <c r="AP2208" s="50"/>
      <c r="AQ2208" s="50" t="s">
        <v>56</v>
      </c>
      <c r="AR2208" s="50" t="s">
        <v>58</v>
      </c>
      <c r="AS2208" s="50" t="s">
        <v>94</v>
      </c>
      <c r="AT2208" s="50"/>
      <c r="AU2208" s="64"/>
      <c r="AV2208" s="59"/>
      <c r="AW2208" s="12" t="str">
        <f>B2208&amp;C2208&amp;L2208&amp;M2208&amp;O2208&amp;U2208&amp;AL2208&amp;AM2208</f>
        <v>United StatesAnacapa Island State Marine Reserve (new)Panulirus interruptusCalifornia spiny lobsterdensity7.0000414817273Caselle2018</v>
      </c>
    </row>
    <row r="2209" spans="1:49" ht="14.5" x14ac:dyDescent="0.35">
      <c r="A2209" s="12">
        <v>2208</v>
      </c>
      <c r="B2209" s="50" t="s">
        <v>75</v>
      </c>
      <c r="C2209" s="50" t="s">
        <v>76</v>
      </c>
      <c r="D2209" s="50" t="s">
        <v>77</v>
      </c>
      <c r="E2209" s="50" t="s">
        <v>89</v>
      </c>
      <c r="F2209" s="13" t="s">
        <v>50</v>
      </c>
      <c r="G2209" s="13" t="s">
        <v>51</v>
      </c>
      <c r="H2209" s="62" t="s">
        <v>90</v>
      </c>
      <c r="I2209" s="62" t="s">
        <v>53</v>
      </c>
      <c r="J2209" s="18"/>
      <c r="K2209" s="18">
        <v>30</v>
      </c>
      <c r="L2209" s="18" t="s">
        <v>1991</v>
      </c>
      <c r="M2209" s="18" t="s">
        <v>96</v>
      </c>
      <c r="N2209" s="14" t="s">
        <v>85</v>
      </c>
      <c r="O2209" s="47" t="s">
        <v>86</v>
      </c>
      <c r="P2209" s="18"/>
      <c r="Q2209" s="18"/>
      <c r="R2209" s="18"/>
      <c r="S2209" s="18">
        <f>(2.4823/3)</f>
        <v>0.82743333333333335</v>
      </c>
      <c r="T2209" s="18">
        <f>(210.99+57.092+173.76)/3</f>
        <v>147.28066666666666</v>
      </c>
      <c r="U2209" s="19">
        <f t="shared" si="151"/>
        <v>177.99701889376786</v>
      </c>
      <c r="V2209" s="41">
        <f t="shared" si="150"/>
        <v>17699.701889376785</v>
      </c>
      <c r="W2209" s="18"/>
      <c r="X2209" s="18" t="s">
        <v>56</v>
      </c>
      <c r="Y2209" s="18"/>
      <c r="Z2209" s="18" t="s">
        <v>56</v>
      </c>
      <c r="AA2209" s="18"/>
      <c r="AB2209" s="18" t="s">
        <v>57</v>
      </c>
      <c r="AC2209" s="18">
        <v>2010</v>
      </c>
      <c r="AD2209" s="18">
        <v>6</v>
      </c>
      <c r="AE2209" s="18"/>
      <c r="AF2209" s="18"/>
      <c r="AG2209" s="18">
        <v>2003</v>
      </c>
      <c r="AH2209" s="14">
        <f t="shared" si="148"/>
        <v>7</v>
      </c>
      <c r="AI2209" s="17">
        <f t="shared" si="149"/>
        <v>13</v>
      </c>
      <c r="AJ2209" s="18"/>
      <c r="AK2209" s="18" t="s">
        <v>58</v>
      </c>
      <c r="AL2209" s="62" t="s">
        <v>92</v>
      </c>
      <c r="AM2209" s="18">
        <v>2018</v>
      </c>
      <c r="AN2209" s="50" t="s">
        <v>93</v>
      </c>
      <c r="AO2209" s="50" t="s">
        <v>56</v>
      </c>
      <c r="AP2209" s="50"/>
      <c r="AQ2209" s="50" t="s">
        <v>56</v>
      </c>
      <c r="AR2209" s="50" t="s">
        <v>58</v>
      </c>
      <c r="AS2209" s="50" t="s">
        <v>94</v>
      </c>
      <c r="AT2209" s="50"/>
      <c r="AU2209" s="64" t="s">
        <v>2844</v>
      </c>
      <c r="AV2209" s="59"/>
      <c r="AW2209" s="12" t="str">
        <f>B2209&amp;C2209&amp;L2209&amp;M2209&amp;O2209&amp;U2209&amp;AL2209&amp;AM2209</f>
        <v>United StatesAnacapa Island State Marine Reserve (new)Macrocystis pyriferaGiant kelp stipesdensity177.997018893768Caselle2018</v>
      </c>
    </row>
    <row r="2210" spans="1:49" ht="14.5" x14ac:dyDescent="0.35">
      <c r="A2210" s="12">
        <v>2209</v>
      </c>
      <c r="B2210" s="50" t="s">
        <v>75</v>
      </c>
      <c r="C2210" s="50" t="s">
        <v>76</v>
      </c>
      <c r="D2210" s="50" t="s">
        <v>77</v>
      </c>
      <c r="E2210" s="50" t="s">
        <v>89</v>
      </c>
      <c r="F2210" s="13" t="s">
        <v>50</v>
      </c>
      <c r="G2210" s="13" t="s">
        <v>51</v>
      </c>
      <c r="H2210" s="62" t="s">
        <v>90</v>
      </c>
      <c r="I2210" s="62" t="s">
        <v>53</v>
      </c>
      <c r="J2210" s="18"/>
      <c r="K2210" s="18">
        <v>30</v>
      </c>
      <c r="L2210" s="14" t="s">
        <v>445</v>
      </c>
      <c r="M2210" s="18" t="s">
        <v>97</v>
      </c>
      <c r="N2210" s="14" t="s">
        <v>446</v>
      </c>
      <c r="O2210" s="47" t="s">
        <v>86</v>
      </c>
      <c r="P2210" s="18"/>
      <c r="Q2210" s="18"/>
      <c r="R2210" s="18"/>
      <c r="S2210" s="18">
        <f>(389.36+1091.5+887.23)/3</f>
        <v>789.36333333333334</v>
      </c>
      <c r="T2210" s="18">
        <f>(95.745+57.447+70.213)/3</f>
        <v>74.468333333333334</v>
      </c>
      <c r="U2210" s="19">
        <f t="shared" si="151"/>
        <v>9.4339742155070114E-2</v>
      </c>
      <c r="V2210" s="41">
        <f t="shared" si="150"/>
        <v>-90.566025784492993</v>
      </c>
      <c r="W2210" s="18"/>
      <c r="X2210" s="18" t="s">
        <v>56</v>
      </c>
      <c r="Y2210" s="18"/>
      <c r="Z2210" s="18" t="s">
        <v>56</v>
      </c>
      <c r="AA2210" s="18"/>
      <c r="AB2210" s="18" t="s">
        <v>57</v>
      </c>
      <c r="AC2210" s="18">
        <v>2010</v>
      </c>
      <c r="AD2210" s="18">
        <v>6</v>
      </c>
      <c r="AE2210" s="18"/>
      <c r="AF2210" s="18"/>
      <c r="AG2210" s="18">
        <v>2003</v>
      </c>
      <c r="AH2210" s="14">
        <f t="shared" si="148"/>
        <v>7</v>
      </c>
      <c r="AI2210" s="17">
        <f t="shared" si="149"/>
        <v>13</v>
      </c>
      <c r="AJ2210" s="18"/>
      <c r="AK2210" s="18" t="s">
        <v>58</v>
      </c>
      <c r="AL2210" s="62" t="s">
        <v>92</v>
      </c>
      <c r="AM2210" s="18">
        <v>2018</v>
      </c>
      <c r="AN2210" s="50" t="s">
        <v>93</v>
      </c>
      <c r="AO2210" s="50" t="s">
        <v>56</v>
      </c>
      <c r="AP2210" s="50"/>
      <c r="AQ2210" s="50" t="s">
        <v>56</v>
      </c>
      <c r="AR2210" s="50" t="s">
        <v>58</v>
      </c>
      <c r="AS2210" s="50" t="s">
        <v>94</v>
      </c>
      <c r="AT2210" s="50"/>
      <c r="AU2210" s="64"/>
      <c r="AV2210" s="59"/>
      <c r="AW2210" s="12" t="str">
        <f>B2210&amp;C2210&amp;L2210&amp;M2210&amp;O2210&amp;U2210&amp;AL2210&amp;AM2210</f>
        <v>United StatesAnacapa Island State Marine Reserve (new)EchinoideaUrchinsdensity0.0943397421550701Caselle2018</v>
      </c>
    </row>
    <row r="2211" spans="1:49" ht="14.5" x14ac:dyDescent="0.35">
      <c r="A2211" s="12">
        <v>2210</v>
      </c>
      <c r="B2211" s="50" t="s">
        <v>75</v>
      </c>
      <c r="C2211" s="50" t="s">
        <v>76</v>
      </c>
      <c r="D2211" s="50" t="s">
        <v>77</v>
      </c>
      <c r="E2211" s="50" t="s">
        <v>89</v>
      </c>
      <c r="F2211" s="13" t="s">
        <v>50</v>
      </c>
      <c r="G2211" s="13" t="s">
        <v>51</v>
      </c>
      <c r="H2211" s="62" t="s">
        <v>90</v>
      </c>
      <c r="I2211" s="62" t="s">
        <v>53</v>
      </c>
      <c r="J2211" s="18"/>
      <c r="K2211" s="18">
        <v>30</v>
      </c>
      <c r="L2211" s="18"/>
      <c r="M2211" s="18" t="s">
        <v>99</v>
      </c>
      <c r="N2211" s="53" t="s">
        <v>98</v>
      </c>
      <c r="O2211" s="47" t="s">
        <v>86</v>
      </c>
      <c r="P2211" s="18"/>
      <c r="Q2211" s="18"/>
      <c r="R2211" s="18"/>
      <c r="S2211" s="18">
        <f>(5.3191+23.05+30.142)/3</f>
        <v>19.503699999999998</v>
      </c>
      <c r="T2211" s="18">
        <f>(242.91+23.05+5.3191)/3</f>
        <v>90.426366666666652</v>
      </c>
      <c r="U2211" s="19">
        <f t="shared" si="151"/>
        <v>4.6363698511906284</v>
      </c>
      <c r="V2211" s="41">
        <f t="shared" si="150"/>
        <v>363.63698511906284</v>
      </c>
      <c r="W2211" s="18"/>
      <c r="X2211" s="18" t="s">
        <v>56</v>
      </c>
      <c r="Y2211" s="18"/>
      <c r="Z2211" s="18" t="s">
        <v>56</v>
      </c>
      <c r="AA2211" s="18"/>
      <c r="AB2211" s="18" t="s">
        <v>57</v>
      </c>
      <c r="AC2211" s="18">
        <v>2010</v>
      </c>
      <c r="AD2211" s="18">
        <v>6</v>
      </c>
      <c r="AE2211" s="18"/>
      <c r="AF2211" s="18"/>
      <c r="AG2211" s="18">
        <v>2003</v>
      </c>
      <c r="AH2211" s="14">
        <f t="shared" si="148"/>
        <v>7</v>
      </c>
      <c r="AI2211" s="17">
        <f t="shared" si="149"/>
        <v>13</v>
      </c>
      <c r="AJ2211" s="18"/>
      <c r="AK2211" s="18" t="s">
        <v>58</v>
      </c>
      <c r="AL2211" s="62" t="s">
        <v>92</v>
      </c>
      <c r="AM2211" s="18">
        <v>2018</v>
      </c>
      <c r="AN2211" s="50" t="s">
        <v>93</v>
      </c>
      <c r="AO2211" s="50" t="s">
        <v>56</v>
      </c>
      <c r="AP2211" s="50"/>
      <c r="AQ2211" s="50" t="s">
        <v>56</v>
      </c>
      <c r="AR2211" s="50" t="s">
        <v>58</v>
      </c>
      <c r="AS2211" s="50" t="s">
        <v>94</v>
      </c>
      <c r="AT2211" s="50"/>
      <c r="AU2211" s="64"/>
      <c r="AV2211" s="59"/>
      <c r="AW2211" s="12" t="str">
        <f>B2211&amp;C2211&amp;L2211&amp;M2211&amp;O2211&amp;U2211&amp;AL2211&amp;AM2211</f>
        <v>United StatesAnacapa Island State Marine Reserve (new)Understory brown algaedensity4.63636985119063Caselle2018</v>
      </c>
    </row>
    <row r="2212" spans="1:49" ht="14.5" x14ac:dyDescent="0.35">
      <c r="A2212" s="12">
        <v>2211</v>
      </c>
      <c r="B2212" s="59" t="s">
        <v>75</v>
      </c>
      <c r="C2212" s="59" t="s">
        <v>76</v>
      </c>
      <c r="D2212" s="50" t="s">
        <v>77</v>
      </c>
      <c r="E2212" s="59" t="s">
        <v>89</v>
      </c>
      <c r="F2212" s="16" t="s">
        <v>50</v>
      </c>
      <c r="G2212" s="16" t="s">
        <v>51</v>
      </c>
      <c r="H2212" s="61" t="s">
        <v>90</v>
      </c>
      <c r="I2212" s="61" t="s">
        <v>53</v>
      </c>
      <c r="J2212" s="47"/>
      <c r="K2212" s="47">
        <v>30</v>
      </c>
      <c r="L2212" s="47"/>
      <c r="M2212" s="47" t="s">
        <v>100</v>
      </c>
      <c r="N2212" s="53" t="s">
        <v>98</v>
      </c>
      <c r="O2212" s="47" t="s">
        <v>101</v>
      </c>
      <c r="P2212" s="47"/>
      <c r="Q2212" s="47"/>
      <c r="R2212" s="47"/>
      <c r="S2212" s="47">
        <f>(5.1418+8.3333+9.7518)/3</f>
        <v>7.7423000000000002</v>
      </c>
      <c r="T2212" s="47">
        <f>(25.355+22.163+14.716)/3</f>
        <v>20.744666666666667</v>
      </c>
      <c r="U2212" s="20">
        <f t="shared" si="151"/>
        <v>2.6793932896770554</v>
      </c>
      <c r="V2212" s="41">
        <f t="shared" si="150"/>
        <v>167.93932896770553</v>
      </c>
      <c r="W2212" s="47"/>
      <c r="X2212" s="47" t="s">
        <v>56</v>
      </c>
      <c r="Y2212" s="18"/>
      <c r="Z2212" s="47" t="s">
        <v>56</v>
      </c>
      <c r="AA2212" s="47"/>
      <c r="AB2212" s="47" t="s">
        <v>57</v>
      </c>
      <c r="AC2212" s="47">
        <v>2010</v>
      </c>
      <c r="AD2212" s="47">
        <v>6</v>
      </c>
      <c r="AE2212" s="47"/>
      <c r="AF2212" s="47"/>
      <c r="AG2212" s="47">
        <v>2003</v>
      </c>
      <c r="AH2212" s="14">
        <f t="shared" si="148"/>
        <v>7</v>
      </c>
      <c r="AI2212" s="17">
        <f t="shared" si="149"/>
        <v>13</v>
      </c>
      <c r="AJ2212" s="47"/>
      <c r="AK2212" s="47" t="s">
        <v>58</v>
      </c>
      <c r="AL2212" s="61" t="s">
        <v>92</v>
      </c>
      <c r="AM2212" s="47">
        <v>2018</v>
      </c>
      <c r="AN2212" s="59" t="s">
        <v>93</v>
      </c>
      <c r="AO2212" s="59" t="s">
        <v>56</v>
      </c>
      <c r="AP2212" s="59"/>
      <c r="AQ2212" s="59" t="s">
        <v>56</v>
      </c>
      <c r="AR2212" s="59" t="s">
        <v>58</v>
      </c>
      <c r="AS2212" s="59" t="s">
        <v>94</v>
      </c>
      <c r="AT2212" s="59"/>
      <c r="AU2212" s="64"/>
      <c r="AV2212" s="59"/>
      <c r="AW2212" s="12" t="str">
        <f>B2212&amp;C2212&amp;L2212&amp;M2212&amp;O2212&amp;U2212&amp;AL2212&amp;AM2212</f>
        <v>United StatesAnacapa Island State Marine Reserve (new)Fleshy red algaecover2.67939328967706Caselle2018</v>
      </c>
    </row>
    <row r="2213" spans="1:49" ht="14.5" x14ac:dyDescent="0.35">
      <c r="A2213" s="12">
        <v>2212</v>
      </c>
      <c r="B2213" s="50" t="s">
        <v>75</v>
      </c>
      <c r="C2213" s="59" t="s">
        <v>76</v>
      </c>
      <c r="D2213" s="50" t="s">
        <v>77</v>
      </c>
      <c r="E2213" s="50" t="s">
        <v>89</v>
      </c>
      <c r="F2213" s="13" t="s">
        <v>50</v>
      </c>
      <c r="G2213" s="13" t="s">
        <v>51</v>
      </c>
      <c r="H2213" s="62" t="s">
        <v>90</v>
      </c>
      <c r="I2213" s="62" t="s">
        <v>53</v>
      </c>
      <c r="J2213" s="18"/>
      <c r="K2213" s="47">
        <v>30</v>
      </c>
      <c r="L2213" s="18" t="s">
        <v>2779</v>
      </c>
      <c r="M2213" s="18"/>
      <c r="N2213" s="14" t="s">
        <v>85</v>
      </c>
      <c r="O2213" s="47" t="s">
        <v>101</v>
      </c>
      <c r="P2213" s="18"/>
      <c r="Q2213" s="18"/>
      <c r="R2213" s="18"/>
      <c r="S2213" s="18">
        <f>(1.4947+5.4804)/3</f>
        <v>2.3250333333333333</v>
      </c>
      <c r="T2213" s="18">
        <f>(3.4875+39.359+26.406)/3</f>
        <v>23.084166666666665</v>
      </c>
      <c r="U2213" s="19">
        <f t="shared" si="151"/>
        <v>9.9285314905879485</v>
      </c>
      <c r="V2213" s="41">
        <f t="shared" si="150"/>
        <v>892.85314905879488</v>
      </c>
      <c r="W2213" s="18"/>
      <c r="X2213" s="18" t="s">
        <v>56</v>
      </c>
      <c r="Y2213" s="18"/>
      <c r="Z2213" s="18" t="s">
        <v>56</v>
      </c>
      <c r="AA2213" s="18"/>
      <c r="AB2213" s="18" t="s">
        <v>57</v>
      </c>
      <c r="AC2213" s="18">
        <v>2010</v>
      </c>
      <c r="AD2213" s="18">
        <v>6</v>
      </c>
      <c r="AE2213" s="18"/>
      <c r="AF2213" s="18"/>
      <c r="AG2213" s="18">
        <v>2003</v>
      </c>
      <c r="AH2213" s="14">
        <f t="shared" si="148"/>
        <v>7</v>
      </c>
      <c r="AI2213" s="17">
        <f t="shared" si="149"/>
        <v>13</v>
      </c>
      <c r="AJ2213" s="18"/>
      <c r="AK2213" s="18" t="s">
        <v>58</v>
      </c>
      <c r="AL2213" s="62" t="s">
        <v>92</v>
      </c>
      <c r="AM2213" s="18">
        <v>2018</v>
      </c>
      <c r="AN2213" s="50" t="s">
        <v>93</v>
      </c>
      <c r="AO2213" s="50" t="s">
        <v>56</v>
      </c>
      <c r="AP2213" s="50"/>
      <c r="AQ2213" s="50" t="s">
        <v>56</v>
      </c>
      <c r="AR2213" s="50" t="s">
        <v>58</v>
      </c>
      <c r="AS2213" s="50" t="s">
        <v>94</v>
      </c>
      <c r="AT2213" s="50"/>
      <c r="AU2213" s="64"/>
      <c r="AV2213" s="59"/>
      <c r="AW2213" s="12" t="str">
        <f>B2213&amp;C2213&amp;L2213&amp;M2213&amp;O2213&amp;U2213&amp;AL2213&amp;AM2213</f>
        <v>United StatesAnacapa Island State Marine Reserve (new)Sargassum hornericover9.92853149058795Caselle2018</v>
      </c>
    </row>
    <row r="2214" spans="1:49" ht="14.5" x14ac:dyDescent="0.35">
      <c r="A2214" s="12">
        <v>2213</v>
      </c>
      <c r="B2214" s="50" t="s">
        <v>75</v>
      </c>
      <c r="C2214" s="50" t="s">
        <v>76</v>
      </c>
      <c r="D2214" s="50" t="s">
        <v>77</v>
      </c>
      <c r="E2214" s="50" t="s">
        <v>89</v>
      </c>
      <c r="F2214" s="13" t="s">
        <v>50</v>
      </c>
      <c r="G2214" s="13" t="s">
        <v>51</v>
      </c>
      <c r="H2214" s="62" t="s">
        <v>90</v>
      </c>
      <c r="I2214" s="62" t="s">
        <v>53</v>
      </c>
      <c r="J2214" s="18"/>
      <c r="K2214" s="18">
        <v>30</v>
      </c>
      <c r="L2214" s="18"/>
      <c r="M2214" s="18" t="s">
        <v>102</v>
      </c>
      <c r="N2214" s="53" t="s">
        <v>98</v>
      </c>
      <c r="O2214" s="18" t="s">
        <v>70</v>
      </c>
      <c r="P2214" s="18"/>
      <c r="Q2214" s="18"/>
      <c r="R2214" s="18"/>
      <c r="S2214" s="18">
        <f>(26.868+25.089+30.783)/3</f>
        <v>27.58</v>
      </c>
      <c r="T2214" s="18">
        <f>(17.972+14.769+14.769)/3</f>
        <v>15.836666666666666</v>
      </c>
      <c r="U2214" s="19">
        <f t="shared" si="151"/>
        <v>0.57420836354846505</v>
      </c>
      <c r="V2214" s="41">
        <f t="shared" si="150"/>
        <v>-42.579163645153493</v>
      </c>
      <c r="W2214" s="18"/>
      <c r="X2214" s="18" t="s">
        <v>56</v>
      </c>
      <c r="Y2214" s="18"/>
      <c r="Z2214" s="18" t="s">
        <v>56</v>
      </c>
      <c r="AA2214" s="18"/>
      <c r="AB2214" s="18" t="s">
        <v>57</v>
      </c>
      <c r="AC2214" s="18">
        <v>2010</v>
      </c>
      <c r="AD2214" s="18">
        <v>6</v>
      </c>
      <c r="AE2214" s="18"/>
      <c r="AF2214" s="18"/>
      <c r="AG2214" s="18">
        <v>2003</v>
      </c>
      <c r="AH2214" s="14">
        <f t="shared" si="148"/>
        <v>7</v>
      </c>
      <c r="AI2214" s="17">
        <f t="shared" si="149"/>
        <v>13</v>
      </c>
      <c r="AJ2214" s="18"/>
      <c r="AK2214" s="18" t="s">
        <v>58</v>
      </c>
      <c r="AL2214" s="62" t="s">
        <v>92</v>
      </c>
      <c r="AM2214" s="18">
        <v>2018</v>
      </c>
      <c r="AN2214" s="50" t="s">
        <v>93</v>
      </c>
      <c r="AO2214" s="50" t="s">
        <v>56</v>
      </c>
      <c r="AP2214" s="50"/>
      <c r="AQ2214" s="50" t="s">
        <v>56</v>
      </c>
      <c r="AR2214" s="50" t="s">
        <v>58</v>
      </c>
      <c r="AS2214" s="50" t="s">
        <v>94</v>
      </c>
      <c r="AT2214" s="50"/>
      <c r="AU2214" s="64"/>
      <c r="AV2214" s="59"/>
      <c r="AW2214" s="12" t="str">
        <f>B2214&amp;C2214&amp;L2214&amp;M2214&amp;O2214&amp;U2214&amp;AL2214&amp;AM2214</f>
        <v>United StatesAnacapa Island State Marine Reserve (new)Crustose coralline algaebiomassden0.574208363548465Caselle2018</v>
      </c>
    </row>
    <row r="2215" spans="1:49" ht="14.5" x14ac:dyDescent="0.35">
      <c r="A2215" s="12">
        <v>2214</v>
      </c>
      <c r="B2215" s="50" t="s">
        <v>75</v>
      </c>
      <c r="C2215" s="50" t="s">
        <v>106</v>
      </c>
      <c r="D2215" s="50" t="s">
        <v>77</v>
      </c>
      <c r="E2215" s="50" t="s">
        <v>89</v>
      </c>
      <c r="F2215" s="13" t="s">
        <v>50</v>
      </c>
      <c r="G2215" s="13" t="s">
        <v>51</v>
      </c>
      <c r="H2215" s="62" t="s">
        <v>90</v>
      </c>
      <c r="I2215" s="62" t="s">
        <v>53</v>
      </c>
      <c r="J2215" s="14">
        <v>0.12</v>
      </c>
      <c r="K2215" s="18"/>
      <c r="L2215"/>
      <c r="M2215" s="18" t="s">
        <v>143</v>
      </c>
      <c r="N2215" s="53" t="s">
        <v>98</v>
      </c>
      <c r="O2215" s="47" t="s">
        <v>55</v>
      </c>
      <c r="P2215" s="18"/>
      <c r="Q2215" s="18"/>
      <c r="R2215" s="18"/>
      <c r="S2215" s="18">
        <v>18.634</v>
      </c>
      <c r="T2215" s="18">
        <v>20.536999999999999</v>
      </c>
      <c r="U2215" s="19">
        <f t="shared" si="151"/>
        <v>1.1021251475796929</v>
      </c>
      <c r="V2215" s="41">
        <f t="shared" si="150"/>
        <v>10.212514757969293</v>
      </c>
      <c r="W2215" s="18"/>
      <c r="X2215" s="18" t="s">
        <v>56</v>
      </c>
      <c r="Y2215" s="18"/>
      <c r="Z2215" s="18" t="s">
        <v>56</v>
      </c>
      <c r="AA2215" s="18"/>
      <c r="AB2215" s="18" t="s">
        <v>57</v>
      </c>
      <c r="AC2215" s="18">
        <v>2010</v>
      </c>
      <c r="AD2215" s="18">
        <v>6</v>
      </c>
      <c r="AE2215" s="18"/>
      <c r="AF2215" s="18"/>
      <c r="AG2215" s="18">
        <v>1978</v>
      </c>
      <c r="AH2215" s="14">
        <f t="shared" si="148"/>
        <v>32</v>
      </c>
      <c r="AI2215" s="17">
        <f t="shared" si="149"/>
        <v>38</v>
      </c>
      <c r="AJ2215" s="18"/>
      <c r="AK2215" s="18" t="s">
        <v>58</v>
      </c>
      <c r="AL2215" s="62" t="s">
        <v>92</v>
      </c>
      <c r="AM2215" s="18">
        <v>2018</v>
      </c>
      <c r="AN2215" s="50" t="s">
        <v>93</v>
      </c>
      <c r="AO2215" s="50" t="s">
        <v>56</v>
      </c>
      <c r="AP2215" s="50"/>
      <c r="AQ2215" s="50" t="s">
        <v>56</v>
      </c>
      <c r="AR2215" s="50" t="s">
        <v>58</v>
      </c>
      <c r="AS2215" s="50" t="s">
        <v>94</v>
      </c>
      <c r="AT2215" s="50"/>
      <c r="AU2215" s="64"/>
      <c r="AV2215" s="59"/>
      <c r="AW2215" s="12" t="str">
        <f>B2215&amp;C2215&amp;L2215&amp;M2215&amp;O2215&amp;U2215&amp;AL2215&amp;AM2215</f>
        <v>United StatesAnacapa Island State Marine Reserve (old)fish and benthic invertebratesrichness1.10212514757969Caselle2018</v>
      </c>
    </row>
    <row r="2216" spans="1:49" ht="14.5" x14ac:dyDescent="0.35">
      <c r="A2216" s="12">
        <v>2215</v>
      </c>
      <c r="B2216" s="59" t="s">
        <v>75</v>
      </c>
      <c r="C2216" s="59" t="s">
        <v>106</v>
      </c>
      <c r="D2216" s="50" t="s">
        <v>77</v>
      </c>
      <c r="E2216" s="59" t="s">
        <v>89</v>
      </c>
      <c r="F2216" s="16" t="s">
        <v>50</v>
      </c>
      <c r="G2216" s="16" t="s">
        <v>51</v>
      </c>
      <c r="H2216" s="61" t="s">
        <v>90</v>
      </c>
      <c r="I2216" s="61" t="s">
        <v>53</v>
      </c>
      <c r="J2216" s="17">
        <v>0.12</v>
      </c>
      <c r="K2216" s="47"/>
      <c r="L2216"/>
      <c r="M2216" s="47" t="s">
        <v>144</v>
      </c>
      <c r="N2216" s="53" t="s">
        <v>98</v>
      </c>
      <c r="O2216" s="47" t="s">
        <v>55</v>
      </c>
      <c r="P2216" s="47"/>
      <c r="Q2216" s="47"/>
      <c r="R2216" s="47"/>
      <c r="S2216" s="47">
        <v>18.634</v>
      </c>
      <c r="T2216" s="47">
        <v>19.22</v>
      </c>
      <c r="U2216" s="20">
        <f t="shared" si="151"/>
        <v>1.031447890952023</v>
      </c>
      <c r="V2216" s="41">
        <f t="shared" si="150"/>
        <v>3.144789095202305</v>
      </c>
      <c r="W2216" s="47"/>
      <c r="X2216" s="47" t="s">
        <v>56</v>
      </c>
      <c r="Y2216" s="47"/>
      <c r="Z2216" s="47" t="s">
        <v>56</v>
      </c>
      <c r="AA2216" s="47"/>
      <c r="AB2216" s="47" t="s">
        <v>57</v>
      </c>
      <c r="AC2216" s="47">
        <v>2010</v>
      </c>
      <c r="AD2216" s="47">
        <v>6</v>
      </c>
      <c r="AE2216" s="47"/>
      <c r="AF2216" s="47"/>
      <c r="AG2216" s="47">
        <v>2003</v>
      </c>
      <c r="AH2216" s="14">
        <f t="shared" si="148"/>
        <v>7</v>
      </c>
      <c r="AI2216" s="17">
        <f t="shared" si="149"/>
        <v>13</v>
      </c>
      <c r="AJ2216" s="47"/>
      <c r="AK2216" s="47" t="s">
        <v>58</v>
      </c>
      <c r="AL2216" s="61" t="s">
        <v>92</v>
      </c>
      <c r="AM2216" s="47">
        <v>2018</v>
      </c>
      <c r="AN2216" s="59" t="s">
        <v>93</v>
      </c>
      <c r="AO2216" s="59" t="s">
        <v>56</v>
      </c>
      <c r="AP2216" s="59"/>
      <c r="AQ2216" s="59" t="s">
        <v>56</v>
      </c>
      <c r="AR2216" s="59" t="s">
        <v>58</v>
      </c>
      <c r="AS2216" s="59" t="s">
        <v>94</v>
      </c>
      <c r="AT2216" s="59"/>
      <c r="AU2216" s="64"/>
      <c r="AV2216" s="59"/>
      <c r="AW2216" s="12" t="str">
        <f>B2216&amp;C2216&amp;L2216&amp;M2216&amp;O2216&amp;U2216&amp;AL2216&amp;AM2216</f>
        <v>United StatesAnacapa Island State Marine Reserve (old)fish and benthic invertebrates and algaerichness1.03144789095202Caselle2018</v>
      </c>
    </row>
    <row r="2217" spans="1:49" ht="14.5" x14ac:dyDescent="0.35">
      <c r="A2217" s="12">
        <v>2216</v>
      </c>
      <c r="B2217" s="59" t="s">
        <v>551</v>
      </c>
      <c r="C2217" s="59" t="s">
        <v>552</v>
      </c>
      <c r="D2217" s="59" t="s">
        <v>552</v>
      </c>
      <c r="E2217" s="59"/>
      <c r="F2217" s="13"/>
      <c r="G2217" s="13"/>
      <c r="H2217" s="61" t="s">
        <v>52</v>
      </c>
      <c r="I2217" s="59" t="s">
        <v>53</v>
      </c>
      <c r="J2217" s="17">
        <v>5.18</v>
      </c>
      <c r="K2217" s="47"/>
      <c r="L2217" s="47" t="s">
        <v>553</v>
      </c>
      <c r="M2217" s="47" t="s">
        <v>554</v>
      </c>
      <c r="N2217" s="47" t="s">
        <v>170</v>
      </c>
      <c r="O2217" s="47" t="s">
        <v>86</v>
      </c>
      <c r="P2217" s="47"/>
      <c r="Q2217" s="47"/>
      <c r="R2217" s="47"/>
      <c r="S2217" s="47">
        <v>13.33333333</v>
      </c>
      <c r="T2217" s="47">
        <v>31.53846154</v>
      </c>
      <c r="U2217" s="20">
        <f t="shared" si="151"/>
        <v>2.3653846160913461</v>
      </c>
      <c r="V2217" s="41">
        <f t="shared" si="150"/>
        <v>136.5384616091346</v>
      </c>
      <c r="W2217" s="47"/>
      <c r="X2217" s="47" t="s">
        <v>56</v>
      </c>
      <c r="Y2217" s="47"/>
      <c r="Z2217" s="47" t="s">
        <v>56</v>
      </c>
      <c r="AA2217" s="47"/>
      <c r="AB2217" s="47" t="s">
        <v>57</v>
      </c>
      <c r="AC2217" s="47">
        <v>2012</v>
      </c>
      <c r="AD2217" s="47">
        <v>1</v>
      </c>
      <c r="AE2217" s="47">
        <v>4</v>
      </c>
      <c r="AF2217" s="47"/>
      <c r="AG2217" s="17">
        <v>1975</v>
      </c>
      <c r="AH2217" s="14">
        <f t="shared" si="148"/>
        <v>37</v>
      </c>
      <c r="AI2217" s="17">
        <f t="shared" si="149"/>
        <v>38.333333333333336</v>
      </c>
      <c r="AJ2217" s="47"/>
      <c r="AK2217" s="47" t="s">
        <v>56</v>
      </c>
      <c r="AL2217" s="59" t="s">
        <v>71</v>
      </c>
      <c r="AM2217" s="59">
        <v>2017</v>
      </c>
      <c r="AN2217" s="15" t="s">
        <v>150</v>
      </c>
      <c r="AO2217" s="59" t="s">
        <v>56</v>
      </c>
      <c r="AP2217" s="59"/>
      <c r="AQ2217" s="59" t="s">
        <v>56</v>
      </c>
      <c r="AR2217" s="59" t="s">
        <v>58</v>
      </c>
      <c r="AS2217" s="59" t="s">
        <v>62</v>
      </c>
      <c r="AT2217" s="59"/>
      <c r="AU2217" s="64"/>
      <c r="AV2217" s="59"/>
      <c r="AW2217" s="12" t="str">
        <f>B2217&amp;C2217&amp;L2217&amp;M2217&amp;O2217&amp;U2217&amp;AL2217&amp;AM2217</f>
        <v>New ZealandCape Rodney–Okakari Point Marine ReservePalinuridaeRock lobsterdensity2.36538461609135Edgar2017</v>
      </c>
    </row>
    <row r="2218" spans="1:49" ht="14.5" x14ac:dyDescent="0.35">
      <c r="A2218" s="12">
        <v>2217</v>
      </c>
      <c r="B2218" s="59" t="s">
        <v>551</v>
      </c>
      <c r="C2218" s="59" t="s">
        <v>2706</v>
      </c>
      <c r="D2218" s="59" t="s">
        <v>2706</v>
      </c>
      <c r="E2218" s="59"/>
      <c r="F2218" s="16"/>
      <c r="G2218" s="16"/>
      <c r="H2218" s="61" t="s">
        <v>52</v>
      </c>
      <c r="I2218" s="59" t="s">
        <v>53</v>
      </c>
      <c r="J2218" s="47"/>
      <c r="K2218" s="47">
        <v>8.3000000000000007</v>
      </c>
      <c r="L2218" s="47" t="s">
        <v>553</v>
      </c>
      <c r="M2218" s="47" t="s">
        <v>554</v>
      </c>
      <c r="N2218" s="47" t="s">
        <v>170</v>
      </c>
      <c r="O2218" s="47" t="s">
        <v>86</v>
      </c>
      <c r="P2218" s="47"/>
      <c r="Q2218" s="47"/>
      <c r="R2218" s="47"/>
      <c r="S2218" s="47">
        <v>5</v>
      </c>
      <c r="T2218" s="47">
        <v>30.76923077</v>
      </c>
      <c r="U2218" s="20">
        <f t="shared" si="151"/>
        <v>6.153846154</v>
      </c>
      <c r="V2218" s="41">
        <f t="shared" si="150"/>
        <v>515.38461540000003</v>
      </c>
      <c r="W2218" s="47"/>
      <c r="X2218" s="47" t="s">
        <v>56</v>
      </c>
      <c r="Y2218" s="47"/>
      <c r="Z2218" s="47" t="s">
        <v>56</v>
      </c>
      <c r="AA2218" s="47"/>
      <c r="AB2218" s="47" t="s">
        <v>57</v>
      </c>
      <c r="AC2218" s="47">
        <v>2012</v>
      </c>
      <c r="AD2218" s="47">
        <v>1</v>
      </c>
      <c r="AE2218" s="47">
        <v>4</v>
      </c>
      <c r="AF2218" s="47"/>
      <c r="AG2218" s="47">
        <v>1992</v>
      </c>
      <c r="AH2218" s="14">
        <f t="shared" si="148"/>
        <v>20</v>
      </c>
      <c r="AI2218" s="17">
        <f t="shared" si="149"/>
        <v>21.333333333333332</v>
      </c>
      <c r="AJ2218" s="47"/>
      <c r="AK2218" s="47" t="s">
        <v>56</v>
      </c>
      <c r="AL2218" s="59" t="s">
        <v>71</v>
      </c>
      <c r="AM2218" s="59">
        <v>2017</v>
      </c>
      <c r="AN2218" s="15" t="s">
        <v>150</v>
      </c>
      <c r="AO2218" s="59" t="s">
        <v>56</v>
      </c>
      <c r="AP2218" s="59"/>
      <c r="AQ2218" s="59" t="s">
        <v>56</v>
      </c>
      <c r="AR2218" s="59" t="s">
        <v>58</v>
      </c>
      <c r="AS2218" s="59" t="s">
        <v>62</v>
      </c>
      <c r="AT2218" s="59"/>
      <c r="AU2218" s="64" t="s">
        <v>2707</v>
      </c>
      <c r="AV2218" s="59"/>
      <c r="AW2218" s="12" t="str">
        <f>B2218&amp;C2218&amp;L2218&amp;M2218&amp;O2218&amp;U2218&amp;AL2218&amp;AM2218</f>
        <v>New ZealandWhanganui A Hei Marine ReservePalinuridaeRock lobsterdensity6.153846154Edgar2017</v>
      </c>
    </row>
    <row r="2219" spans="1:49" ht="14.5" x14ac:dyDescent="0.35">
      <c r="A2219" s="12">
        <v>2218</v>
      </c>
      <c r="B2219" s="59" t="s">
        <v>551</v>
      </c>
      <c r="C2219" s="59" t="s">
        <v>2703</v>
      </c>
      <c r="D2219" s="59" t="s">
        <v>2703</v>
      </c>
      <c r="E2219" s="59"/>
      <c r="F2219" s="16" t="s">
        <v>50</v>
      </c>
      <c r="G2219" s="16" t="s">
        <v>51</v>
      </c>
      <c r="H2219" s="61" t="s">
        <v>52</v>
      </c>
      <c r="I2219" s="59" t="s">
        <v>53</v>
      </c>
      <c r="J2219" s="47"/>
      <c r="K2219" s="47">
        <v>18</v>
      </c>
      <c r="L2219" s="47" t="s">
        <v>553</v>
      </c>
      <c r="M2219" s="47" t="s">
        <v>554</v>
      </c>
      <c r="N2219" s="47" t="s">
        <v>170</v>
      </c>
      <c r="O2219" s="47" t="s">
        <v>86</v>
      </c>
      <c r="P2219" s="47"/>
      <c r="Q2219" s="47"/>
      <c r="R2219" s="47"/>
      <c r="S2219" s="47">
        <v>3.2051282049999998</v>
      </c>
      <c r="T2219" s="47">
        <v>0</v>
      </c>
      <c r="U2219" s="20">
        <f t="shared" si="151"/>
        <v>0</v>
      </c>
      <c r="V2219" s="41">
        <f t="shared" si="150"/>
        <v>-100</v>
      </c>
      <c r="W2219" s="47"/>
      <c r="X2219" s="47" t="s">
        <v>56</v>
      </c>
      <c r="Z2219" s="47" t="s">
        <v>56</v>
      </c>
      <c r="AA2219" s="47"/>
      <c r="AB2219" s="47" t="s">
        <v>57</v>
      </c>
      <c r="AC2219" s="47">
        <v>2012</v>
      </c>
      <c r="AD2219" s="47">
        <v>1</v>
      </c>
      <c r="AE2219" s="47">
        <v>4</v>
      </c>
      <c r="AF2219" s="47"/>
      <c r="AG2219" s="47">
        <v>1981</v>
      </c>
      <c r="AH2219" s="14">
        <f t="shared" si="148"/>
        <v>31</v>
      </c>
      <c r="AI2219" s="17">
        <f t="shared" si="149"/>
        <v>32.333333333333336</v>
      </c>
      <c r="AJ2219" s="47"/>
      <c r="AK2219" s="47" t="s">
        <v>56</v>
      </c>
      <c r="AL2219" s="59" t="s">
        <v>71</v>
      </c>
      <c r="AM2219" s="59">
        <v>2017</v>
      </c>
      <c r="AN2219" s="15" t="s">
        <v>150</v>
      </c>
      <c r="AO2219" s="59" t="s">
        <v>56</v>
      </c>
      <c r="AP2219" s="59"/>
      <c r="AQ2219" s="59" t="s">
        <v>56</v>
      </c>
      <c r="AR2219" s="59" t="s">
        <v>58</v>
      </c>
      <c r="AS2219" s="59" t="s">
        <v>62</v>
      </c>
      <c r="AT2219" s="59"/>
      <c r="AU2219" s="64"/>
      <c r="AV2219" s="59"/>
      <c r="AW2219" s="12" t="str">
        <f>B2219&amp;C2219&amp;L2219&amp;M2219&amp;O2219&amp;U2219&amp;AL2219&amp;AM2219</f>
        <v>New ZealandPoor Knights Islands Marine ReservePalinuridaeRock lobsterdensity0Edgar2017</v>
      </c>
    </row>
    <row r="2220" spans="1:49" ht="14.5" x14ac:dyDescent="0.35">
      <c r="A2220" s="12">
        <v>2219</v>
      </c>
      <c r="B2220" s="59" t="s">
        <v>551</v>
      </c>
      <c r="C2220" s="59" t="s">
        <v>2704</v>
      </c>
      <c r="D2220" s="59" t="s">
        <v>2704</v>
      </c>
      <c r="E2220" s="59"/>
      <c r="F2220" s="16"/>
      <c r="G2220" s="16"/>
      <c r="H2220" s="61" t="s">
        <v>52</v>
      </c>
      <c r="I2220" s="59" t="s">
        <v>53</v>
      </c>
      <c r="J2220" s="18"/>
      <c r="K2220" s="47">
        <v>4</v>
      </c>
      <c r="L2220" s="47" t="s">
        <v>553</v>
      </c>
      <c r="M2220" s="47" t="s">
        <v>554</v>
      </c>
      <c r="N2220" s="47" t="s">
        <v>170</v>
      </c>
      <c r="O2220" s="47" t="s">
        <v>86</v>
      </c>
      <c r="P2220" s="47"/>
      <c r="Q2220" s="47"/>
      <c r="R2220" s="47"/>
      <c r="S2220" s="47">
        <v>0</v>
      </c>
      <c r="T2220" s="47">
        <v>30.38461538</v>
      </c>
      <c r="U2220" s="20" t="str">
        <f t="shared" si="151"/>
        <v>N/A</v>
      </c>
      <c r="V2220" s="41" t="str">
        <f t="shared" si="150"/>
        <v>N/A</v>
      </c>
      <c r="W2220" s="47"/>
      <c r="X2220" s="47" t="s">
        <v>56</v>
      </c>
      <c r="Z2220" s="47" t="s">
        <v>56</v>
      </c>
      <c r="AA2220" s="47"/>
      <c r="AB2220" s="47" t="s">
        <v>57</v>
      </c>
      <c r="AC2220" s="47">
        <v>2012</v>
      </c>
      <c r="AD2220" s="47">
        <v>1</v>
      </c>
      <c r="AE2220" s="47">
        <v>4</v>
      </c>
      <c r="AF2220" s="47"/>
      <c r="AG2220" s="47">
        <v>1981</v>
      </c>
      <c r="AH2220" s="14">
        <f t="shared" si="148"/>
        <v>31</v>
      </c>
      <c r="AI2220" s="17">
        <f t="shared" si="149"/>
        <v>32.333333333333336</v>
      </c>
      <c r="AJ2220" s="47"/>
      <c r="AK2220" s="47" t="s">
        <v>56</v>
      </c>
      <c r="AL2220" s="59" t="s">
        <v>71</v>
      </c>
      <c r="AM2220" s="59">
        <v>2017</v>
      </c>
      <c r="AN2220" s="15" t="s">
        <v>150</v>
      </c>
      <c r="AO2220" s="59" t="s">
        <v>56</v>
      </c>
      <c r="AP2220" s="59"/>
      <c r="AQ2220" s="59" t="s">
        <v>56</v>
      </c>
      <c r="AR2220" s="59" t="s">
        <v>58</v>
      </c>
      <c r="AS2220" s="59" t="s">
        <v>62</v>
      </c>
      <c r="AT2220" s="59"/>
      <c r="AU2220" s="64" t="s">
        <v>2707</v>
      </c>
      <c r="AV2220" s="59"/>
      <c r="AW2220" s="12" t="str">
        <f>B2220&amp;C2220&amp;L2220&amp;M2220&amp;O2220&amp;U2220&amp;AL2220&amp;AM2220</f>
        <v>New ZealandTawharanui Marine ReservePalinuridaeRock lobsterdensityN/AEdgar2017</v>
      </c>
    </row>
    <row r="2221" spans="1:49" ht="14.5" x14ac:dyDescent="0.35">
      <c r="A2221" s="12">
        <v>2220</v>
      </c>
      <c r="B2221" s="59" t="s">
        <v>551</v>
      </c>
      <c r="C2221" s="59" t="s">
        <v>2705</v>
      </c>
      <c r="D2221" s="59" t="s">
        <v>2705</v>
      </c>
      <c r="E2221" s="50"/>
      <c r="F2221" s="13"/>
      <c r="G2221" s="13"/>
      <c r="H2221" s="61" t="s">
        <v>52</v>
      </c>
      <c r="I2221" s="59" t="s">
        <v>53</v>
      </c>
      <c r="J2221" s="47"/>
      <c r="K2221" s="47">
        <v>12.7</v>
      </c>
      <c r="L2221" s="47" t="s">
        <v>553</v>
      </c>
      <c r="M2221" s="47" t="s">
        <v>554</v>
      </c>
      <c r="N2221" s="47" t="s">
        <v>170</v>
      </c>
      <c r="O2221" s="47" t="s">
        <v>86</v>
      </c>
      <c r="P2221" s="47"/>
      <c r="Q2221" s="47"/>
      <c r="R2221" s="47"/>
      <c r="S2221" s="47">
        <v>0.128205128</v>
      </c>
      <c r="T2221" s="47">
        <v>3.3333333330000001</v>
      </c>
      <c r="U2221" s="19">
        <f t="shared" si="151"/>
        <v>26.000000039</v>
      </c>
      <c r="V2221" s="41">
        <f t="shared" si="150"/>
        <v>2500.0000039000001</v>
      </c>
      <c r="W2221" s="18"/>
      <c r="X2221" s="47" t="s">
        <v>56</v>
      </c>
      <c r="Y2221" s="17"/>
      <c r="Z2221" s="47" t="s">
        <v>56</v>
      </c>
      <c r="AA2221" s="47"/>
      <c r="AB2221" s="47" t="s">
        <v>57</v>
      </c>
      <c r="AC2221" s="47">
        <v>2012</v>
      </c>
      <c r="AD2221" s="47">
        <v>1</v>
      </c>
      <c r="AE2221" s="47">
        <v>4</v>
      </c>
      <c r="AF2221" s="47"/>
      <c r="AG2221" s="47">
        <v>2006</v>
      </c>
      <c r="AH2221" s="14">
        <f t="shared" si="148"/>
        <v>6</v>
      </c>
      <c r="AI2221" s="17">
        <f t="shared" si="149"/>
        <v>7.333333333333333</v>
      </c>
      <c r="AJ2221" s="47"/>
      <c r="AK2221" s="47" t="s">
        <v>56</v>
      </c>
      <c r="AL2221" s="59" t="s">
        <v>71</v>
      </c>
      <c r="AM2221" s="59">
        <v>2017</v>
      </c>
      <c r="AN2221" s="12" t="s">
        <v>150</v>
      </c>
      <c r="AO2221" s="59" t="s">
        <v>56</v>
      </c>
      <c r="AP2221" s="59"/>
      <c r="AQ2221" s="59" t="s">
        <v>56</v>
      </c>
      <c r="AR2221" s="59" t="s">
        <v>58</v>
      </c>
      <c r="AS2221" s="59" t="s">
        <v>62</v>
      </c>
      <c r="AT2221" s="50"/>
      <c r="AU2221" s="64" t="s">
        <v>2707</v>
      </c>
      <c r="AV2221" s="59"/>
      <c r="AW2221" s="12" t="str">
        <f>B2221&amp;C2221&amp;L2221&amp;M2221&amp;O2221&amp;U2221&amp;AL2221&amp;AM2221</f>
        <v>New ZealandTe Paepae o Aotea Marine ReservePalinuridaeRock lobsterdensity26.000000039Edgar2017</v>
      </c>
    </row>
    <row r="2222" spans="1:49" ht="14.5" x14ac:dyDescent="0.35">
      <c r="A2222" s="12">
        <v>2221</v>
      </c>
      <c r="B2222" s="59" t="s">
        <v>551</v>
      </c>
      <c r="C2222" s="15" t="s">
        <v>1362</v>
      </c>
      <c r="D2222" s="15" t="s">
        <v>1362</v>
      </c>
      <c r="E2222" s="59"/>
      <c r="F2222" s="13"/>
      <c r="G2222" s="13"/>
      <c r="H2222" s="61" t="s">
        <v>52</v>
      </c>
      <c r="I2222" s="59" t="s">
        <v>53</v>
      </c>
      <c r="J2222" s="17">
        <v>10.6</v>
      </c>
      <c r="K2222" s="47"/>
      <c r="L2222" s="47" t="s">
        <v>553</v>
      </c>
      <c r="M2222" s="47" t="s">
        <v>554</v>
      </c>
      <c r="N2222" s="47" t="s">
        <v>170</v>
      </c>
      <c r="O2222" s="47" t="s">
        <v>86</v>
      </c>
      <c r="P2222" s="47"/>
      <c r="Q2222" s="47"/>
      <c r="R2222" s="47"/>
      <c r="S2222" s="47">
        <v>3.2051282049999998</v>
      </c>
      <c r="T2222" s="47">
        <v>9.4871794870000006</v>
      </c>
      <c r="U2222" s="20">
        <f t="shared" si="151"/>
        <v>2.9600000000624003</v>
      </c>
      <c r="V2222" s="41">
        <f t="shared" si="150"/>
        <v>196.00000000624001</v>
      </c>
      <c r="W2222" s="47"/>
      <c r="X2222" s="47" t="s">
        <v>56</v>
      </c>
      <c r="Y2222" s="47"/>
      <c r="Z2222" s="47" t="s">
        <v>56</v>
      </c>
      <c r="AA2222" s="47"/>
      <c r="AB2222" s="47" t="s">
        <v>57</v>
      </c>
      <c r="AC2222" s="47">
        <v>2012</v>
      </c>
      <c r="AD2222" s="47">
        <v>1</v>
      </c>
      <c r="AE2222" s="47">
        <v>4</v>
      </c>
      <c r="AF2222" s="47"/>
      <c r="AG2222" s="47">
        <v>1992</v>
      </c>
      <c r="AH2222" s="14">
        <f t="shared" si="148"/>
        <v>20</v>
      </c>
      <c r="AI2222" s="17">
        <f t="shared" si="149"/>
        <v>21.333333333333332</v>
      </c>
      <c r="AJ2222" s="47"/>
      <c r="AK2222" s="47" t="s">
        <v>56</v>
      </c>
      <c r="AL2222" s="59" t="s">
        <v>71</v>
      </c>
      <c r="AM2222" s="59">
        <v>2017</v>
      </c>
      <c r="AN2222" s="12" t="s">
        <v>150</v>
      </c>
      <c r="AO2222" s="59" t="s">
        <v>56</v>
      </c>
      <c r="AP2222" s="59"/>
      <c r="AQ2222" s="59" t="s">
        <v>56</v>
      </c>
      <c r="AR2222" s="59" t="s">
        <v>58</v>
      </c>
      <c r="AS2222" s="59" t="s">
        <v>62</v>
      </c>
      <c r="AT2222" s="59"/>
      <c r="AU2222" s="64" t="s">
        <v>2707</v>
      </c>
      <c r="AV2222" s="59"/>
      <c r="AW2222" s="12" t="str">
        <f>B2222&amp;C2222&amp;L2222&amp;M2222&amp;O2222&amp;U2222&amp;AL2222&amp;AM2222</f>
        <v>New ZealandMayor Island (Tuhua) Marine ReservePalinuridaeRock lobsterdensity2.9600000000624Edgar2017</v>
      </c>
    </row>
    <row r="2223" spans="1:49" ht="14.5" x14ac:dyDescent="0.35">
      <c r="A2223" s="12">
        <v>2222</v>
      </c>
      <c r="B2223" s="59" t="s">
        <v>551</v>
      </c>
      <c r="C2223" s="59" t="s">
        <v>552</v>
      </c>
      <c r="D2223" s="59" t="s">
        <v>552</v>
      </c>
      <c r="E2223" s="59"/>
      <c r="F2223" s="13"/>
      <c r="G2223" s="13"/>
      <c r="H2223" s="61" t="s">
        <v>52</v>
      </c>
      <c r="I2223" s="59" t="s">
        <v>53</v>
      </c>
      <c r="J2223" s="17">
        <v>5.18</v>
      </c>
      <c r="K2223" s="47"/>
      <c r="L2223" s="65" t="s">
        <v>445</v>
      </c>
      <c r="M2223" s="47" t="s">
        <v>555</v>
      </c>
      <c r="N2223" s="14" t="s">
        <v>446</v>
      </c>
      <c r="O2223" s="47" t="s">
        <v>86</v>
      </c>
      <c r="P2223" s="47"/>
      <c r="Q2223" s="47"/>
      <c r="R2223" s="47"/>
      <c r="S2223" s="47">
        <v>531.64556960000004</v>
      </c>
      <c r="T2223" s="47">
        <v>227.8481013</v>
      </c>
      <c r="U2223" s="20">
        <f t="shared" si="151"/>
        <v>0.42857142865204079</v>
      </c>
      <c r="V2223" s="41">
        <f t="shared" si="150"/>
        <v>-57.142857134795918</v>
      </c>
      <c r="W2223" s="47"/>
      <c r="X2223" s="47" t="s">
        <v>56</v>
      </c>
      <c r="Y2223" s="47"/>
      <c r="Z2223" s="47" t="s">
        <v>56</v>
      </c>
      <c r="AA2223" s="47"/>
      <c r="AB2223" s="47" t="s">
        <v>57</v>
      </c>
      <c r="AC2223" s="47">
        <v>2012</v>
      </c>
      <c r="AD2223" s="47">
        <v>1</v>
      </c>
      <c r="AE2223" s="47">
        <v>4</v>
      </c>
      <c r="AF2223" s="47"/>
      <c r="AG2223" s="17">
        <v>1975</v>
      </c>
      <c r="AH2223" s="14">
        <f t="shared" si="148"/>
        <v>37</v>
      </c>
      <c r="AI2223" s="17">
        <f t="shared" si="149"/>
        <v>38.333333333333336</v>
      </c>
      <c r="AJ2223" s="47"/>
      <c r="AK2223" s="47" t="s">
        <v>56</v>
      </c>
      <c r="AL2223" s="59" t="s">
        <v>71</v>
      </c>
      <c r="AM2223" s="59">
        <v>2017</v>
      </c>
      <c r="AN2223" s="12" t="s">
        <v>150</v>
      </c>
      <c r="AO2223" s="59" t="s">
        <v>56</v>
      </c>
      <c r="AP2223" s="59"/>
      <c r="AQ2223" s="59" t="s">
        <v>56</v>
      </c>
      <c r="AR2223" s="59" t="s">
        <v>58</v>
      </c>
      <c r="AS2223" s="59" t="s">
        <v>62</v>
      </c>
      <c r="AT2223" s="59"/>
      <c r="AU2223" s="64"/>
      <c r="AV2223" s="59"/>
      <c r="AW2223" s="12" t="str">
        <f>B2223&amp;C2223&amp;L2223&amp;M2223&amp;O2223&amp;U2223&amp;AL2223&amp;AM2223</f>
        <v>New ZealandCape Rodney–Okakari Point Marine ReserveEchinoideaUrchindensity0.428571428652041Edgar2017</v>
      </c>
    </row>
    <row r="2224" spans="1:49" ht="14.5" x14ac:dyDescent="0.35">
      <c r="A2224" s="12">
        <v>2223</v>
      </c>
      <c r="B2224" s="59" t="s">
        <v>551</v>
      </c>
      <c r="C2224" s="59" t="s">
        <v>2706</v>
      </c>
      <c r="D2224" s="59" t="s">
        <v>2706</v>
      </c>
      <c r="E2224" s="59"/>
      <c r="F2224" s="13"/>
      <c r="G2224" s="13"/>
      <c r="H2224" s="61" t="s">
        <v>52</v>
      </c>
      <c r="I2224" s="59" t="s">
        <v>53</v>
      </c>
      <c r="J2224" s="47"/>
      <c r="K2224" s="47">
        <v>8.3000000000000007</v>
      </c>
      <c r="L2224" s="65" t="s">
        <v>445</v>
      </c>
      <c r="M2224" s="47" t="s">
        <v>555</v>
      </c>
      <c r="N2224" s="14" t="s">
        <v>446</v>
      </c>
      <c r="O2224" s="47" t="s">
        <v>86</v>
      </c>
      <c r="P2224" s="47"/>
      <c r="Q2224" s="47"/>
      <c r="R2224" s="47"/>
      <c r="S2224" s="47">
        <v>2468.3544299999999</v>
      </c>
      <c r="T2224" s="47">
        <v>329.11392410000002</v>
      </c>
      <c r="U2224" s="20">
        <f t="shared" si="151"/>
        <v>0.13333333337384617</v>
      </c>
      <c r="V2224" s="41">
        <f t="shared" si="150"/>
        <v>-86.66666666261537</v>
      </c>
      <c r="W2224" s="47"/>
      <c r="X2224" s="47" t="s">
        <v>56</v>
      </c>
      <c r="Y2224" s="47"/>
      <c r="Z2224" s="47" t="s">
        <v>56</v>
      </c>
      <c r="AA2224" s="47"/>
      <c r="AB2224" s="47" t="s">
        <v>57</v>
      </c>
      <c r="AC2224" s="47">
        <v>2012</v>
      </c>
      <c r="AD2224" s="47">
        <v>1</v>
      </c>
      <c r="AE2224" s="47">
        <v>4</v>
      </c>
      <c r="AF2224" s="47"/>
      <c r="AG2224" s="47">
        <v>1992</v>
      </c>
      <c r="AH2224" s="14">
        <f t="shared" si="148"/>
        <v>20</v>
      </c>
      <c r="AI2224" s="17">
        <f t="shared" si="149"/>
        <v>21.333333333333332</v>
      </c>
      <c r="AJ2224" s="47"/>
      <c r="AK2224" s="47" t="s">
        <v>56</v>
      </c>
      <c r="AL2224" s="59" t="s">
        <v>71</v>
      </c>
      <c r="AM2224" s="59">
        <v>2017</v>
      </c>
      <c r="AN2224" s="15" t="s">
        <v>150</v>
      </c>
      <c r="AO2224" s="59" t="s">
        <v>56</v>
      </c>
      <c r="AP2224" s="59"/>
      <c r="AQ2224" s="59" t="s">
        <v>56</v>
      </c>
      <c r="AR2224" s="59" t="s">
        <v>58</v>
      </c>
      <c r="AS2224" s="59" t="s">
        <v>62</v>
      </c>
      <c r="AT2224" s="59"/>
      <c r="AU2224" s="64" t="s">
        <v>2707</v>
      </c>
      <c r="AV2224" s="59"/>
      <c r="AW2224" s="12" t="str">
        <f>B2224&amp;C2224&amp;L2224&amp;M2224&amp;O2224&amp;U2224&amp;AL2224&amp;AM2224</f>
        <v>New ZealandWhanganui A Hei Marine ReserveEchinoideaUrchindensity0.133333333373846Edgar2017</v>
      </c>
    </row>
    <row r="2225" spans="1:49" ht="14.5" x14ac:dyDescent="0.35">
      <c r="A2225" s="12">
        <v>2224</v>
      </c>
      <c r="B2225" s="59" t="s">
        <v>551</v>
      </c>
      <c r="C2225" s="59" t="s">
        <v>2703</v>
      </c>
      <c r="D2225" s="59" t="s">
        <v>2703</v>
      </c>
      <c r="E2225" s="59"/>
      <c r="F2225" s="13" t="s">
        <v>50</v>
      </c>
      <c r="G2225" s="13" t="s">
        <v>51</v>
      </c>
      <c r="H2225" s="61" t="s">
        <v>52</v>
      </c>
      <c r="I2225" s="59" t="s">
        <v>53</v>
      </c>
      <c r="J2225" s="47"/>
      <c r="K2225" s="47">
        <v>18</v>
      </c>
      <c r="L2225" s="65" t="s">
        <v>445</v>
      </c>
      <c r="M2225" s="47" t="s">
        <v>555</v>
      </c>
      <c r="N2225" s="14" t="s">
        <v>446</v>
      </c>
      <c r="O2225" s="47" t="s">
        <v>86</v>
      </c>
      <c r="P2225" s="47"/>
      <c r="Q2225" s="47"/>
      <c r="R2225" s="47"/>
      <c r="S2225" s="47">
        <v>2721.5189869999999</v>
      </c>
      <c r="T2225" s="47">
        <v>1291.1392410000001</v>
      </c>
      <c r="U2225" s="20">
        <f t="shared" si="151"/>
        <v>0.47441860489213633</v>
      </c>
      <c r="V2225" s="41">
        <f t="shared" si="150"/>
        <v>-52.558139510786361</v>
      </c>
      <c r="W2225" s="47"/>
      <c r="X2225" s="47" t="s">
        <v>56</v>
      </c>
      <c r="Y2225" s="17"/>
      <c r="Z2225" s="47" t="s">
        <v>56</v>
      </c>
      <c r="AA2225" s="47"/>
      <c r="AB2225" s="47" t="s">
        <v>57</v>
      </c>
      <c r="AC2225" s="47">
        <v>2012</v>
      </c>
      <c r="AD2225" s="47">
        <v>1</v>
      </c>
      <c r="AE2225" s="47">
        <v>4</v>
      </c>
      <c r="AF2225" s="47"/>
      <c r="AG2225" s="47">
        <v>1981</v>
      </c>
      <c r="AH2225" s="14">
        <f t="shared" si="148"/>
        <v>31</v>
      </c>
      <c r="AI2225" s="17">
        <f t="shared" si="149"/>
        <v>32.333333333333336</v>
      </c>
      <c r="AJ2225" s="47"/>
      <c r="AK2225" s="47" t="s">
        <v>56</v>
      </c>
      <c r="AL2225" s="59" t="s">
        <v>71</v>
      </c>
      <c r="AM2225" s="59">
        <v>2017</v>
      </c>
      <c r="AN2225" s="12" t="s">
        <v>150</v>
      </c>
      <c r="AO2225" s="59" t="s">
        <v>56</v>
      </c>
      <c r="AP2225" s="59"/>
      <c r="AQ2225" s="59" t="s">
        <v>56</v>
      </c>
      <c r="AR2225" s="59" t="s">
        <v>58</v>
      </c>
      <c r="AS2225" s="59" t="s">
        <v>62</v>
      </c>
      <c r="AT2225" s="59"/>
      <c r="AU2225" s="64"/>
      <c r="AV2225" s="59"/>
      <c r="AW2225" s="12" t="str">
        <f>B2225&amp;C2225&amp;L2225&amp;M2225&amp;O2225&amp;U2225&amp;AL2225&amp;AM2225</f>
        <v>New ZealandPoor Knights Islands Marine ReserveEchinoideaUrchindensity0.474418604892136Edgar2017</v>
      </c>
    </row>
    <row r="2226" spans="1:49" ht="14.5" x14ac:dyDescent="0.35">
      <c r="A2226" s="12">
        <v>2225</v>
      </c>
      <c r="B2226" s="59" t="s">
        <v>551</v>
      </c>
      <c r="C2226" s="59" t="s">
        <v>2704</v>
      </c>
      <c r="D2226" s="59" t="s">
        <v>2704</v>
      </c>
      <c r="E2226" s="59"/>
      <c r="F2226" s="13"/>
      <c r="G2226" s="13"/>
      <c r="H2226" s="61" t="s">
        <v>52</v>
      </c>
      <c r="I2226" s="59" t="s">
        <v>53</v>
      </c>
      <c r="J2226" s="47"/>
      <c r="K2226" s="47">
        <v>4</v>
      </c>
      <c r="L2226" s="65" t="s">
        <v>445</v>
      </c>
      <c r="M2226" s="47" t="s">
        <v>555</v>
      </c>
      <c r="N2226" s="14" t="s">
        <v>446</v>
      </c>
      <c r="O2226" s="47" t="s">
        <v>86</v>
      </c>
      <c r="P2226" s="47"/>
      <c r="Q2226" s="47"/>
      <c r="R2226" s="47"/>
      <c r="S2226" s="47">
        <v>1936.7088610000001</v>
      </c>
      <c r="T2226" s="47">
        <v>708.86075949999997</v>
      </c>
      <c r="U2226" s="20">
        <f t="shared" si="151"/>
        <v>0.36601307185324017</v>
      </c>
      <c r="V2226" s="41">
        <f t="shared" si="150"/>
        <v>-63.398692814675982</v>
      </c>
      <c r="W2226" s="47"/>
      <c r="X2226" s="47" t="s">
        <v>56</v>
      </c>
      <c r="Y2226" s="17"/>
      <c r="Z2226" s="47" t="s">
        <v>56</v>
      </c>
      <c r="AA2226" s="47"/>
      <c r="AB2226" s="47" t="s">
        <v>57</v>
      </c>
      <c r="AC2226" s="47">
        <v>2012</v>
      </c>
      <c r="AD2226" s="47">
        <v>1</v>
      </c>
      <c r="AE2226" s="47">
        <v>4</v>
      </c>
      <c r="AF2226" s="47"/>
      <c r="AG2226" s="47">
        <v>1981</v>
      </c>
      <c r="AH2226" s="14">
        <f t="shared" si="148"/>
        <v>31</v>
      </c>
      <c r="AI2226" s="17">
        <f t="shared" si="149"/>
        <v>32.333333333333336</v>
      </c>
      <c r="AJ2226" s="47"/>
      <c r="AK2226" s="47" t="s">
        <v>56</v>
      </c>
      <c r="AL2226" s="59" t="s">
        <v>71</v>
      </c>
      <c r="AM2226" s="59">
        <v>2017</v>
      </c>
      <c r="AN2226" s="12" t="s">
        <v>150</v>
      </c>
      <c r="AO2226" s="59" t="s">
        <v>56</v>
      </c>
      <c r="AP2226" s="59"/>
      <c r="AQ2226" s="59" t="s">
        <v>56</v>
      </c>
      <c r="AR2226" s="59" t="s">
        <v>58</v>
      </c>
      <c r="AS2226" s="59" t="s">
        <v>62</v>
      </c>
      <c r="AT2226" s="59"/>
      <c r="AU2226" s="64" t="s">
        <v>2707</v>
      </c>
      <c r="AV2226" s="59"/>
      <c r="AW2226" s="12" t="str">
        <f>B2226&amp;C2226&amp;L2226&amp;M2226&amp;O2226&amp;U2226&amp;AL2226&amp;AM2226</f>
        <v>New ZealandTawharanui Marine ReserveEchinoideaUrchindensity0.36601307185324Edgar2017</v>
      </c>
    </row>
    <row r="2227" spans="1:49" ht="14.5" x14ac:dyDescent="0.35">
      <c r="A2227" s="12">
        <v>2226</v>
      </c>
      <c r="B2227" s="59" t="s">
        <v>551</v>
      </c>
      <c r="C2227" s="59" t="s">
        <v>2705</v>
      </c>
      <c r="D2227" s="59" t="s">
        <v>2705</v>
      </c>
      <c r="E2227" s="59"/>
      <c r="F2227" s="16"/>
      <c r="G2227" s="16"/>
      <c r="H2227" s="61" t="s">
        <v>52</v>
      </c>
      <c r="I2227" s="59" t="s">
        <v>53</v>
      </c>
      <c r="J2227" s="47"/>
      <c r="K2227" s="47">
        <v>12.7</v>
      </c>
      <c r="L2227" s="65" t="s">
        <v>445</v>
      </c>
      <c r="M2227" s="47" t="s">
        <v>555</v>
      </c>
      <c r="N2227" s="14" t="s">
        <v>446</v>
      </c>
      <c r="O2227" s="47" t="s">
        <v>86</v>
      </c>
      <c r="P2227" s="47"/>
      <c r="Q2227" s="47"/>
      <c r="R2227" s="47"/>
      <c r="S2227" s="47">
        <v>341.77215189999998</v>
      </c>
      <c r="T2227" s="47">
        <v>291.13924050000003</v>
      </c>
      <c r="U2227" s="20">
        <f t="shared" si="151"/>
        <v>0.85185185183017842</v>
      </c>
      <c r="V2227" s="41">
        <f t="shared" si="150"/>
        <v>-14.814814816982159</v>
      </c>
      <c r="W2227" s="47"/>
      <c r="X2227" s="47" t="s">
        <v>56</v>
      </c>
      <c r="Y2227" s="17"/>
      <c r="Z2227" s="47" t="s">
        <v>56</v>
      </c>
      <c r="AA2227" s="47"/>
      <c r="AB2227" s="47" t="s">
        <v>57</v>
      </c>
      <c r="AC2227" s="47">
        <v>2012</v>
      </c>
      <c r="AD2227" s="47">
        <v>1</v>
      </c>
      <c r="AE2227" s="47">
        <v>4</v>
      </c>
      <c r="AF2227" s="47"/>
      <c r="AG2227" s="47">
        <v>2006</v>
      </c>
      <c r="AH2227" s="14">
        <f t="shared" si="148"/>
        <v>6</v>
      </c>
      <c r="AI2227" s="17">
        <f t="shared" si="149"/>
        <v>7.333333333333333</v>
      </c>
      <c r="AJ2227" s="47"/>
      <c r="AK2227" s="47" t="s">
        <v>56</v>
      </c>
      <c r="AL2227" s="59" t="s">
        <v>71</v>
      </c>
      <c r="AM2227" s="59">
        <v>2017</v>
      </c>
      <c r="AN2227" s="12" t="s">
        <v>150</v>
      </c>
      <c r="AO2227" s="59" t="s">
        <v>56</v>
      </c>
      <c r="AP2227" s="59"/>
      <c r="AQ2227" s="59" t="s">
        <v>56</v>
      </c>
      <c r="AR2227" s="59" t="s">
        <v>58</v>
      </c>
      <c r="AS2227" s="59" t="s">
        <v>62</v>
      </c>
      <c r="AT2227" s="59"/>
      <c r="AU2227" s="64" t="s">
        <v>2707</v>
      </c>
      <c r="AV2227" s="59"/>
      <c r="AW2227" s="12" t="str">
        <f>B2227&amp;C2227&amp;L2227&amp;M2227&amp;O2227&amp;U2227&amp;AL2227&amp;AM2227</f>
        <v>New ZealandTe Paepae o Aotea Marine ReserveEchinoideaUrchindensity0.851851851830178Edgar2017</v>
      </c>
    </row>
    <row r="2228" spans="1:49" ht="14.5" x14ac:dyDescent="0.35">
      <c r="A2228" s="12">
        <v>2227</v>
      </c>
      <c r="B2228" s="50" t="s">
        <v>551</v>
      </c>
      <c r="C2228" s="12" t="s">
        <v>1362</v>
      </c>
      <c r="D2228" s="12" t="s">
        <v>1362</v>
      </c>
      <c r="E2228" s="50"/>
      <c r="F2228" s="13"/>
      <c r="G2228" s="13"/>
      <c r="H2228" s="62" t="s">
        <v>52</v>
      </c>
      <c r="I2228" s="50" t="s">
        <v>53</v>
      </c>
      <c r="J2228" s="17">
        <v>10.6</v>
      </c>
      <c r="K2228" s="18"/>
      <c r="L2228" s="72" t="s">
        <v>445</v>
      </c>
      <c r="M2228" s="18" t="s">
        <v>555</v>
      </c>
      <c r="N2228" s="14" t="s">
        <v>446</v>
      </c>
      <c r="O2228" s="47" t="s">
        <v>86</v>
      </c>
      <c r="P2228" s="18"/>
      <c r="Q2228" s="18"/>
      <c r="R2228" s="18"/>
      <c r="S2228" s="18">
        <v>455.69620250000003</v>
      </c>
      <c r="T2228" s="18">
        <v>1848.1012659999999</v>
      </c>
      <c r="U2228" s="19">
        <f t="shared" si="151"/>
        <v>4.0555555562260794</v>
      </c>
      <c r="V2228" s="41">
        <f t="shared" si="150"/>
        <v>305.55555562260793</v>
      </c>
      <c r="W2228" s="18"/>
      <c r="X2228" s="18" t="s">
        <v>56</v>
      </c>
      <c r="Y2228" s="18"/>
      <c r="Z2228" s="18" t="s">
        <v>56</v>
      </c>
      <c r="AA2228" s="18"/>
      <c r="AB2228" s="18" t="s">
        <v>57</v>
      </c>
      <c r="AC2228" s="18">
        <v>2012</v>
      </c>
      <c r="AD2228" s="18">
        <v>1</v>
      </c>
      <c r="AE2228" s="18">
        <v>4</v>
      </c>
      <c r="AF2228" s="18"/>
      <c r="AG2228" s="18">
        <v>1992</v>
      </c>
      <c r="AH2228" s="14">
        <f t="shared" si="148"/>
        <v>20</v>
      </c>
      <c r="AI2228" s="17">
        <f t="shared" si="149"/>
        <v>21.333333333333332</v>
      </c>
      <c r="AJ2228" s="18"/>
      <c r="AK2228" s="18" t="s">
        <v>56</v>
      </c>
      <c r="AL2228" s="50" t="s">
        <v>71</v>
      </c>
      <c r="AM2228" s="50">
        <v>2017</v>
      </c>
      <c r="AN2228" s="12" t="s">
        <v>150</v>
      </c>
      <c r="AO2228" s="50" t="s">
        <v>56</v>
      </c>
      <c r="AP2228" s="50"/>
      <c r="AQ2228" s="50" t="s">
        <v>56</v>
      </c>
      <c r="AR2228" s="50" t="s">
        <v>58</v>
      </c>
      <c r="AS2228" s="50" t="s">
        <v>62</v>
      </c>
      <c r="AT2228" s="50"/>
      <c r="AU2228" s="64" t="s">
        <v>2707</v>
      </c>
      <c r="AV2228" s="59"/>
      <c r="AW2228" s="12" t="str">
        <f>B2228&amp;C2228&amp;L2228&amp;M2228&amp;O2228&amp;U2228&amp;AL2228&amp;AM2228</f>
        <v>New ZealandMayor Island (Tuhua) Marine ReserveEchinoideaUrchindensity4.05555555622608Edgar2017</v>
      </c>
    </row>
    <row r="2229" spans="1:49" ht="14.5" x14ac:dyDescent="0.35">
      <c r="A2229" s="12">
        <v>2228</v>
      </c>
      <c r="B2229" s="50" t="s">
        <v>551</v>
      </c>
      <c r="C2229" s="50" t="s">
        <v>552</v>
      </c>
      <c r="D2229" s="50" t="s">
        <v>552</v>
      </c>
      <c r="E2229" s="50"/>
      <c r="F2229" s="13"/>
      <c r="G2229" s="13"/>
      <c r="H2229" s="62" t="s">
        <v>52</v>
      </c>
      <c r="I2229" s="50" t="s">
        <v>53</v>
      </c>
      <c r="J2229" s="17">
        <v>5.18</v>
      </c>
      <c r="K2229" s="47"/>
      <c r="L2229" s="18" t="s">
        <v>556</v>
      </c>
      <c r="M2229" s="18" t="s">
        <v>54</v>
      </c>
      <c r="N2229" s="18" t="s">
        <v>1070</v>
      </c>
      <c r="O2229" s="47" t="s">
        <v>55</v>
      </c>
      <c r="P2229" s="18"/>
      <c r="Q2229" s="18"/>
      <c r="R2229" s="18"/>
      <c r="S2229" s="18">
        <v>6.2345679010000001</v>
      </c>
      <c r="T2229" s="18">
        <v>8.5185185190000006</v>
      </c>
      <c r="U2229" s="19">
        <f t="shared" si="151"/>
        <v>1.3663366337920009</v>
      </c>
      <c r="V2229" s="41">
        <f t="shared" si="150"/>
        <v>36.633663379200087</v>
      </c>
      <c r="W2229" s="18"/>
      <c r="X2229" s="18" t="s">
        <v>56</v>
      </c>
      <c r="Y2229" s="18"/>
      <c r="Z2229" s="18" t="s">
        <v>56</v>
      </c>
      <c r="AA2229" s="18"/>
      <c r="AB2229" s="18" t="s">
        <v>57</v>
      </c>
      <c r="AC2229" s="18">
        <v>2012</v>
      </c>
      <c r="AD2229" s="18">
        <v>1</v>
      </c>
      <c r="AE2229" s="18">
        <v>4</v>
      </c>
      <c r="AF2229" s="18"/>
      <c r="AG2229" s="14">
        <v>1975</v>
      </c>
      <c r="AH2229" s="14">
        <f t="shared" si="148"/>
        <v>37</v>
      </c>
      <c r="AI2229" s="17">
        <f t="shared" si="149"/>
        <v>38.333333333333336</v>
      </c>
      <c r="AJ2229" s="18"/>
      <c r="AK2229" s="18" t="s">
        <v>56</v>
      </c>
      <c r="AL2229" s="50" t="s">
        <v>71</v>
      </c>
      <c r="AM2229" s="50">
        <v>2017</v>
      </c>
      <c r="AN2229" s="12" t="s">
        <v>150</v>
      </c>
      <c r="AO2229" s="50" t="s">
        <v>56</v>
      </c>
      <c r="AP2229" s="50"/>
      <c r="AQ2229" s="50" t="s">
        <v>56</v>
      </c>
      <c r="AR2229" s="50" t="s">
        <v>58</v>
      </c>
      <c r="AS2229" s="50" t="s">
        <v>62</v>
      </c>
      <c r="AT2229" s="50"/>
      <c r="AU2229" s="64"/>
      <c r="AV2229" s="59"/>
      <c r="AW2229" s="12" t="str">
        <f>B2229&amp;C2229&amp;L2229&amp;M2229&amp;O2229&amp;U2229&amp;AL2229&amp;AM2229</f>
        <v>New ZealandCape Rodney–Okakari Point Marine ReserveTeleosteiFishrichness1.366336633792Edgar2017</v>
      </c>
    </row>
    <row r="2230" spans="1:49" ht="14.5" x14ac:dyDescent="0.35">
      <c r="A2230" s="12">
        <v>2229</v>
      </c>
      <c r="B2230" s="59" t="s">
        <v>551</v>
      </c>
      <c r="C2230" s="59" t="s">
        <v>2706</v>
      </c>
      <c r="D2230" s="59" t="s">
        <v>2706</v>
      </c>
      <c r="E2230" s="59"/>
      <c r="F2230" s="13"/>
      <c r="G2230" s="13"/>
      <c r="H2230" s="61" t="s">
        <v>52</v>
      </c>
      <c r="I2230" s="59" t="s">
        <v>53</v>
      </c>
      <c r="J2230" s="47"/>
      <c r="K2230" s="47">
        <v>8.3000000000000007</v>
      </c>
      <c r="L2230" s="47" t="s">
        <v>556</v>
      </c>
      <c r="M2230" s="47" t="s">
        <v>54</v>
      </c>
      <c r="N2230" s="18" t="s">
        <v>1070</v>
      </c>
      <c r="O2230" s="47" t="s">
        <v>55</v>
      </c>
      <c r="P2230" s="47"/>
      <c r="Q2230" s="47"/>
      <c r="R2230" s="47"/>
      <c r="S2230" s="47">
        <v>14.50617284</v>
      </c>
      <c r="T2230" s="47">
        <v>10.49382716</v>
      </c>
      <c r="U2230" s="20">
        <f t="shared" si="151"/>
        <v>0.72340425526047991</v>
      </c>
      <c r="V2230" s="41">
        <f t="shared" si="150"/>
        <v>-27.659574473952009</v>
      </c>
      <c r="W2230" s="47"/>
      <c r="X2230" s="47" t="s">
        <v>56</v>
      </c>
      <c r="Y2230" s="47"/>
      <c r="Z2230" s="47" t="s">
        <v>56</v>
      </c>
      <c r="AA2230" s="47"/>
      <c r="AB2230" s="47" t="s">
        <v>57</v>
      </c>
      <c r="AC2230" s="47">
        <v>2012</v>
      </c>
      <c r="AD2230" s="47">
        <v>1</v>
      </c>
      <c r="AE2230" s="47">
        <v>4</v>
      </c>
      <c r="AF2230" s="47"/>
      <c r="AG2230" s="47">
        <v>1992</v>
      </c>
      <c r="AH2230" s="14">
        <f t="shared" si="148"/>
        <v>20</v>
      </c>
      <c r="AI2230" s="17">
        <f t="shared" si="149"/>
        <v>21.333333333333332</v>
      </c>
      <c r="AJ2230" s="47"/>
      <c r="AK2230" s="47" t="s">
        <v>56</v>
      </c>
      <c r="AL2230" s="59" t="s">
        <v>71</v>
      </c>
      <c r="AM2230" s="59">
        <v>2017</v>
      </c>
      <c r="AN2230" s="12" t="s">
        <v>150</v>
      </c>
      <c r="AO2230" s="59" t="s">
        <v>56</v>
      </c>
      <c r="AP2230" s="59"/>
      <c r="AQ2230" s="59" t="s">
        <v>56</v>
      </c>
      <c r="AR2230" s="59" t="s">
        <v>58</v>
      </c>
      <c r="AS2230" s="59" t="s">
        <v>62</v>
      </c>
      <c r="AT2230" s="59"/>
      <c r="AU2230" s="64" t="s">
        <v>2707</v>
      </c>
      <c r="AV2230" s="59"/>
      <c r="AW2230" s="12" t="str">
        <f>B2230&amp;C2230&amp;L2230&amp;M2230&amp;O2230&amp;U2230&amp;AL2230&amp;AM2230</f>
        <v>New ZealandWhanganui A Hei Marine ReserveTeleosteiFishrichness0.72340425526048Edgar2017</v>
      </c>
    </row>
    <row r="2231" spans="1:49" ht="14.5" x14ac:dyDescent="0.35">
      <c r="A2231" s="12">
        <v>2230</v>
      </c>
      <c r="B2231" s="59" t="s">
        <v>551</v>
      </c>
      <c r="C2231" s="59" t="s">
        <v>2703</v>
      </c>
      <c r="D2231" s="59" t="s">
        <v>2703</v>
      </c>
      <c r="E2231" s="59"/>
      <c r="F2231" s="13" t="s">
        <v>50</v>
      </c>
      <c r="G2231" s="13" t="s">
        <v>51</v>
      </c>
      <c r="H2231" s="61" t="s">
        <v>52</v>
      </c>
      <c r="I2231" s="59" t="s">
        <v>53</v>
      </c>
      <c r="J2231" s="47"/>
      <c r="K2231" s="47">
        <v>18</v>
      </c>
      <c r="L2231" s="47" t="s">
        <v>556</v>
      </c>
      <c r="M2231" s="47" t="s">
        <v>54</v>
      </c>
      <c r="N2231" s="18" t="s">
        <v>1070</v>
      </c>
      <c r="O2231" s="47" t="s">
        <v>55</v>
      </c>
      <c r="P2231" s="47"/>
      <c r="Q2231" s="47"/>
      <c r="R2231" s="47"/>
      <c r="S2231" s="47">
        <v>11.2345679</v>
      </c>
      <c r="T2231" s="47">
        <v>13.518518520000001</v>
      </c>
      <c r="U2231" s="20">
        <f t="shared" si="151"/>
        <v>1.203296703560802</v>
      </c>
      <c r="V2231" s="41">
        <f t="shared" si="150"/>
        <v>20.3296703560802</v>
      </c>
      <c r="W2231" s="47"/>
      <c r="X2231" s="47" t="s">
        <v>56</v>
      </c>
      <c r="Y2231" s="17"/>
      <c r="Z2231" s="47" t="s">
        <v>56</v>
      </c>
      <c r="AA2231" s="47"/>
      <c r="AB2231" s="47" t="s">
        <v>57</v>
      </c>
      <c r="AC2231" s="47">
        <v>2012</v>
      </c>
      <c r="AD2231" s="47">
        <v>1</v>
      </c>
      <c r="AE2231" s="47">
        <v>4</v>
      </c>
      <c r="AF2231" s="47"/>
      <c r="AG2231" s="47">
        <v>1981</v>
      </c>
      <c r="AH2231" s="14">
        <f t="shared" si="148"/>
        <v>31</v>
      </c>
      <c r="AI2231" s="17">
        <f t="shared" si="149"/>
        <v>32.333333333333336</v>
      </c>
      <c r="AJ2231" s="47"/>
      <c r="AK2231" s="47" t="s">
        <v>56</v>
      </c>
      <c r="AL2231" s="59" t="s">
        <v>71</v>
      </c>
      <c r="AM2231" s="59">
        <v>2017</v>
      </c>
      <c r="AN2231" s="12" t="s">
        <v>150</v>
      </c>
      <c r="AO2231" s="59" t="s">
        <v>56</v>
      </c>
      <c r="AP2231" s="59"/>
      <c r="AQ2231" s="59" t="s">
        <v>56</v>
      </c>
      <c r="AR2231" s="59" t="s">
        <v>58</v>
      </c>
      <c r="AS2231" s="59" t="s">
        <v>62</v>
      </c>
      <c r="AT2231" s="59"/>
      <c r="AU2231" s="64"/>
      <c r="AV2231" s="59"/>
      <c r="AW2231" s="12" t="str">
        <f>B2231&amp;C2231&amp;L2231&amp;M2231&amp;O2231&amp;U2231&amp;AL2231&amp;AM2231</f>
        <v>New ZealandPoor Knights Islands Marine ReserveTeleosteiFishrichness1.2032967035608Edgar2017</v>
      </c>
    </row>
    <row r="2232" spans="1:49" ht="14.5" x14ac:dyDescent="0.35">
      <c r="A2232" s="12">
        <v>2231</v>
      </c>
      <c r="B2232" s="50" t="s">
        <v>551</v>
      </c>
      <c r="C2232" s="50" t="s">
        <v>2704</v>
      </c>
      <c r="D2232" s="50" t="s">
        <v>2704</v>
      </c>
      <c r="E2232" s="50"/>
      <c r="F2232" s="13"/>
      <c r="G2232" s="13"/>
      <c r="H2232" s="62" t="s">
        <v>52</v>
      </c>
      <c r="I2232" s="50" t="s">
        <v>53</v>
      </c>
      <c r="J2232" s="47"/>
      <c r="K2232" s="18">
        <v>4</v>
      </c>
      <c r="L2232" s="18" t="s">
        <v>556</v>
      </c>
      <c r="M2232" s="18" t="s">
        <v>54</v>
      </c>
      <c r="N2232" s="18" t="s">
        <v>1070</v>
      </c>
      <c r="O2232" s="47" t="s">
        <v>55</v>
      </c>
      <c r="P2232" s="18"/>
      <c r="Q2232" s="18"/>
      <c r="R2232" s="18"/>
      <c r="S2232" s="18">
        <v>6.790123457</v>
      </c>
      <c r="T2232" s="18">
        <v>6.6666666670000003</v>
      </c>
      <c r="U2232" s="19">
        <f t="shared" si="151"/>
        <v>0.98181818183692571</v>
      </c>
      <c r="V2232" s="41">
        <f t="shared" si="150"/>
        <v>-1.8181818163074293</v>
      </c>
      <c r="W2232" s="18"/>
      <c r="X2232" s="18" t="s">
        <v>56</v>
      </c>
      <c r="Z2232" s="18" t="s">
        <v>56</v>
      </c>
      <c r="AA2232" s="18"/>
      <c r="AB2232" s="18" t="s">
        <v>57</v>
      </c>
      <c r="AC2232" s="18">
        <v>2012</v>
      </c>
      <c r="AD2232" s="18">
        <v>1</v>
      </c>
      <c r="AE2232" s="18">
        <v>4</v>
      </c>
      <c r="AF2232" s="18"/>
      <c r="AG2232" s="18">
        <v>1981</v>
      </c>
      <c r="AH2232" s="14">
        <f t="shared" si="148"/>
        <v>31</v>
      </c>
      <c r="AI2232" s="17">
        <f t="shared" si="149"/>
        <v>32.333333333333336</v>
      </c>
      <c r="AJ2232" s="18"/>
      <c r="AK2232" s="18" t="s">
        <v>56</v>
      </c>
      <c r="AL2232" s="50" t="s">
        <v>71</v>
      </c>
      <c r="AM2232" s="50">
        <v>2017</v>
      </c>
      <c r="AN2232" s="12" t="s">
        <v>150</v>
      </c>
      <c r="AO2232" s="50" t="s">
        <v>56</v>
      </c>
      <c r="AP2232" s="50"/>
      <c r="AQ2232" s="50" t="s">
        <v>56</v>
      </c>
      <c r="AR2232" s="50" t="s">
        <v>58</v>
      </c>
      <c r="AS2232" s="50" t="s">
        <v>62</v>
      </c>
      <c r="AT2232" s="50"/>
      <c r="AU2232" s="64" t="s">
        <v>2707</v>
      </c>
      <c r="AV2232" s="59"/>
      <c r="AW2232" s="12" t="str">
        <f>B2232&amp;C2232&amp;L2232&amp;M2232&amp;O2232&amp;U2232&amp;AL2232&amp;AM2232</f>
        <v>New ZealandTawharanui Marine ReserveTeleosteiFishrichness0.981818181836926Edgar2017</v>
      </c>
    </row>
    <row r="2233" spans="1:49" ht="14.5" x14ac:dyDescent="0.35">
      <c r="A2233" s="12">
        <v>2232</v>
      </c>
      <c r="B2233" s="59" t="s">
        <v>551</v>
      </c>
      <c r="C2233" s="59" t="s">
        <v>2705</v>
      </c>
      <c r="D2233" s="59" t="s">
        <v>2705</v>
      </c>
      <c r="E2233" s="59"/>
      <c r="F2233" s="13"/>
      <c r="G2233" s="13"/>
      <c r="H2233" s="61" t="s">
        <v>52</v>
      </c>
      <c r="I2233" s="59" t="s">
        <v>53</v>
      </c>
      <c r="J2233" s="47"/>
      <c r="K2233" s="47">
        <v>12.7</v>
      </c>
      <c r="L2233" s="47" t="s">
        <v>556</v>
      </c>
      <c r="M2233" s="47" t="s">
        <v>54</v>
      </c>
      <c r="N2233" s="18" t="s">
        <v>1070</v>
      </c>
      <c r="O2233" s="47" t="s">
        <v>55</v>
      </c>
      <c r="P2233" s="47"/>
      <c r="Q2233" s="47"/>
      <c r="R2233" s="47"/>
      <c r="S2233" s="47">
        <v>17.592592589999999</v>
      </c>
      <c r="T2233" s="47">
        <v>11.79012346</v>
      </c>
      <c r="U2233" s="20">
        <f t="shared" si="151"/>
        <v>0.67017543887771014</v>
      </c>
      <c r="V2233" s="41">
        <f t="shared" si="150"/>
        <v>-32.982456112228988</v>
      </c>
      <c r="W2233" s="47"/>
      <c r="X2233" s="47" t="s">
        <v>56</v>
      </c>
      <c r="Y2233" s="17"/>
      <c r="Z2233" s="47" t="s">
        <v>56</v>
      </c>
      <c r="AA2233" s="47"/>
      <c r="AB2233" s="47" t="s">
        <v>57</v>
      </c>
      <c r="AC2233" s="47">
        <v>2012</v>
      </c>
      <c r="AD2233" s="47">
        <v>1</v>
      </c>
      <c r="AE2233" s="47">
        <v>4</v>
      </c>
      <c r="AF2233" s="47"/>
      <c r="AG2233" s="47">
        <v>2006</v>
      </c>
      <c r="AH2233" s="14">
        <f t="shared" si="148"/>
        <v>6</v>
      </c>
      <c r="AI2233" s="17">
        <f t="shared" si="149"/>
        <v>7.333333333333333</v>
      </c>
      <c r="AJ2233" s="47"/>
      <c r="AK2233" s="47" t="s">
        <v>56</v>
      </c>
      <c r="AL2233" s="59" t="s">
        <v>71</v>
      </c>
      <c r="AM2233" s="59">
        <v>2017</v>
      </c>
      <c r="AN2233" s="12" t="s">
        <v>150</v>
      </c>
      <c r="AO2233" s="59" t="s">
        <v>56</v>
      </c>
      <c r="AP2233" s="59"/>
      <c r="AQ2233" s="59" t="s">
        <v>56</v>
      </c>
      <c r="AR2233" s="59" t="s">
        <v>58</v>
      </c>
      <c r="AS2233" s="59" t="s">
        <v>62</v>
      </c>
      <c r="AT2233" s="59"/>
      <c r="AU2233" s="64" t="s">
        <v>2707</v>
      </c>
      <c r="AV2233" s="59"/>
      <c r="AW2233" s="12" t="str">
        <f>B2233&amp;C2233&amp;L2233&amp;M2233&amp;O2233&amp;U2233&amp;AL2233&amp;AM2233</f>
        <v>New ZealandTe Paepae o Aotea Marine ReserveTeleosteiFishrichness0.67017543887771Edgar2017</v>
      </c>
    </row>
    <row r="2234" spans="1:49" ht="14.5" x14ac:dyDescent="0.35">
      <c r="A2234" s="12">
        <v>2233</v>
      </c>
      <c r="B2234" s="59" t="s">
        <v>551</v>
      </c>
      <c r="C2234" s="15" t="s">
        <v>1362</v>
      </c>
      <c r="D2234" s="15" t="s">
        <v>1362</v>
      </c>
      <c r="E2234" s="59"/>
      <c r="F2234" s="13"/>
      <c r="G2234" s="13"/>
      <c r="H2234" s="61" t="s">
        <v>52</v>
      </c>
      <c r="I2234" s="59" t="s">
        <v>53</v>
      </c>
      <c r="J2234" s="17">
        <v>10.6</v>
      </c>
      <c r="K2234" s="47"/>
      <c r="L2234" s="47" t="s">
        <v>556</v>
      </c>
      <c r="M2234" s="47" t="s">
        <v>54</v>
      </c>
      <c r="N2234" s="18" t="s">
        <v>1070</v>
      </c>
      <c r="O2234" s="47" t="s">
        <v>55</v>
      </c>
      <c r="P2234" s="47"/>
      <c r="Q2234" s="47"/>
      <c r="R2234" s="47"/>
      <c r="S2234" s="47">
        <v>12.90123457</v>
      </c>
      <c r="T2234" s="47">
        <v>13.641975309999999</v>
      </c>
      <c r="U2234" s="20">
        <f t="shared" si="151"/>
        <v>1.057416267875827</v>
      </c>
      <c r="V2234" s="41">
        <f t="shared" si="150"/>
        <v>5.7416267875826987</v>
      </c>
      <c r="W2234" s="47"/>
      <c r="X2234" s="47" t="s">
        <v>56</v>
      </c>
      <c r="Y2234" s="47"/>
      <c r="Z2234" s="47" t="s">
        <v>56</v>
      </c>
      <c r="AA2234" s="47"/>
      <c r="AB2234" s="47" t="s">
        <v>57</v>
      </c>
      <c r="AC2234" s="47">
        <v>2012</v>
      </c>
      <c r="AD2234" s="47">
        <v>1</v>
      </c>
      <c r="AE2234" s="47">
        <v>4</v>
      </c>
      <c r="AF2234" s="47"/>
      <c r="AG2234" s="47">
        <v>1992</v>
      </c>
      <c r="AH2234" s="14">
        <f t="shared" si="148"/>
        <v>20</v>
      </c>
      <c r="AI2234" s="17">
        <f t="shared" si="149"/>
        <v>21.333333333333332</v>
      </c>
      <c r="AJ2234" s="47"/>
      <c r="AK2234" s="47" t="s">
        <v>56</v>
      </c>
      <c r="AL2234" s="59" t="s">
        <v>71</v>
      </c>
      <c r="AM2234" s="59">
        <v>2017</v>
      </c>
      <c r="AN2234" s="12" t="s">
        <v>150</v>
      </c>
      <c r="AO2234" s="59" t="s">
        <v>56</v>
      </c>
      <c r="AP2234" s="59"/>
      <c r="AQ2234" s="59" t="s">
        <v>56</v>
      </c>
      <c r="AR2234" s="59" t="s">
        <v>58</v>
      </c>
      <c r="AS2234" s="59" t="s">
        <v>62</v>
      </c>
      <c r="AT2234" s="59"/>
      <c r="AU2234" s="64" t="s">
        <v>2707</v>
      </c>
      <c r="AV2234" s="59"/>
      <c r="AW2234" s="12" t="str">
        <f>B2234&amp;C2234&amp;L2234&amp;M2234&amp;O2234&amp;U2234&amp;AL2234&amp;AM2234</f>
        <v>New ZealandMayor Island (Tuhua) Marine ReserveTeleosteiFishrichness1.05741626787583Edgar2017</v>
      </c>
    </row>
    <row r="2235" spans="1:49" ht="14.5" x14ac:dyDescent="0.35">
      <c r="A2235" s="12">
        <v>2234</v>
      </c>
      <c r="B2235" s="59" t="s">
        <v>551</v>
      </c>
      <c r="C2235" s="59" t="s">
        <v>552</v>
      </c>
      <c r="D2235" s="59" t="s">
        <v>552</v>
      </c>
      <c r="E2235" s="59"/>
      <c r="F2235" s="13"/>
      <c r="G2235" s="13"/>
      <c r="H2235" s="61" t="s">
        <v>52</v>
      </c>
      <c r="I2235" s="59" t="s">
        <v>53</v>
      </c>
      <c r="J2235" s="17">
        <v>5.18</v>
      </c>
      <c r="K2235" s="47"/>
      <c r="L2235" s="47"/>
      <c r="M2235" s="47" t="s">
        <v>557</v>
      </c>
      <c r="N2235" s="53" t="s">
        <v>98</v>
      </c>
      <c r="O2235" s="47" t="s">
        <v>70</v>
      </c>
      <c r="P2235" s="47"/>
      <c r="Q2235" s="47"/>
      <c r="R2235" s="47"/>
      <c r="S2235" s="47">
        <v>4.4444444440000002</v>
      </c>
      <c r="T2235" s="47">
        <v>25.858585860000002</v>
      </c>
      <c r="U2235" s="20">
        <f t="shared" si="151"/>
        <v>5.8181818190818184</v>
      </c>
      <c r="V2235" s="41">
        <f t="shared" si="150"/>
        <v>481.81818190818183</v>
      </c>
      <c r="W2235" s="47"/>
      <c r="X2235" s="47" t="s">
        <v>56</v>
      </c>
      <c r="Y2235" s="47"/>
      <c r="Z2235" s="47" t="s">
        <v>56</v>
      </c>
      <c r="AA2235" s="47"/>
      <c r="AB2235" s="47" t="s">
        <v>57</v>
      </c>
      <c r="AC2235" s="47">
        <v>2012</v>
      </c>
      <c r="AD2235" s="47">
        <v>1</v>
      </c>
      <c r="AE2235" s="47">
        <v>4</v>
      </c>
      <c r="AF2235" s="47"/>
      <c r="AG2235" s="17">
        <v>1975</v>
      </c>
      <c r="AH2235" s="14">
        <f t="shared" si="148"/>
        <v>37</v>
      </c>
      <c r="AI2235" s="17">
        <f t="shared" si="149"/>
        <v>38.333333333333336</v>
      </c>
      <c r="AJ2235" s="47"/>
      <c r="AK2235" s="47" t="s">
        <v>56</v>
      </c>
      <c r="AL2235" s="59" t="s">
        <v>71</v>
      </c>
      <c r="AM2235" s="59">
        <v>2017</v>
      </c>
      <c r="AN2235" s="12" t="s">
        <v>150</v>
      </c>
      <c r="AO2235" s="59" t="s">
        <v>56</v>
      </c>
      <c r="AP2235" s="59"/>
      <c r="AQ2235" s="59" t="s">
        <v>56</v>
      </c>
      <c r="AR2235" s="59" t="s">
        <v>58</v>
      </c>
      <c r="AS2235" s="59" t="s">
        <v>62</v>
      </c>
      <c r="AT2235" s="59"/>
      <c r="AU2235" s="64"/>
      <c r="AV2235" s="59"/>
      <c r="AW2235" s="12" t="str">
        <f>B2235&amp;C2235&amp;L2235&amp;M2235&amp;O2235&amp;U2235&amp;AL2235&amp;AM2235</f>
        <v>New ZealandCape Rodney–Okakari Point Marine ReserveBenthic carnivoresbiomassden5.81818181908182Edgar2017</v>
      </c>
    </row>
    <row r="2236" spans="1:49" ht="14.5" x14ac:dyDescent="0.35">
      <c r="A2236" s="12">
        <v>2235</v>
      </c>
      <c r="B2236" s="59" t="s">
        <v>551</v>
      </c>
      <c r="C2236" s="59" t="s">
        <v>2706</v>
      </c>
      <c r="D2236" s="59" t="s">
        <v>2706</v>
      </c>
      <c r="E2236" s="59"/>
      <c r="F2236" s="13"/>
      <c r="G2236" s="13"/>
      <c r="H2236" s="61" t="s">
        <v>52</v>
      </c>
      <c r="I2236" s="59" t="s">
        <v>53</v>
      </c>
      <c r="J2236" s="47"/>
      <c r="K2236" s="47">
        <v>8.3000000000000007</v>
      </c>
      <c r="L2236" s="47"/>
      <c r="M2236" s="47" t="s">
        <v>557</v>
      </c>
      <c r="N2236" s="53" t="s">
        <v>98</v>
      </c>
      <c r="O2236" s="47" t="s">
        <v>70</v>
      </c>
      <c r="P2236" s="47"/>
      <c r="Q2236" s="47"/>
      <c r="R2236" s="47"/>
      <c r="S2236" s="47">
        <v>26.262626260000001</v>
      </c>
      <c r="T2236" s="47">
        <v>41.01010101</v>
      </c>
      <c r="U2236" s="20">
        <f t="shared" si="151"/>
        <v>1.561538461690769</v>
      </c>
      <c r="V2236" s="41">
        <f t="shared" si="150"/>
        <v>56.153846169076907</v>
      </c>
      <c r="W2236" s="47"/>
      <c r="X2236" s="47" t="s">
        <v>56</v>
      </c>
      <c r="Y2236" s="47"/>
      <c r="Z2236" s="47" t="s">
        <v>56</v>
      </c>
      <c r="AA2236" s="47"/>
      <c r="AB2236" s="47" t="s">
        <v>57</v>
      </c>
      <c r="AC2236" s="47">
        <v>2012</v>
      </c>
      <c r="AD2236" s="47">
        <v>1</v>
      </c>
      <c r="AE2236" s="47">
        <v>4</v>
      </c>
      <c r="AF2236" s="47"/>
      <c r="AG2236" s="47">
        <v>1992</v>
      </c>
      <c r="AH2236" s="14">
        <f t="shared" si="148"/>
        <v>20</v>
      </c>
      <c r="AI2236" s="17">
        <f t="shared" si="149"/>
        <v>21.333333333333332</v>
      </c>
      <c r="AJ2236" s="47"/>
      <c r="AK2236" s="47" t="s">
        <v>56</v>
      </c>
      <c r="AL2236" s="59" t="s">
        <v>71</v>
      </c>
      <c r="AM2236" s="59">
        <v>2017</v>
      </c>
      <c r="AN2236" s="12" t="s">
        <v>150</v>
      </c>
      <c r="AO2236" s="59" t="s">
        <v>56</v>
      </c>
      <c r="AP2236" s="59"/>
      <c r="AQ2236" s="59" t="s">
        <v>56</v>
      </c>
      <c r="AR2236" s="59" t="s">
        <v>58</v>
      </c>
      <c r="AS2236" s="59" t="s">
        <v>62</v>
      </c>
      <c r="AT2236" s="59"/>
      <c r="AU2236" s="64" t="s">
        <v>2707</v>
      </c>
      <c r="AV2236" s="59"/>
      <c r="AW2236" s="12" t="str">
        <f>B2236&amp;C2236&amp;L2236&amp;M2236&amp;O2236&amp;U2236&amp;AL2236&amp;AM2236</f>
        <v>New ZealandWhanganui A Hei Marine ReserveBenthic carnivoresbiomassden1.56153846169077Edgar2017</v>
      </c>
    </row>
    <row r="2237" spans="1:49" ht="14.5" x14ac:dyDescent="0.35">
      <c r="A2237" s="12">
        <v>2236</v>
      </c>
      <c r="B2237" s="59" t="s">
        <v>551</v>
      </c>
      <c r="C2237" s="59" t="s">
        <v>2703</v>
      </c>
      <c r="D2237" s="59" t="s">
        <v>2703</v>
      </c>
      <c r="E2237" s="59"/>
      <c r="F2237" s="16" t="s">
        <v>50</v>
      </c>
      <c r="G2237" s="16" t="s">
        <v>51</v>
      </c>
      <c r="H2237" s="61" t="s">
        <v>52</v>
      </c>
      <c r="I2237" s="59" t="s">
        <v>53</v>
      </c>
      <c r="J2237" s="47"/>
      <c r="K2237" s="47">
        <v>18</v>
      </c>
      <c r="L2237" s="47"/>
      <c r="M2237" s="47" t="s">
        <v>557</v>
      </c>
      <c r="N2237" s="53" t="s">
        <v>98</v>
      </c>
      <c r="O2237" s="47" t="s">
        <v>70</v>
      </c>
      <c r="P2237" s="47"/>
      <c r="Q2237" s="47"/>
      <c r="R2237" s="47"/>
      <c r="S2237" s="47">
        <v>23.434343429999998</v>
      </c>
      <c r="T2237" s="47">
        <v>28.48484848</v>
      </c>
      <c r="U2237" s="20">
        <f t="shared" si="151"/>
        <v>1.2155172413977038</v>
      </c>
      <c r="V2237" s="41">
        <f t="shared" si="150"/>
        <v>21.551724139770378</v>
      </c>
      <c r="W2237" s="47"/>
      <c r="X2237" s="47" t="s">
        <v>56</v>
      </c>
      <c r="Y2237" s="17"/>
      <c r="Z2237" s="47" t="s">
        <v>56</v>
      </c>
      <c r="AA2237" s="47"/>
      <c r="AB2237" s="47" t="s">
        <v>57</v>
      </c>
      <c r="AC2237" s="47">
        <v>2012</v>
      </c>
      <c r="AD2237" s="47">
        <v>1</v>
      </c>
      <c r="AE2237" s="47">
        <v>4</v>
      </c>
      <c r="AF2237" s="47"/>
      <c r="AG2237" s="47">
        <v>1981</v>
      </c>
      <c r="AH2237" s="14">
        <f t="shared" si="148"/>
        <v>31</v>
      </c>
      <c r="AI2237" s="17">
        <f t="shared" si="149"/>
        <v>32.333333333333336</v>
      </c>
      <c r="AJ2237" s="47"/>
      <c r="AK2237" s="47" t="s">
        <v>56</v>
      </c>
      <c r="AL2237" s="59" t="s">
        <v>71</v>
      </c>
      <c r="AM2237" s="59">
        <v>2017</v>
      </c>
      <c r="AN2237" s="15" t="s">
        <v>150</v>
      </c>
      <c r="AO2237" s="59" t="s">
        <v>56</v>
      </c>
      <c r="AP2237" s="59"/>
      <c r="AQ2237" s="59" t="s">
        <v>56</v>
      </c>
      <c r="AR2237" s="59" t="s">
        <v>58</v>
      </c>
      <c r="AS2237" s="59" t="s">
        <v>62</v>
      </c>
      <c r="AT2237" s="59"/>
      <c r="AU2237" s="64"/>
      <c r="AV2237" s="59"/>
      <c r="AW2237" s="12" t="str">
        <f>B2237&amp;C2237&amp;L2237&amp;M2237&amp;O2237&amp;U2237&amp;AL2237&amp;AM2237</f>
        <v>New ZealandPoor Knights Islands Marine ReserveBenthic carnivoresbiomassden1.2155172413977Edgar2017</v>
      </c>
    </row>
    <row r="2238" spans="1:49" ht="14.5" x14ac:dyDescent="0.35">
      <c r="A2238" s="12">
        <v>2237</v>
      </c>
      <c r="B2238" s="59" t="s">
        <v>551</v>
      </c>
      <c r="C2238" s="59" t="s">
        <v>2704</v>
      </c>
      <c r="D2238" s="59" t="s">
        <v>2704</v>
      </c>
      <c r="E2238" s="59"/>
      <c r="F2238" s="16"/>
      <c r="G2238" s="16"/>
      <c r="H2238" s="61" t="s">
        <v>52</v>
      </c>
      <c r="I2238" s="59" t="s">
        <v>53</v>
      </c>
      <c r="J2238" s="47"/>
      <c r="K2238" s="47">
        <v>4</v>
      </c>
      <c r="L2238" s="47"/>
      <c r="M2238" s="47" t="s">
        <v>557</v>
      </c>
      <c r="N2238" s="53" t="s">
        <v>98</v>
      </c>
      <c r="O2238" s="47" t="s">
        <v>70</v>
      </c>
      <c r="P2238" s="47"/>
      <c r="Q2238" s="47"/>
      <c r="R2238" s="47"/>
      <c r="S2238" s="47">
        <v>1.212121212</v>
      </c>
      <c r="T2238" s="47">
        <v>14.14141414</v>
      </c>
      <c r="U2238" s="20">
        <f t="shared" si="151"/>
        <v>11.666666666666666</v>
      </c>
      <c r="V2238" s="41">
        <f t="shared" si="150"/>
        <v>1066.6666666666665</v>
      </c>
      <c r="W2238" s="47"/>
      <c r="X2238" s="47" t="s">
        <v>56</v>
      </c>
      <c r="Y2238" s="17"/>
      <c r="Z2238" s="47" t="s">
        <v>56</v>
      </c>
      <c r="AA2238" s="47"/>
      <c r="AB2238" s="47" t="s">
        <v>57</v>
      </c>
      <c r="AC2238" s="47">
        <v>2012</v>
      </c>
      <c r="AD2238" s="47">
        <v>1</v>
      </c>
      <c r="AE2238" s="47">
        <v>4</v>
      </c>
      <c r="AF2238" s="47"/>
      <c r="AG2238" s="47">
        <v>1981</v>
      </c>
      <c r="AH2238" s="14">
        <f t="shared" si="148"/>
        <v>31</v>
      </c>
      <c r="AI2238" s="17">
        <f t="shared" si="149"/>
        <v>32.333333333333336</v>
      </c>
      <c r="AJ2238" s="47"/>
      <c r="AK2238" s="47" t="s">
        <v>56</v>
      </c>
      <c r="AL2238" s="59" t="s">
        <v>71</v>
      </c>
      <c r="AM2238" s="59">
        <v>2017</v>
      </c>
      <c r="AN2238" s="12" t="s">
        <v>150</v>
      </c>
      <c r="AO2238" s="59" t="s">
        <v>56</v>
      </c>
      <c r="AP2238" s="59"/>
      <c r="AQ2238" s="59" t="s">
        <v>56</v>
      </c>
      <c r="AR2238" s="59" t="s">
        <v>58</v>
      </c>
      <c r="AS2238" s="59" t="s">
        <v>62</v>
      </c>
      <c r="AT2238" s="59"/>
      <c r="AU2238" s="64" t="s">
        <v>2707</v>
      </c>
      <c r="AV2238" s="59"/>
      <c r="AW2238" s="12" t="str">
        <f>B2238&amp;C2238&amp;L2238&amp;M2238&amp;O2238&amp;U2238&amp;AL2238&amp;AM2238</f>
        <v>New ZealandTawharanui Marine ReserveBenthic carnivoresbiomassden11.6666666666667Edgar2017</v>
      </c>
    </row>
    <row r="2239" spans="1:49" ht="14.5" x14ac:dyDescent="0.35">
      <c r="A2239" s="12">
        <v>2238</v>
      </c>
      <c r="B2239" s="59" t="s">
        <v>551</v>
      </c>
      <c r="C2239" s="59" t="s">
        <v>2705</v>
      </c>
      <c r="D2239" s="59" t="s">
        <v>2705</v>
      </c>
      <c r="E2239" s="59"/>
      <c r="F2239" s="13"/>
      <c r="G2239" s="13"/>
      <c r="H2239" s="61" t="s">
        <v>52</v>
      </c>
      <c r="I2239" s="59" t="s">
        <v>53</v>
      </c>
      <c r="J2239" s="47"/>
      <c r="K2239" s="47">
        <v>12.7</v>
      </c>
      <c r="L2239" s="47"/>
      <c r="M2239" s="47" t="s">
        <v>557</v>
      </c>
      <c r="N2239" s="53" t="s">
        <v>98</v>
      </c>
      <c r="O2239" s="47" t="s">
        <v>70</v>
      </c>
      <c r="P2239" s="47"/>
      <c r="Q2239" s="47"/>
      <c r="R2239" s="47"/>
      <c r="S2239" s="47">
        <v>17.575757580000001</v>
      </c>
      <c r="T2239" s="47">
        <v>36.767676770000001</v>
      </c>
      <c r="U2239" s="20">
        <f t="shared" si="151"/>
        <v>2.0919540226157354</v>
      </c>
      <c r="V2239" s="41">
        <f t="shared" si="150"/>
        <v>109.19540226157353</v>
      </c>
      <c r="W2239" s="47"/>
      <c r="X2239" s="47" t="s">
        <v>56</v>
      </c>
      <c r="Y2239" s="17"/>
      <c r="Z2239" s="47" t="s">
        <v>56</v>
      </c>
      <c r="AA2239" s="47"/>
      <c r="AB2239" s="47" t="s">
        <v>57</v>
      </c>
      <c r="AC2239" s="47">
        <v>2012</v>
      </c>
      <c r="AD2239" s="47">
        <v>1</v>
      </c>
      <c r="AE2239" s="47">
        <v>4</v>
      </c>
      <c r="AF2239" s="47"/>
      <c r="AG2239" s="47">
        <v>2006</v>
      </c>
      <c r="AH2239" s="14">
        <f t="shared" si="148"/>
        <v>6</v>
      </c>
      <c r="AI2239" s="17">
        <f t="shared" si="149"/>
        <v>7.333333333333333</v>
      </c>
      <c r="AJ2239" s="47"/>
      <c r="AK2239" s="47" t="s">
        <v>56</v>
      </c>
      <c r="AL2239" s="59" t="s">
        <v>71</v>
      </c>
      <c r="AM2239" s="59">
        <v>2017</v>
      </c>
      <c r="AN2239" s="12" t="s">
        <v>150</v>
      </c>
      <c r="AO2239" s="59" t="s">
        <v>56</v>
      </c>
      <c r="AP2239" s="59"/>
      <c r="AQ2239" s="59" t="s">
        <v>56</v>
      </c>
      <c r="AR2239" s="59" t="s">
        <v>58</v>
      </c>
      <c r="AS2239" s="59" t="s">
        <v>62</v>
      </c>
      <c r="AT2239" s="59"/>
      <c r="AU2239" s="64" t="s">
        <v>2707</v>
      </c>
      <c r="AV2239" s="59"/>
      <c r="AW2239" s="12" t="str">
        <f>B2239&amp;C2239&amp;L2239&amp;M2239&amp;O2239&amp;U2239&amp;AL2239&amp;AM2239</f>
        <v>New ZealandTe Paepae o Aotea Marine ReserveBenthic carnivoresbiomassden2.09195402261574Edgar2017</v>
      </c>
    </row>
    <row r="2240" spans="1:49" ht="14.5" x14ac:dyDescent="0.35">
      <c r="A2240" s="12">
        <v>2239</v>
      </c>
      <c r="B2240" s="59" t="s">
        <v>551</v>
      </c>
      <c r="C2240" s="15" t="s">
        <v>1362</v>
      </c>
      <c r="D2240" s="15" t="s">
        <v>1362</v>
      </c>
      <c r="E2240" s="59"/>
      <c r="F2240" s="16"/>
      <c r="G2240" s="16"/>
      <c r="H2240" s="61" t="s">
        <v>52</v>
      </c>
      <c r="I2240" s="59" t="s">
        <v>53</v>
      </c>
      <c r="J2240" s="17">
        <v>10.6</v>
      </c>
      <c r="K2240" s="47"/>
      <c r="L2240" s="47"/>
      <c r="M2240" s="47" t="s">
        <v>557</v>
      </c>
      <c r="N2240" s="53" t="s">
        <v>98</v>
      </c>
      <c r="O2240" s="47" t="s">
        <v>70</v>
      </c>
      <c r="P2240" s="47"/>
      <c r="Q2240" s="47"/>
      <c r="R2240" s="47"/>
      <c r="S2240" s="47">
        <v>10.90909091</v>
      </c>
      <c r="T2240" s="47">
        <v>18.98989899</v>
      </c>
      <c r="U2240" s="20">
        <f t="shared" si="151"/>
        <v>1.7407407406049384</v>
      </c>
      <c r="V2240" s="41">
        <f t="shared" si="150"/>
        <v>74.074074060493842</v>
      </c>
      <c r="W2240" s="47"/>
      <c r="X2240" s="47" t="s">
        <v>56</v>
      </c>
      <c r="Y2240" s="47"/>
      <c r="Z2240" s="47" t="s">
        <v>56</v>
      </c>
      <c r="AA2240" s="47"/>
      <c r="AB2240" s="47" t="s">
        <v>57</v>
      </c>
      <c r="AC2240" s="47">
        <v>2012</v>
      </c>
      <c r="AD2240" s="47">
        <v>1</v>
      </c>
      <c r="AE2240" s="47">
        <v>4</v>
      </c>
      <c r="AF2240" s="47"/>
      <c r="AG2240" s="47">
        <v>1992</v>
      </c>
      <c r="AH2240" s="14">
        <f t="shared" ref="AH2240:AH2303" si="152">IF(OR(AG2240="NA",AC2240="NA"),"NA",IF(OR(AC2240="",AG2240=""), "", AC2240-AG2240))</f>
        <v>20</v>
      </c>
      <c r="AI2240" s="17">
        <f t="shared" ref="AI2240:AI2303" si="153">IF(AH2240="NA", "NA",IF(OR(AH2240="",AND(AD2240="",AE2240="")), "",AH2240+AD2240+AE2240/12))</f>
        <v>21.333333333333332</v>
      </c>
      <c r="AJ2240" s="47"/>
      <c r="AK2240" s="47" t="s">
        <v>56</v>
      </c>
      <c r="AL2240" s="59" t="s">
        <v>71</v>
      </c>
      <c r="AM2240" s="59">
        <v>2017</v>
      </c>
      <c r="AN2240" s="12" t="s">
        <v>150</v>
      </c>
      <c r="AO2240" s="59" t="s">
        <v>56</v>
      </c>
      <c r="AP2240" s="59"/>
      <c r="AQ2240" s="59" t="s">
        <v>56</v>
      </c>
      <c r="AR2240" s="59" t="s">
        <v>58</v>
      </c>
      <c r="AS2240" s="59" t="s">
        <v>62</v>
      </c>
      <c r="AT2240" s="59"/>
      <c r="AU2240" s="64" t="s">
        <v>2707</v>
      </c>
      <c r="AV2240" s="59"/>
      <c r="AW2240" s="12" t="str">
        <f>B2240&amp;C2240&amp;L2240&amp;M2240&amp;O2240&amp;U2240&amp;AL2240&amp;AM2240</f>
        <v>New ZealandMayor Island (Tuhua) Marine ReserveBenthic carnivoresbiomassden1.74074074060494Edgar2017</v>
      </c>
    </row>
    <row r="2241" spans="1:49" ht="14.5" x14ac:dyDescent="0.35">
      <c r="A2241" s="12">
        <v>2240</v>
      </c>
      <c r="B2241" s="59" t="s">
        <v>551</v>
      </c>
      <c r="C2241" s="59" t="s">
        <v>552</v>
      </c>
      <c r="D2241" s="59" t="s">
        <v>552</v>
      </c>
      <c r="E2241" s="59"/>
      <c r="F2241" s="13"/>
      <c r="G2241" s="13"/>
      <c r="H2241" s="61" t="s">
        <v>52</v>
      </c>
      <c r="I2241" s="59" t="s">
        <v>53</v>
      </c>
      <c r="J2241" s="17">
        <v>5.18</v>
      </c>
      <c r="K2241" s="47"/>
      <c r="L2241" s="47"/>
      <c r="M2241" s="47" t="s">
        <v>558</v>
      </c>
      <c r="N2241" s="53" t="s">
        <v>98</v>
      </c>
      <c r="O2241" s="47" t="s">
        <v>70</v>
      </c>
      <c r="P2241" s="47"/>
      <c r="Q2241" s="47"/>
      <c r="R2241" s="47"/>
      <c r="S2241" s="47">
        <v>13.953488370000001</v>
      </c>
      <c r="T2241" s="47">
        <v>16.74418605</v>
      </c>
      <c r="U2241" s="20">
        <f t="shared" si="151"/>
        <v>1.20000000043</v>
      </c>
      <c r="V2241" s="41">
        <f t="shared" si="150"/>
        <v>20.000000043</v>
      </c>
      <c r="W2241" s="47"/>
      <c r="X2241" s="47" t="s">
        <v>56</v>
      </c>
      <c r="Y2241" s="47"/>
      <c r="Z2241" s="47" t="s">
        <v>56</v>
      </c>
      <c r="AA2241" s="47"/>
      <c r="AB2241" s="47" t="s">
        <v>57</v>
      </c>
      <c r="AC2241" s="47">
        <v>2012</v>
      </c>
      <c r="AD2241" s="47">
        <v>1</v>
      </c>
      <c r="AE2241" s="47">
        <v>4</v>
      </c>
      <c r="AF2241" s="47"/>
      <c r="AG2241" s="17">
        <v>1975</v>
      </c>
      <c r="AH2241" s="14">
        <f t="shared" si="152"/>
        <v>37</v>
      </c>
      <c r="AI2241" s="17">
        <f t="shared" si="153"/>
        <v>38.333333333333336</v>
      </c>
      <c r="AJ2241" s="47"/>
      <c r="AK2241" s="47" t="s">
        <v>56</v>
      </c>
      <c r="AL2241" s="59" t="s">
        <v>71</v>
      </c>
      <c r="AM2241" s="59">
        <v>2017</v>
      </c>
      <c r="AN2241" s="15" t="s">
        <v>150</v>
      </c>
      <c r="AO2241" s="59" t="s">
        <v>56</v>
      </c>
      <c r="AP2241" s="59"/>
      <c r="AQ2241" s="59" t="s">
        <v>56</v>
      </c>
      <c r="AR2241" s="59" t="s">
        <v>58</v>
      </c>
      <c r="AS2241" s="59" t="s">
        <v>62</v>
      </c>
      <c r="AT2241" s="59"/>
      <c r="AU2241" s="64"/>
      <c r="AV2241" s="59"/>
      <c r="AW2241" s="12" t="str">
        <f>B2241&amp;C2241&amp;L2241&amp;M2241&amp;O2241&amp;U2241&amp;AL2241&amp;AM2241</f>
        <v>New ZealandCape Rodney–Okakari Point Marine ReserveHigher carnivoresbiomassden1.20000000043Edgar2017</v>
      </c>
    </row>
    <row r="2242" spans="1:49" ht="14.5" x14ac:dyDescent="0.35">
      <c r="A2242" s="12">
        <v>2241</v>
      </c>
      <c r="B2242" s="59" t="s">
        <v>551</v>
      </c>
      <c r="C2242" s="59" t="s">
        <v>2706</v>
      </c>
      <c r="D2242" s="59" t="s">
        <v>2706</v>
      </c>
      <c r="E2242" s="59"/>
      <c r="F2242" s="16"/>
      <c r="G2242" s="16"/>
      <c r="H2242" s="61" t="s">
        <v>52</v>
      </c>
      <c r="I2242" s="59" t="s">
        <v>53</v>
      </c>
      <c r="J2242" s="47"/>
      <c r="K2242" s="47">
        <v>8.3000000000000007</v>
      </c>
      <c r="L2242" s="47"/>
      <c r="M2242" s="47" t="s">
        <v>558</v>
      </c>
      <c r="N2242" s="53" t="s">
        <v>98</v>
      </c>
      <c r="O2242" s="47" t="s">
        <v>70</v>
      </c>
      <c r="P2242" s="47"/>
      <c r="Q2242" s="47"/>
      <c r="R2242" s="47"/>
      <c r="S2242" s="47">
        <v>0.46511627900000002</v>
      </c>
      <c r="T2242" s="47">
        <v>5.11627907</v>
      </c>
      <c r="U2242" s="20">
        <f t="shared" si="151"/>
        <v>11.000000002149999</v>
      </c>
      <c r="V2242" s="41">
        <f t="shared" ref="V2242:V2305" si="154">IFERROR(IF(U2242 = "", "",(U2242-1)*100),"N/A")</f>
        <v>1000.0000002149999</v>
      </c>
      <c r="W2242" s="47"/>
      <c r="X2242" s="47" t="s">
        <v>56</v>
      </c>
      <c r="Y2242" s="47"/>
      <c r="Z2242" s="47" t="s">
        <v>56</v>
      </c>
      <c r="AA2242" s="47"/>
      <c r="AB2242" s="47" t="s">
        <v>57</v>
      </c>
      <c r="AC2242" s="47">
        <v>2012</v>
      </c>
      <c r="AD2242" s="47">
        <v>1</v>
      </c>
      <c r="AE2242" s="47">
        <v>4</v>
      </c>
      <c r="AF2242" s="47"/>
      <c r="AG2242" s="47">
        <v>1992</v>
      </c>
      <c r="AH2242" s="14">
        <f t="shared" si="152"/>
        <v>20</v>
      </c>
      <c r="AI2242" s="17">
        <f t="shared" si="153"/>
        <v>21.333333333333332</v>
      </c>
      <c r="AJ2242" s="47"/>
      <c r="AK2242" s="47" t="s">
        <v>56</v>
      </c>
      <c r="AL2242" s="59" t="s">
        <v>71</v>
      </c>
      <c r="AM2242" s="59">
        <v>2017</v>
      </c>
      <c r="AN2242" s="15" t="s">
        <v>150</v>
      </c>
      <c r="AO2242" s="59" t="s">
        <v>56</v>
      </c>
      <c r="AP2242" s="59"/>
      <c r="AQ2242" s="59" t="s">
        <v>56</v>
      </c>
      <c r="AR2242" s="59" t="s">
        <v>58</v>
      </c>
      <c r="AS2242" s="59" t="s">
        <v>62</v>
      </c>
      <c r="AT2242" s="59"/>
      <c r="AU2242" s="64" t="s">
        <v>2707</v>
      </c>
      <c r="AV2242" s="59"/>
      <c r="AW2242" s="12" t="str">
        <f>B2242&amp;C2242&amp;L2242&amp;M2242&amp;O2242&amp;U2242&amp;AL2242&amp;AM2242</f>
        <v>New ZealandWhanganui A Hei Marine ReserveHigher carnivoresbiomassden11.00000000215Edgar2017</v>
      </c>
    </row>
    <row r="2243" spans="1:49" ht="14.5" x14ac:dyDescent="0.35">
      <c r="A2243" s="12">
        <v>2242</v>
      </c>
      <c r="B2243" s="59" t="s">
        <v>551</v>
      </c>
      <c r="C2243" s="59" t="s">
        <v>2703</v>
      </c>
      <c r="D2243" s="59" t="s">
        <v>2703</v>
      </c>
      <c r="E2243" s="59"/>
      <c r="F2243" s="16" t="s">
        <v>50</v>
      </c>
      <c r="G2243" s="16" t="s">
        <v>51</v>
      </c>
      <c r="H2243" s="61" t="s">
        <v>52</v>
      </c>
      <c r="I2243" s="59" t="s">
        <v>53</v>
      </c>
      <c r="J2243" s="47"/>
      <c r="K2243" s="47">
        <v>18</v>
      </c>
      <c r="L2243" s="47"/>
      <c r="M2243" s="47" t="s">
        <v>558</v>
      </c>
      <c r="N2243" s="53" t="s">
        <v>98</v>
      </c>
      <c r="O2243" s="47" t="s">
        <v>70</v>
      </c>
      <c r="P2243" s="47"/>
      <c r="Q2243" s="47"/>
      <c r="R2243" s="47"/>
      <c r="S2243" s="47">
        <v>0</v>
      </c>
      <c r="T2243" s="47">
        <v>0.46511627900000002</v>
      </c>
      <c r="U2243" s="20" t="str">
        <f t="shared" si="151"/>
        <v>N/A</v>
      </c>
      <c r="V2243" s="41" t="str">
        <f t="shared" si="154"/>
        <v>N/A</v>
      </c>
      <c r="W2243" s="47"/>
      <c r="X2243" s="47" t="s">
        <v>56</v>
      </c>
      <c r="Y2243" s="17"/>
      <c r="Z2243" s="47" t="s">
        <v>56</v>
      </c>
      <c r="AA2243" s="47"/>
      <c r="AB2243" s="47" t="s">
        <v>57</v>
      </c>
      <c r="AC2243" s="47">
        <v>2012</v>
      </c>
      <c r="AD2243" s="47">
        <v>1</v>
      </c>
      <c r="AE2243" s="47">
        <v>4</v>
      </c>
      <c r="AF2243" s="47"/>
      <c r="AG2243" s="47">
        <v>1981</v>
      </c>
      <c r="AH2243" s="14">
        <f t="shared" si="152"/>
        <v>31</v>
      </c>
      <c r="AI2243" s="17">
        <f t="shared" si="153"/>
        <v>32.333333333333336</v>
      </c>
      <c r="AJ2243" s="47"/>
      <c r="AK2243" s="47" t="s">
        <v>56</v>
      </c>
      <c r="AL2243" s="59" t="s">
        <v>71</v>
      </c>
      <c r="AM2243" s="59">
        <v>2017</v>
      </c>
      <c r="AN2243" s="15" t="s">
        <v>150</v>
      </c>
      <c r="AO2243" s="59" t="s">
        <v>56</v>
      </c>
      <c r="AP2243" s="59"/>
      <c r="AQ2243" s="59" t="s">
        <v>56</v>
      </c>
      <c r="AR2243" s="59" t="s">
        <v>58</v>
      </c>
      <c r="AS2243" s="59" t="s">
        <v>62</v>
      </c>
      <c r="AT2243" s="59"/>
      <c r="AU2243" s="64"/>
      <c r="AV2243" s="59"/>
      <c r="AW2243" s="12" t="str">
        <f>B2243&amp;C2243&amp;L2243&amp;M2243&amp;O2243&amp;U2243&amp;AL2243&amp;AM2243</f>
        <v>New ZealandPoor Knights Islands Marine ReserveHigher carnivoresbiomassdenN/AEdgar2017</v>
      </c>
    </row>
    <row r="2244" spans="1:49" ht="14.5" x14ac:dyDescent="0.35">
      <c r="A2244" s="12">
        <v>2243</v>
      </c>
      <c r="B2244" s="50" t="s">
        <v>551</v>
      </c>
      <c r="C2244" s="59" t="s">
        <v>2704</v>
      </c>
      <c r="D2244" s="59" t="s">
        <v>2704</v>
      </c>
      <c r="E2244" s="59"/>
      <c r="F2244" s="16"/>
      <c r="G2244" s="16"/>
      <c r="H2244" s="61" t="s">
        <v>52</v>
      </c>
      <c r="I2244" s="59" t="s">
        <v>53</v>
      </c>
      <c r="J2244" s="47"/>
      <c r="K2244" s="47">
        <v>4</v>
      </c>
      <c r="L2244" s="47"/>
      <c r="M2244" s="47" t="s">
        <v>558</v>
      </c>
      <c r="N2244" s="53" t="s">
        <v>98</v>
      </c>
      <c r="O2244" s="47" t="s">
        <v>70</v>
      </c>
      <c r="P2244" s="47"/>
      <c r="Q2244" s="47"/>
      <c r="R2244" s="47"/>
      <c r="S2244" s="47">
        <v>0.46511627900000002</v>
      </c>
      <c r="T2244" s="47">
        <v>0</v>
      </c>
      <c r="U2244" s="19">
        <f t="shared" si="151"/>
        <v>0</v>
      </c>
      <c r="V2244" s="41">
        <f t="shared" si="154"/>
        <v>-100</v>
      </c>
      <c r="W2244" s="47"/>
      <c r="X2244" s="47" t="s">
        <v>56</v>
      </c>
      <c r="Y2244" s="17"/>
      <c r="Z2244" s="47" t="s">
        <v>56</v>
      </c>
      <c r="AA2244" s="47"/>
      <c r="AB2244" s="47" t="s">
        <v>57</v>
      </c>
      <c r="AC2244" s="47">
        <v>2012</v>
      </c>
      <c r="AD2244" s="47">
        <v>1</v>
      </c>
      <c r="AE2244" s="47">
        <v>4</v>
      </c>
      <c r="AF2244" s="47"/>
      <c r="AG2244" s="47">
        <v>1981</v>
      </c>
      <c r="AH2244" s="14">
        <f t="shared" si="152"/>
        <v>31</v>
      </c>
      <c r="AI2244" s="17">
        <f t="shared" si="153"/>
        <v>32.333333333333336</v>
      </c>
      <c r="AJ2244" s="47"/>
      <c r="AK2244" s="47" t="s">
        <v>56</v>
      </c>
      <c r="AL2244" s="59" t="s">
        <v>71</v>
      </c>
      <c r="AM2244" s="59">
        <v>2017</v>
      </c>
      <c r="AN2244" s="12" t="s">
        <v>150</v>
      </c>
      <c r="AO2244" s="59" t="s">
        <v>56</v>
      </c>
      <c r="AP2244" s="59"/>
      <c r="AQ2244" s="59" t="s">
        <v>56</v>
      </c>
      <c r="AR2244" s="59" t="s">
        <v>58</v>
      </c>
      <c r="AS2244" s="59" t="s">
        <v>62</v>
      </c>
      <c r="AT2244" s="50"/>
      <c r="AU2244" s="64" t="s">
        <v>2707</v>
      </c>
      <c r="AV2244" s="59"/>
      <c r="AW2244" s="12" t="str">
        <f>B2244&amp;C2244&amp;L2244&amp;M2244&amp;O2244&amp;U2244&amp;AL2244&amp;AM2244</f>
        <v>New ZealandTawharanui Marine ReserveHigher carnivoresbiomassden0Edgar2017</v>
      </c>
    </row>
    <row r="2245" spans="1:49" ht="14.5" x14ac:dyDescent="0.35">
      <c r="A2245" s="12">
        <v>2244</v>
      </c>
      <c r="B2245" s="50" t="s">
        <v>551</v>
      </c>
      <c r="C2245" s="59" t="s">
        <v>2705</v>
      </c>
      <c r="D2245" s="59" t="s">
        <v>2705</v>
      </c>
      <c r="E2245" s="59"/>
      <c r="F2245" s="16"/>
      <c r="G2245" s="16"/>
      <c r="H2245" s="61" t="s">
        <v>52</v>
      </c>
      <c r="I2245" s="59" t="s">
        <v>53</v>
      </c>
      <c r="J2245" s="47"/>
      <c r="K2245" s="47">
        <v>12.7</v>
      </c>
      <c r="L2245" s="47"/>
      <c r="M2245" s="47" t="s">
        <v>558</v>
      </c>
      <c r="N2245" s="53" t="s">
        <v>98</v>
      </c>
      <c r="O2245" s="47" t="s">
        <v>70</v>
      </c>
      <c r="P2245" s="47"/>
      <c r="Q2245" s="47"/>
      <c r="R2245" s="47"/>
      <c r="S2245" s="47">
        <v>0.46511627900000002</v>
      </c>
      <c r="T2245" s="47">
        <v>0.46511627900000002</v>
      </c>
      <c r="U2245" s="19">
        <f t="shared" si="151"/>
        <v>1</v>
      </c>
      <c r="V2245" s="41">
        <f t="shared" si="154"/>
        <v>0</v>
      </c>
      <c r="W2245" s="47"/>
      <c r="X2245" s="47" t="s">
        <v>56</v>
      </c>
      <c r="Y2245" s="17"/>
      <c r="Z2245" s="47" t="s">
        <v>56</v>
      </c>
      <c r="AA2245" s="47"/>
      <c r="AB2245" s="47" t="s">
        <v>57</v>
      </c>
      <c r="AC2245" s="47">
        <v>2012</v>
      </c>
      <c r="AD2245" s="47">
        <v>1</v>
      </c>
      <c r="AE2245" s="47">
        <v>4</v>
      </c>
      <c r="AF2245" s="47"/>
      <c r="AG2245" s="47">
        <v>2006</v>
      </c>
      <c r="AH2245" s="14">
        <f t="shared" si="152"/>
        <v>6</v>
      </c>
      <c r="AI2245" s="17">
        <f t="shared" si="153"/>
        <v>7.333333333333333</v>
      </c>
      <c r="AJ2245" s="47"/>
      <c r="AK2245" s="47" t="s">
        <v>56</v>
      </c>
      <c r="AL2245" s="59" t="s">
        <v>71</v>
      </c>
      <c r="AM2245" s="59">
        <v>2017</v>
      </c>
      <c r="AN2245" s="12" t="s">
        <v>150</v>
      </c>
      <c r="AO2245" s="59" t="s">
        <v>56</v>
      </c>
      <c r="AP2245" s="59"/>
      <c r="AQ2245" s="59" t="s">
        <v>56</v>
      </c>
      <c r="AR2245" s="59" t="s">
        <v>58</v>
      </c>
      <c r="AS2245" s="59" t="s">
        <v>62</v>
      </c>
      <c r="AT2245" s="50"/>
      <c r="AU2245" s="64" t="s">
        <v>2707</v>
      </c>
      <c r="AV2245" s="59"/>
      <c r="AW2245" s="12" t="str">
        <f>B2245&amp;C2245&amp;L2245&amp;M2245&amp;O2245&amp;U2245&amp;AL2245&amp;AM2245</f>
        <v>New ZealandTe Paepae o Aotea Marine ReserveHigher carnivoresbiomassden1Edgar2017</v>
      </c>
    </row>
    <row r="2246" spans="1:49" ht="14.5" x14ac:dyDescent="0.35">
      <c r="A2246" s="12">
        <v>2245</v>
      </c>
      <c r="B2246" s="59" t="s">
        <v>551</v>
      </c>
      <c r="C2246" s="15" t="s">
        <v>1362</v>
      </c>
      <c r="D2246" s="15" t="s">
        <v>1362</v>
      </c>
      <c r="E2246" s="50"/>
      <c r="F2246" s="13"/>
      <c r="G2246" s="13"/>
      <c r="H2246" s="61" t="s">
        <v>52</v>
      </c>
      <c r="I2246" s="59" t="s">
        <v>53</v>
      </c>
      <c r="J2246" s="17">
        <v>10.6</v>
      </c>
      <c r="K2246" s="47"/>
      <c r="L2246" s="47"/>
      <c r="M2246" s="47" t="s">
        <v>558</v>
      </c>
      <c r="N2246" s="53" t="s">
        <v>98</v>
      </c>
      <c r="O2246" s="47" t="s">
        <v>70</v>
      </c>
      <c r="P2246" s="47"/>
      <c r="Q2246" s="47"/>
      <c r="R2246" s="47"/>
      <c r="S2246" s="47">
        <v>0.46511627900000002</v>
      </c>
      <c r="T2246" s="47">
        <v>21.860465120000001</v>
      </c>
      <c r="U2246" s="19">
        <f t="shared" si="151"/>
        <v>47.000000015049999</v>
      </c>
      <c r="V2246" s="41">
        <f t="shared" si="154"/>
        <v>4600.000001505</v>
      </c>
      <c r="W2246" s="18"/>
      <c r="X2246" s="47" t="s">
        <v>56</v>
      </c>
      <c r="Y2246" s="47"/>
      <c r="Z2246" s="47" t="s">
        <v>56</v>
      </c>
      <c r="AA2246" s="47"/>
      <c r="AB2246" s="47" t="s">
        <v>57</v>
      </c>
      <c r="AC2246" s="47">
        <v>2012</v>
      </c>
      <c r="AD2246" s="47">
        <v>1</v>
      </c>
      <c r="AE2246" s="47">
        <v>4</v>
      </c>
      <c r="AF2246" s="47"/>
      <c r="AG2246" s="47">
        <v>1992</v>
      </c>
      <c r="AH2246" s="14">
        <f t="shared" si="152"/>
        <v>20</v>
      </c>
      <c r="AI2246" s="17">
        <f t="shared" si="153"/>
        <v>21.333333333333332</v>
      </c>
      <c r="AJ2246" s="47"/>
      <c r="AK2246" s="47" t="s">
        <v>56</v>
      </c>
      <c r="AL2246" s="59" t="s">
        <v>71</v>
      </c>
      <c r="AM2246" s="59">
        <v>2017</v>
      </c>
      <c r="AN2246" s="15" t="s">
        <v>150</v>
      </c>
      <c r="AO2246" s="59" t="s">
        <v>56</v>
      </c>
      <c r="AP2246" s="59"/>
      <c r="AQ2246" s="59" t="s">
        <v>56</v>
      </c>
      <c r="AR2246" s="59" t="s">
        <v>58</v>
      </c>
      <c r="AS2246" s="59" t="s">
        <v>62</v>
      </c>
      <c r="AT2246" s="50"/>
      <c r="AU2246" s="64" t="s">
        <v>2707</v>
      </c>
      <c r="AV2246" s="59"/>
      <c r="AW2246" s="12" t="str">
        <f>B2246&amp;C2246&amp;L2246&amp;M2246&amp;O2246&amp;U2246&amp;AL2246&amp;AM2246</f>
        <v>New ZealandMayor Island (Tuhua) Marine ReserveHigher carnivoresbiomassden47.00000001505Edgar2017</v>
      </c>
    </row>
    <row r="2247" spans="1:49" ht="14.5" x14ac:dyDescent="0.35">
      <c r="A2247" s="12">
        <v>2246</v>
      </c>
      <c r="B2247" s="59" t="s">
        <v>551</v>
      </c>
      <c r="C2247" s="59" t="s">
        <v>552</v>
      </c>
      <c r="D2247" s="59" t="s">
        <v>552</v>
      </c>
      <c r="E2247" s="50"/>
      <c r="F2247" s="13"/>
      <c r="G2247" s="13"/>
      <c r="H2247" s="61" t="s">
        <v>52</v>
      </c>
      <c r="I2247" s="59" t="s">
        <v>53</v>
      </c>
      <c r="J2247" s="17">
        <v>5.18</v>
      </c>
      <c r="K2247" s="47"/>
      <c r="L2247" s="47"/>
      <c r="M2247" s="47" t="s">
        <v>559</v>
      </c>
      <c r="N2247" s="53" t="s">
        <v>98</v>
      </c>
      <c r="O2247" s="47" t="s">
        <v>70</v>
      </c>
      <c r="P2247" s="47"/>
      <c r="Q2247" s="47"/>
      <c r="R2247" s="47"/>
      <c r="S2247" s="47">
        <v>0</v>
      </c>
      <c r="T2247" s="47">
        <v>8.125</v>
      </c>
      <c r="U2247" s="19" t="str">
        <f t="shared" si="151"/>
        <v>N/A</v>
      </c>
      <c r="V2247" s="41" t="str">
        <f t="shared" si="154"/>
        <v>N/A</v>
      </c>
      <c r="W2247" s="18"/>
      <c r="X2247" s="47" t="s">
        <v>56</v>
      </c>
      <c r="Y2247" s="47"/>
      <c r="Z2247" s="47" t="s">
        <v>56</v>
      </c>
      <c r="AA2247" s="47"/>
      <c r="AB2247" s="47" t="s">
        <v>57</v>
      </c>
      <c r="AC2247" s="47">
        <v>2012</v>
      </c>
      <c r="AD2247" s="47">
        <v>1</v>
      </c>
      <c r="AE2247" s="47">
        <v>4</v>
      </c>
      <c r="AF2247" s="47"/>
      <c r="AG2247" s="17">
        <v>1975</v>
      </c>
      <c r="AH2247" s="14">
        <f t="shared" si="152"/>
        <v>37</v>
      </c>
      <c r="AI2247" s="17">
        <f t="shared" si="153"/>
        <v>38.333333333333336</v>
      </c>
      <c r="AJ2247" s="47"/>
      <c r="AK2247" s="47" t="s">
        <v>56</v>
      </c>
      <c r="AL2247" s="59" t="s">
        <v>71</v>
      </c>
      <c r="AM2247" s="59">
        <v>2017</v>
      </c>
      <c r="AN2247" s="15" t="s">
        <v>150</v>
      </c>
      <c r="AO2247" s="59" t="s">
        <v>56</v>
      </c>
      <c r="AP2247" s="59"/>
      <c r="AQ2247" s="59" t="s">
        <v>56</v>
      </c>
      <c r="AR2247" s="59" t="s">
        <v>58</v>
      </c>
      <c r="AS2247" s="59" t="s">
        <v>62</v>
      </c>
      <c r="AT2247" s="50"/>
      <c r="AU2247" s="64"/>
      <c r="AV2247" s="59"/>
      <c r="AW2247" s="12" t="str">
        <f>B2247&amp;C2247&amp;L2247&amp;M2247&amp;O2247&amp;U2247&amp;AL2247&amp;AM2247</f>
        <v>New ZealandCape Rodney–Okakari Point Marine ReserveHerbivoresbiomassdenN/AEdgar2017</v>
      </c>
    </row>
    <row r="2248" spans="1:49" ht="14.5" x14ac:dyDescent="0.35">
      <c r="A2248" s="12">
        <v>2247</v>
      </c>
      <c r="B2248" s="59" t="s">
        <v>551</v>
      </c>
      <c r="C2248" s="59" t="s">
        <v>2706</v>
      </c>
      <c r="D2248" s="59" t="s">
        <v>2706</v>
      </c>
      <c r="E2248" s="50"/>
      <c r="F2248" s="13"/>
      <c r="G2248" s="13"/>
      <c r="H2248" s="61" t="s">
        <v>52</v>
      </c>
      <c r="I2248" s="59" t="s">
        <v>53</v>
      </c>
      <c r="J2248" s="47"/>
      <c r="K2248" s="47">
        <v>8.3000000000000007</v>
      </c>
      <c r="L2248" s="47"/>
      <c r="M2248" s="47" t="s">
        <v>559</v>
      </c>
      <c r="N2248" s="53" t="s">
        <v>98</v>
      </c>
      <c r="O2248" s="47" t="s">
        <v>70</v>
      </c>
      <c r="P2248" s="47"/>
      <c r="Q2248" s="47"/>
      <c r="R2248" s="47"/>
      <c r="S2248" s="47">
        <v>14.375</v>
      </c>
      <c r="T2248" s="47">
        <v>45</v>
      </c>
      <c r="U2248" s="19">
        <f t="shared" si="151"/>
        <v>3.1304347826086958</v>
      </c>
      <c r="V2248" s="41">
        <f t="shared" si="154"/>
        <v>213.04347826086959</v>
      </c>
      <c r="W2248" s="18"/>
      <c r="X2248" s="47" t="s">
        <v>56</v>
      </c>
      <c r="Y2248" s="47"/>
      <c r="Z2248" s="47" t="s">
        <v>56</v>
      </c>
      <c r="AA2248" s="47"/>
      <c r="AB2248" s="47" t="s">
        <v>57</v>
      </c>
      <c r="AC2248" s="47">
        <v>2012</v>
      </c>
      <c r="AD2248" s="47">
        <v>1</v>
      </c>
      <c r="AE2248" s="47">
        <v>4</v>
      </c>
      <c r="AF2248" s="47"/>
      <c r="AG2248" s="47">
        <v>1992</v>
      </c>
      <c r="AH2248" s="14">
        <f t="shared" si="152"/>
        <v>20</v>
      </c>
      <c r="AI2248" s="17">
        <f t="shared" si="153"/>
        <v>21.333333333333332</v>
      </c>
      <c r="AJ2248" s="47"/>
      <c r="AK2248" s="47" t="s">
        <v>56</v>
      </c>
      <c r="AL2248" s="59" t="s">
        <v>71</v>
      </c>
      <c r="AM2248" s="59">
        <v>2017</v>
      </c>
      <c r="AN2248" s="15" t="s">
        <v>150</v>
      </c>
      <c r="AO2248" s="59" t="s">
        <v>56</v>
      </c>
      <c r="AP2248" s="59"/>
      <c r="AQ2248" s="59" t="s">
        <v>56</v>
      </c>
      <c r="AR2248" s="59" t="s">
        <v>58</v>
      </c>
      <c r="AS2248" s="59" t="s">
        <v>62</v>
      </c>
      <c r="AT2248" s="50"/>
      <c r="AU2248" s="64" t="s">
        <v>2707</v>
      </c>
      <c r="AV2248" s="59"/>
      <c r="AW2248" s="12" t="str">
        <f>B2248&amp;C2248&amp;L2248&amp;M2248&amp;O2248&amp;U2248&amp;AL2248&amp;AM2248</f>
        <v>New ZealandWhanganui A Hei Marine ReserveHerbivoresbiomassden3.1304347826087Edgar2017</v>
      </c>
    </row>
    <row r="2249" spans="1:49" ht="14.5" x14ac:dyDescent="0.35">
      <c r="A2249" s="12">
        <v>2248</v>
      </c>
      <c r="B2249" s="59" t="s">
        <v>551</v>
      </c>
      <c r="C2249" s="59" t="s">
        <v>2703</v>
      </c>
      <c r="D2249" s="59" t="s">
        <v>2703</v>
      </c>
      <c r="E2249" s="50"/>
      <c r="F2249" s="13" t="s">
        <v>50</v>
      </c>
      <c r="G2249" s="13" t="s">
        <v>51</v>
      </c>
      <c r="H2249" s="61" t="s">
        <v>52</v>
      </c>
      <c r="I2249" s="59" t="s">
        <v>53</v>
      </c>
      <c r="J2249" s="47"/>
      <c r="K2249" s="47">
        <v>18</v>
      </c>
      <c r="L2249" s="47"/>
      <c r="M2249" s="47" t="s">
        <v>559</v>
      </c>
      <c r="N2249" s="53" t="s">
        <v>98</v>
      </c>
      <c r="O2249" s="47" t="s">
        <v>70</v>
      </c>
      <c r="P2249" s="47"/>
      <c r="Q2249" s="47"/>
      <c r="R2249" s="47"/>
      <c r="S2249" s="47">
        <v>5.625</v>
      </c>
      <c r="T2249" s="47">
        <v>6.875</v>
      </c>
      <c r="U2249" s="19">
        <f t="shared" si="151"/>
        <v>1.2222222222222223</v>
      </c>
      <c r="V2249" s="41">
        <f t="shared" si="154"/>
        <v>22.222222222222232</v>
      </c>
      <c r="W2249" s="18"/>
      <c r="X2249" s="47" t="s">
        <v>56</v>
      </c>
      <c r="Y2249" s="17"/>
      <c r="Z2249" s="47" t="s">
        <v>56</v>
      </c>
      <c r="AA2249" s="47"/>
      <c r="AB2249" s="47" t="s">
        <v>57</v>
      </c>
      <c r="AC2249" s="47">
        <v>2012</v>
      </c>
      <c r="AD2249" s="47">
        <v>1</v>
      </c>
      <c r="AE2249" s="47">
        <v>4</v>
      </c>
      <c r="AF2249" s="47"/>
      <c r="AG2249" s="47">
        <v>1981</v>
      </c>
      <c r="AH2249" s="14">
        <f t="shared" si="152"/>
        <v>31</v>
      </c>
      <c r="AI2249" s="17">
        <f t="shared" si="153"/>
        <v>32.333333333333336</v>
      </c>
      <c r="AJ2249" s="47"/>
      <c r="AK2249" s="47" t="s">
        <v>56</v>
      </c>
      <c r="AL2249" s="59" t="s">
        <v>71</v>
      </c>
      <c r="AM2249" s="59">
        <v>2017</v>
      </c>
      <c r="AN2249" s="15" t="s">
        <v>150</v>
      </c>
      <c r="AO2249" s="59" t="s">
        <v>56</v>
      </c>
      <c r="AP2249" s="59"/>
      <c r="AQ2249" s="59" t="s">
        <v>56</v>
      </c>
      <c r="AR2249" s="59" t="s">
        <v>58</v>
      </c>
      <c r="AS2249" s="59" t="s">
        <v>62</v>
      </c>
      <c r="AT2249" s="50"/>
      <c r="AU2249" s="64"/>
      <c r="AV2249" s="59"/>
      <c r="AW2249" s="12" t="str">
        <f>B2249&amp;C2249&amp;L2249&amp;M2249&amp;O2249&amp;U2249&amp;AL2249&amp;AM2249</f>
        <v>New ZealandPoor Knights Islands Marine ReserveHerbivoresbiomassden1.22222222222222Edgar2017</v>
      </c>
    </row>
    <row r="2250" spans="1:49" ht="14.5" x14ac:dyDescent="0.35">
      <c r="A2250" s="12">
        <v>2249</v>
      </c>
      <c r="B2250" s="59" t="s">
        <v>551</v>
      </c>
      <c r="C2250" s="59" t="s">
        <v>2704</v>
      </c>
      <c r="D2250" s="59" t="s">
        <v>2704</v>
      </c>
      <c r="E2250" s="50"/>
      <c r="F2250" s="13"/>
      <c r="G2250" s="13"/>
      <c r="H2250" s="61" t="s">
        <v>52</v>
      </c>
      <c r="I2250" s="59" t="s">
        <v>53</v>
      </c>
      <c r="J2250" s="47"/>
      <c r="K2250" s="47">
        <v>4</v>
      </c>
      <c r="L2250" s="47"/>
      <c r="M2250" s="47" t="s">
        <v>559</v>
      </c>
      <c r="N2250" s="53" t="s">
        <v>98</v>
      </c>
      <c r="O2250" s="47" t="s">
        <v>70</v>
      </c>
      <c r="P2250" s="47"/>
      <c r="Q2250" s="47"/>
      <c r="R2250" s="47"/>
      <c r="S2250" s="47">
        <v>0</v>
      </c>
      <c r="T2250" s="47">
        <v>0.625</v>
      </c>
      <c r="U2250" s="19" t="str">
        <f t="shared" si="151"/>
        <v>N/A</v>
      </c>
      <c r="V2250" s="41" t="str">
        <f t="shared" si="154"/>
        <v>N/A</v>
      </c>
      <c r="W2250" s="18"/>
      <c r="X2250" s="47" t="s">
        <v>56</v>
      </c>
      <c r="Y2250" s="17"/>
      <c r="Z2250" s="47" t="s">
        <v>56</v>
      </c>
      <c r="AA2250" s="47"/>
      <c r="AB2250" s="47" t="s">
        <v>57</v>
      </c>
      <c r="AC2250" s="47">
        <v>2012</v>
      </c>
      <c r="AD2250" s="47">
        <v>1</v>
      </c>
      <c r="AE2250" s="47">
        <v>4</v>
      </c>
      <c r="AF2250" s="47"/>
      <c r="AG2250" s="47">
        <v>1981</v>
      </c>
      <c r="AH2250" s="14">
        <f t="shared" si="152"/>
        <v>31</v>
      </c>
      <c r="AI2250" s="17">
        <f t="shared" si="153"/>
        <v>32.333333333333336</v>
      </c>
      <c r="AJ2250" s="47"/>
      <c r="AK2250" s="47" t="s">
        <v>56</v>
      </c>
      <c r="AL2250" s="59" t="s">
        <v>71</v>
      </c>
      <c r="AM2250" s="59">
        <v>2017</v>
      </c>
      <c r="AN2250" s="12" t="s">
        <v>150</v>
      </c>
      <c r="AO2250" s="59" t="s">
        <v>56</v>
      </c>
      <c r="AP2250" s="59"/>
      <c r="AQ2250" s="59" t="s">
        <v>56</v>
      </c>
      <c r="AR2250" s="59" t="s">
        <v>58</v>
      </c>
      <c r="AS2250" s="59" t="s">
        <v>62</v>
      </c>
      <c r="AT2250" s="50"/>
      <c r="AU2250" s="64" t="s">
        <v>2707</v>
      </c>
      <c r="AV2250" s="59"/>
      <c r="AW2250" s="12" t="str">
        <f>B2250&amp;C2250&amp;L2250&amp;M2250&amp;O2250&amp;U2250&amp;AL2250&amp;AM2250</f>
        <v>New ZealandTawharanui Marine ReserveHerbivoresbiomassdenN/AEdgar2017</v>
      </c>
    </row>
    <row r="2251" spans="1:49" ht="14.5" x14ac:dyDescent="0.35">
      <c r="A2251" s="12">
        <v>2250</v>
      </c>
      <c r="B2251" s="59" t="s">
        <v>551</v>
      </c>
      <c r="C2251" s="59" t="s">
        <v>2705</v>
      </c>
      <c r="D2251" s="59" t="s">
        <v>2705</v>
      </c>
      <c r="E2251" s="50"/>
      <c r="F2251" s="13"/>
      <c r="G2251" s="13"/>
      <c r="H2251" s="61" t="s">
        <v>52</v>
      </c>
      <c r="I2251" s="59" t="s">
        <v>53</v>
      </c>
      <c r="J2251" s="47"/>
      <c r="K2251" s="47">
        <v>12.7</v>
      </c>
      <c r="L2251" s="47"/>
      <c r="M2251" s="47" t="s">
        <v>559</v>
      </c>
      <c r="N2251" s="53" t="s">
        <v>98</v>
      </c>
      <c r="O2251" s="47" t="s">
        <v>70</v>
      </c>
      <c r="P2251" s="47"/>
      <c r="Q2251" s="47"/>
      <c r="R2251" s="47"/>
      <c r="S2251" s="47">
        <v>28.125</v>
      </c>
      <c r="T2251" s="47">
        <v>3.75</v>
      </c>
      <c r="U2251" s="19">
        <f t="shared" si="151"/>
        <v>0.13333333333333333</v>
      </c>
      <c r="V2251" s="41">
        <f t="shared" si="154"/>
        <v>-86.666666666666671</v>
      </c>
      <c r="W2251" s="18"/>
      <c r="X2251" s="47" t="s">
        <v>56</v>
      </c>
      <c r="Y2251" s="17"/>
      <c r="Z2251" s="47" t="s">
        <v>56</v>
      </c>
      <c r="AA2251" s="47"/>
      <c r="AB2251" s="47" t="s">
        <v>57</v>
      </c>
      <c r="AC2251" s="47">
        <v>2012</v>
      </c>
      <c r="AD2251" s="47">
        <v>1</v>
      </c>
      <c r="AE2251" s="47">
        <v>4</v>
      </c>
      <c r="AF2251" s="47"/>
      <c r="AG2251" s="47">
        <v>2006</v>
      </c>
      <c r="AH2251" s="14">
        <f t="shared" si="152"/>
        <v>6</v>
      </c>
      <c r="AI2251" s="17">
        <f t="shared" si="153"/>
        <v>7.333333333333333</v>
      </c>
      <c r="AJ2251" s="47"/>
      <c r="AK2251" s="47" t="s">
        <v>56</v>
      </c>
      <c r="AL2251" s="59" t="s">
        <v>71</v>
      </c>
      <c r="AM2251" s="59">
        <v>2017</v>
      </c>
      <c r="AN2251" s="12" t="s">
        <v>150</v>
      </c>
      <c r="AO2251" s="59" t="s">
        <v>56</v>
      </c>
      <c r="AP2251" s="59"/>
      <c r="AQ2251" s="59" t="s">
        <v>56</v>
      </c>
      <c r="AR2251" s="59" t="s">
        <v>58</v>
      </c>
      <c r="AS2251" s="59" t="s">
        <v>62</v>
      </c>
      <c r="AT2251" s="50"/>
      <c r="AU2251" s="64" t="s">
        <v>2707</v>
      </c>
      <c r="AV2251" s="59"/>
      <c r="AW2251" s="12" t="str">
        <f>B2251&amp;C2251&amp;L2251&amp;M2251&amp;O2251&amp;U2251&amp;AL2251&amp;AM2251</f>
        <v>New ZealandTe Paepae o Aotea Marine ReserveHerbivoresbiomassden0.133333333333333Edgar2017</v>
      </c>
    </row>
    <row r="2252" spans="1:49" ht="14.5" x14ac:dyDescent="0.35">
      <c r="A2252" s="12">
        <v>2251</v>
      </c>
      <c r="B2252" s="59" t="s">
        <v>551</v>
      </c>
      <c r="C2252" s="15" t="s">
        <v>1362</v>
      </c>
      <c r="D2252" s="15" t="s">
        <v>1362</v>
      </c>
      <c r="E2252" s="59"/>
      <c r="F2252" s="13"/>
      <c r="G2252" s="13"/>
      <c r="H2252" s="61" t="s">
        <v>52</v>
      </c>
      <c r="I2252" s="59" t="s">
        <v>53</v>
      </c>
      <c r="J2252" s="17">
        <v>10.6</v>
      </c>
      <c r="K2252" s="47"/>
      <c r="L2252" s="47"/>
      <c r="M2252" s="47" t="s">
        <v>559</v>
      </c>
      <c r="N2252" s="53" t="s">
        <v>98</v>
      </c>
      <c r="O2252" s="47" t="s">
        <v>70</v>
      </c>
      <c r="P2252" s="47"/>
      <c r="Q2252" s="47"/>
      <c r="R2252" s="47"/>
      <c r="S2252" s="47">
        <v>8.75</v>
      </c>
      <c r="T2252" s="47">
        <v>20.625</v>
      </c>
      <c r="U2252" s="20">
        <f t="shared" si="151"/>
        <v>2.3571428571428572</v>
      </c>
      <c r="V2252" s="41">
        <f t="shared" si="154"/>
        <v>135.71428571428572</v>
      </c>
      <c r="W2252" s="47"/>
      <c r="X2252" s="47" t="s">
        <v>56</v>
      </c>
      <c r="Y2252" s="47"/>
      <c r="Z2252" s="47" t="s">
        <v>56</v>
      </c>
      <c r="AA2252" s="47"/>
      <c r="AB2252" s="47" t="s">
        <v>57</v>
      </c>
      <c r="AC2252" s="47">
        <v>2012</v>
      </c>
      <c r="AD2252" s="47">
        <v>1</v>
      </c>
      <c r="AE2252" s="47">
        <v>4</v>
      </c>
      <c r="AF2252" s="47"/>
      <c r="AG2252" s="47">
        <v>1992</v>
      </c>
      <c r="AH2252" s="14">
        <f t="shared" si="152"/>
        <v>20</v>
      </c>
      <c r="AI2252" s="17">
        <f t="shared" si="153"/>
        <v>21.333333333333332</v>
      </c>
      <c r="AJ2252" s="47"/>
      <c r="AK2252" s="47" t="s">
        <v>56</v>
      </c>
      <c r="AL2252" s="59" t="s">
        <v>71</v>
      </c>
      <c r="AM2252" s="59">
        <v>2017</v>
      </c>
      <c r="AN2252" s="12" t="s">
        <v>150</v>
      </c>
      <c r="AO2252" s="59" t="s">
        <v>56</v>
      </c>
      <c r="AP2252" s="59"/>
      <c r="AQ2252" s="59" t="s">
        <v>56</v>
      </c>
      <c r="AR2252" s="59" t="s">
        <v>58</v>
      </c>
      <c r="AS2252" s="59" t="s">
        <v>62</v>
      </c>
      <c r="AT2252" s="59"/>
      <c r="AU2252" s="64" t="s">
        <v>2707</v>
      </c>
      <c r="AV2252" s="59"/>
      <c r="AW2252" s="12" t="str">
        <f>B2252&amp;C2252&amp;L2252&amp;M2252&amp;O2252&amp;U2252&amp;AL2252&amp;AM2252</f>
        <v>New ZealandMayor Island (Tuhua) Marine ReserveHerbivoresbiomassden2.35714285714286Edgar2017</v>
      </c>
    </row>
    <row r="2253" spans="1:49" ht="14.5" x14ac:dyDescent="0.35">
      <c r="A2253" s="12">
        <v>2252</v>
      </c>
      <c r="B2253" s="59" t="s">
        <v>551</v>
      </c>
      <c r="C2253" s="59" t="s">
        <v>552</v>
      </c>
      <c r="D2253" s="59" t="s">
        <v>552</v>
      </c>
      <c r="E2253" s="59"/>
      <c r="F2253" s="13"/>
      <c r="G2253" s="13"/>
      <c r="H2253" s="61" t="s">
        <v>52</v>
      </c>
      <c r="I2253" s="59" t="s">
        <v>53</v>
      </c>
      <c r="J2253" s="17">
        <v>5.18</v>
      </c>
      <c r="K2253" s="47"/>
      <c r="L2253" s="47"/>
      <c r="M2253" s="47" t="s">
        <v>560</v>
      </c>
      <c r="N2253" s="53" t="s">
        <v>98</v>
      </c>
      <c r="O2253" s="47" t="s">
        <v>70</v>
      </c>
      <c r="P2253" s="47"/>
      <c r="Q2253" s="47"/>
      <c r="R2253" s="47"/>
      <c r="S2253" s="47">
        <v>0</v>
      </c>
      <c r="T2253" s="47">
        <v>0</v>
      </c>
      <c r="U2253" s="20" t="str">
        <f t="shared" si="151"/>
        <v>N/A</v>
      </c>
      <c r="V2253" s="41" t="str">
        <f t="shared" si="154"/>
        <v>N/A</v>
      </c>
      <c r="W2253" s="47"/>
      <c r="X2253" s="47" t="s">
        <v>56</v>
      </c>
      <c r="Y2253" s="47"/>
      <c r="Z2253" s="47" t="s">
        <v>56</v>
      </c>
      <c r="AA2253" s="47"/>
      <c r="AB2253" s="47" t="s">
        <v>57</v>
      </c>
      <c r="AC2253" s="47">
        <v>2012</v>
      </c>
      <c r="AD2253" s="47">
        <v>1</v>
      </c>
      <c r="AE2253" s="47">
        <v>4</v>
      </c>
      <c r="AF2253" s="47"/>
      <c r="AG2253" s="17">
        <v>1975</v>
      </c>
      <c r="AH2253" s="14">
        <f t="shared" si="152"/>
        <v>37</v>
      </c>
      <c r="AI2253" s="17">
        <f t="shared" si="153"/>
        <v>38.333333333333336</v>
      </c>
      <c r="AJ2253" s="47"/>
      <c r="AK2253" s="47" t="s">
        <v>56</v>
      </c>
      <c r="AL2253" s="59" t="s">
        <v>71</v>
      </c>
      <c r="AM2253" s="59">
        <v>2017</v>
      </c>
      <c r="AN2253" s="12" t="s">
        <v>150</v>
      </c>
      <c r="AO2253" s="59" t="s">
        <v>56</v>
      </c>
      <c r="AP2253" s="59"/>
      <c r="AQ2253" s="59" t="s">
        <v>56</v>
      </c>
      <c r="AR2253" s="59" t="s">
        <v>58</v>
      </c>
      <c r="AS2253" s="59" t="s">
        <v>62</v>
      </c>
      <c r="AT2253" s="59"/>
      <c r="AU2253" s="64"/>
      <c r="AV2253" s="59"/>
      <c r="AW2253" s="12" t="str">
        <f>B2253&amp;C2253&amp;L2253&amp;M2253&amp;O2253&amp;U2253&amp;AL2253&amp;AM2253</f>
        <v>New ZealandCape Rodney–Okakari Point Marine ReservePlanktivoresbiomassdenN/AEdgar2017</v>
      </c>
    </row>
    <row r="2254" spans="1:49" ht="14.5" x14ac:dyDescent="0.35">
      <c r="A2254" s="12">
        <v>2253</v>
      </c>
      <c r="B2254" s="59" t="s">
        <v>551</v>
      </c>
      <c r="C2254" s="59" t="s">
        <v>2706</v>
      </c>
      <c r="D2254" s="59" t="s">
        <v>2706</v>
      </c>
      <c r="E2254" s="59"/>
      <c r="F2254" s="13"/>
      <c r="G2254" s="13"/>
      <c r="H2254" s="61" t="s">
        <v>52</v>
      </c>
      <c r="I2254" s="59" t="s">
        <v>53</v>
      </c>
      <c r="J2254" s="47"/>
      <c r="K2254" s="47">
        <v>8.3000000000000007</v>
      </c>
      <c r="L2254" s="47"/>
      <c r="M2254" s="47" t="s">
        <v>560</v>
      </c>
      <c r="N2254" s="53" t="s">
        <v>98</v>
      </c>
      <c r="O2254" s="47" t="s">
        <v>70</v>
      </c>
      <c r="P2254" s="47"/>
      <c r="Q2254" s="47"/>
      <c r="R2254" s="47"/>
      <c r="S2254" s="47">
        <v>14.14141414</v>
      </c>
      <c r="T2254" s="47">
        <v>10.1010101</v>
      </c>
      <c r="U2254" s="20">
        <f t="shared" si="151"/>
        <v>0.7142857142857143</v>
      </c>
      <c r="V2254" s="41">
        <f t="shared" si="154"/>
        <v>-28.571428571428569</v>
      </c>
      <c r="W2254" s="47"/>
      <c r="X2254" s="47" t="s">
        <v>56</v>
      </c>
      <c r="Y2254" s="47"/>
      <c r="Z2254" s="47" t="s">
        <v>56</v>
      </c>
      <c r="AA2254" s="47"/>
      <c r="AB2254" s="47" t="s">
        <v>57</v>
      </c>
      <c r="AC2254" s="47">
        <v>2012</v>
      </c>
      <c r="AD2254" s="47">
        <v>1</v>
      </c>
      <c r="AE2254" s="47">
        <v>4</v>
      </c>
      <c r="AF2254" s="47"/>
      <c r="AG2254" s="47">
        <v>1992</v>
      </c>
      <c r="AH2254" s="14">
        <f t="shared" si="152"/>
        <v>20</v>
      </c>
      <c r="AI2254" s="17">
        <f t="shared" si="153"/>
        <v>21.333333333333332</v>
      </c>
      <c r="AJ2254" s="47"/>
      <c r="AK2254" s="47" t="s">
        <v>56</v>
      </c>
      <c r="AL2254" s="59" t="s">
        <v>71</v>
      </c>
      <c r="AM2254" s="59">
        <v>2017</v>
      </c>
      <c r="AN2254" s="12" t="s">
        <v>150</v>
      </c>
      <c r="AO2254" s="59" t="s">
        <v>56</v>
      </c>
      <c r="AP2254" s="59"/>
      <c r="AQ2254" s="59" t="s">
        <v>56</v>
      </c>
      <c r="AR2254" s="59" t="s">
        <v>58</v>
      </c>
      <c r="AS2254" s="59" t="s">
        <v>62</v>
      </c>
      <c r="AT2254" s="59"/>
      <c r="AU2254" s="64" t="s">
        <v>2707</v>
      </c>
      <c r="AV2254" s="59"/>
      <c r="AW2254" s="12" t="str">
        <f>B2254&amp;C2254&amp;L2254&amp;M2254&amp;O2254&amp;U2254&amp;AL2254&amp;AM2254</f>
        <v>New ZealandWhanganui A Hei Marine ReservePlanktivoresbiomassden0.714285714285714Edgar2017</v>
      </c>
    </row>
    <row r="2255" spans="1:49" ht="14.5" x14ac:dyDescent="0.35">
      <c r="A2255" s="12">
        <v>2254</v>
      </c>
      <c r="B2255" s="59" t="s">
        <v>551</v>
      </c>
      <c r="C2255" s="59" t="s">
        <v>2703</v>
      </c>
      <c r="D2255" s="59" t="s">
        <v>2703</v>
      </c>
      <c r="E2255" s="50"/>
      <c r="F2255" s="13" t="s">
        <v>50</v>
      </c>
      <c r="G2255" s="13" t="s">
        <v>51</v>
      </c>
      <c r="H2255" s="61" t="s">
        <v>52</v>
      </c>
      <c r="I2255" s="59" t="s">
        <v>53</v>
      </c>
      <c r="J2255" s="47"/>
      <c r="K2255" s="47">
        <v>18</v>
      </c>
      <c r="L2255" s="47"/>
      <c r="M2255" s="47" t="s">
        <v>560</v>
      </c>
      <c r="N2255" s="53" t="s">
        <v>98</v>
      </c>
      <c r="O2255" s="47" t="s">
        <v>70</v>
      </c>
      <c r="P2255" s="47"/>
      <c r="Q2255" s="47"/>
      <c r="R2255" s="47"/>
      <c r="S2255" s="47">
        <v>111.1111111</v>
      </c>
      <c r="T2255" s="47">
        <v>64.646464649999999</v>
      </c>
      <c r="U2255" s="19">
        <f t="shared" si="151"/>
        <v>0.5818181819081818</v>
      </c>
      <c r="V2255" s="41">
        <f t="shared" si="154"/>
        <v>-41.818181809181823</v>
      </c>
      <c r="W2255" s="18"/>
      <c r="X2255" s="47" t="s">
        <v>56</v>
      </c>
      <c r="Y2255" s="17"/>
      <c r="Z2255" s="47" t="s">
        <v>56</v>
      </c>
      <c r="AA2255" s="47"/>
      <c r="AB2255" s="47" t="s">
        <v>57</v>
      </c>
      <c r="AC2255" s="47">
        <v>2012</v>
      </c>
      <c r="AD2255" s="47">
        <v>1</v>
      </c>
      <c r="AE2255" s="47">
        <v>4</v>
      </c>
      <c r="AF2255" s="47"/>
      <c r="AG2255" s="47">
        <v>1981</v>
      </c>
      <c r="AH2255" s="14">
        <f t="shared" si="152"/>
        <v>31</v>
      </c>
      <c r="AI2255" s="17">
        <f t="shared" si="153"/>
        <v>32.333333333333336</v>
      </c>
      <c r="AJ2255" s="47"/>
      <c r="AK2255" s="47" t="s">
        <v>56</v>
      </c>
      <c r="AL2255" s="59" t="s">
        <v>71</v>
      </c>
      <c r="AM2255" s="59">
        <v>2017</v>
      </c>
      <c r="AN2255" s="12" t="s">
        <v>150</v>
      </c>
      <c r="AO2255" s="59" t="s">
        <v>56</v>
      </c>
      <c r="AP2255" s="59"/>
      <c r="AQ2255" s="59" t="s">
        <v>56</v>
      </c>
      <c r="AR2255" s="59" t="s">
        <v>58</v>
      </c>
      <c r="AS2255" s="59" t="s">
        <v>62</v>
      </c>
      <c r="AT2255" s="50"/>
      <c r="AU2255" s="64"/>
      <c r="AV2255" s="59"/>
      <c r="AW2255" s="12" t="str">
        <f>B2255&amp;C2255&amp;L2255&amp;M2255&amp;O2255&amp;U2255&amp;AL2255&amp;AM2255</f>
        <v>New ZealandPoor Knights Islands Marine ReservePlanktivoresbiomassden0.581818181908182Edgar2017</v>
      </c>
    </row>
    <row r="2256" spans="1:49" ht="14.5" x14ac:dyDescent="0.35">
      <c r="A2256" s="12">
        <v>2255</v>
      </c>
      <c r="B2256" s="59" t="s">
        <v>551</v>
      </c>
      <c r="C2256" s="59" t="s">
        <v>2704</v>
      </c>
      <c r="D2256" s="59" t="s">
        <v>2704</v>
      </c>
      <c r="E2256" s="50"/>
      <c r="F2256" s="13"/>
      <c r="G2256" s="13"/>
      <c r="H2256" s="61" t="s">
        <v>52</v>
      </c>
      <c r="I2256" s="59" t="s">
        <v>53</v>
      </c>
      <c r="J2256" s="47"/>
      <c r="K2256" s="47">
        <v>4</v>
      </c>
      <c r="L2256" s="47"/>
      <c r="M2256" s="47" t="s">
        <v>560</v>
      </c>
      <c r="N2256" s="53" t="s">
        <v>98</v>
      </c>
      <c r="O2256" s="47" t="s">
        <v>70</v>
      </c>
      <c r="P2256" s="47"/>
      <c r="Q2256" s="47"/>
      <c r="R2256" s="47"/>
      <c r="S2256" s="47">
        <v>0</v>
      </c>
      <c r="T2256" s="47">
        <v>0</v>
      </c>
      <c r="U2256" s="19" t="str">
        <f t="shared" si="151"/>
        <v>N/A</v>
      </c>
      <c r="V2256" s="41" t="str">
        <f t="shared" si="154"/>
        <v>N/A</v>
      </c>
      <c r="W2256" s="18"/>
      <c r="X2256" s="47" t="s">
        <v>56</v>
      </c>
      <c r="Y2256" s="17"/>
      <c r="Z2256" s="47" t="s">
        <v>56</v>
      </c>
      <c r="AA2256" s="47"/>
      <c r="AB2256" s="47" t="s">
        <v>57</v>
      </c>
      <c r="AC2256" s="47">
        <v>2012</v>
      </c>
      <c r="AD2256" s="47">
        <v>1</v>
      </c>
      <c r="AE2256" s="47">
        <v>4</v>
      </c>
      <c r="AF2256" s="47"/>
      <c r="AG2256" s="47">
        <v>1981</v>
      </c>
      <c r="AH2256" s="14">
        <f t="shared" si="152"/>
        <v>31</v>
      </c>
      <c r="AI2256" s="17">
        <f t="shared" si="153"/>
        <v>32.333333333333336</v>
      </c>
      <c r="AJ2256" s="47"/>
      <c r="AK2256" s="47" t="s">
        <v>56</v>
      </c>
      <c r="AL2256" s="59" t="s">
        <v>71</v>
      </c>
      <c r="AM2256" s="59">
        <v>2017</v>
      </c>
      <c r="AN2256" s="12" t="s">
        <v>150</v>
      </c>
      <c r="AO2256" s="59" t="s">
        <v>56</v>
      </c>
      <c r="AP2256" s="59"/>
      <c r="AQ2256" s="59" t="s">
        <v>56</v>
      </c>
      <c r="AR2256" s="59" t="s">
        <v>58</v>
      </c>
      <c r="AS2256" s="59" t="s">
        <v>62</v>
      </c>
      <c r="AT2256" s="50"/>
      <c r="AU2256" s="64" t="s">
        <v>2707</v>
      </c>
      <c r="AV2256" s="59"/>
      <c r="AW2256" s="12" t="str">
        <f>B2256&amp;C2256&amp;L2256&amp;M2256&amp;O2256&amp;U2256&amp;AL2256&amp;AM2256</f>
        <v>New ZealandTawharanui Marine ReservePlanktivoresbiomassdenN/AEdgar2017</v>
      </c>
    </row>
    <row r="2257" spans="1:49" ht="14.5" x14ac:dyDescent="0.35">
      <c r="A2257" s="12">
        <v>2256</v>
      </c>
      <c r="B2257" s="59" t="s">
        <v>551</v>
      </c>
      <c r="C2257" s="59" t="s">
        <v>2705</v>
      </c>
      <c r="D2257" s="59" t="s">
        <v>2705</v>
      </c>
      <c r="E2257" s="59"/>
      <c r="F2257" s="13"/>
      <c r="G2257" s="13"/>
      <c r="H2257" s="61" t="s">
        <v>52</v>
      </c>
      <c r="I2257" s="59" t="s">
        <v>53</v>
      </c>
      <c r="J2257" s="47"/>
      <c r="K2257" s="47">
        <v>12.7</v>
      </c>
      <c r="L2257" s="47"/>
      <c r="M2257" s="47" t="s">
        <v>560</v>
      </c>
      <c r="N2257" s="53" t="s">
        <v>98</v>
      </c>
      <c r="O2257" s="47" t="s">
        <v>70</v>
      </c>
      <c r="P2257" s="47"/>
      <c r="Q2257" s="47"/>
      <c r="R2257" s="47"/>
      <c r="S2257" s="47">
        <v>161.6161616</v>
      </c>
      <c r="T2257" s="47">
        <v>614.14141410000002</v>
      </c>
      <c r="U2257" s="20">
        <f t="shared" si="151"/>
        <v>3.8000000001237502</v>
      </c>
      <c r="V2257" s="41">
        <f t="shared" si="154"/>
        <v>280.00000001237504</v>
      </c>
      <c r="W2257" s="47"/>
      <c r="X2257" s="47" t="s">
        <v>56</v>
      </c>
      <c r="Y2257" s="17"/>
      <c r="Z2257" s="47" t="s">
        <v>56</v>
      </c>
      <c r="AA2257" s="47"/>
      <c r="AB2257" s="47" t="s">
        <v>57</v>
      </c>
      <c r="AC2257" s="47">
        <v>2012</v>
      </c>
      <c r="AD2257" s="47">
        <v>1</v>
      </c>
      <c r="AE2257" s="47">
        <v>4</v>
      </c>
      <c r="AF2257" s="47"/>
      <c r="AG2257" s="47">
        <v>2006</v>
      </c>
      <c r="AH2257" s="14">
        <f t="shared" si="152"/>
        <v>6</v>
      </c>
      <c r="AI2257" s="17">
        <f t="shared" si="153"/>
        <v>7.333333333333333</v>
      </c>
      <c r="AJ2257" s="47"/>
      <c r="AK2257" s="47" t="s">
        <v>56</v>
      </c>
      <c r="AL2257" s="59" t="s">
        <v>71</v>
      </c>
      <c r="AM2257" s="59">
        <v>2017</v>
      </c>
      <c r="AN2257" s="12" t="s">
        <v>150</v>
      </c>
      <c r="AO2257" s="59" t="s">
        <v>56</v>
      </c>
      <c r="AP2257" s="59"/>
      <c r="AQ2257" s="59" t="s">
        <v>56</v>
      </c>
      <c r="AR2257" s="59" t="s">
        <v>58</v>
      </c>
      <c r="AS2257" s="59" t="s">
        <v>62</v>
      </c>
      <c r="AT2257" s="59"/>
      <c r="AU2257" s="64" t="s">
        <v>2707</v>
      </c>
      <c r="AV2257" s="59"/>
      <c r="AW2257" s="12" t="str">
        <f>B2257&amp;C2257&amp;L2257&amp;M2257&amp;O2257&amp;U2257&amp;AL2257&amp;AM2257</f>
        <v>New ZealandTe Paepae o Aotea Marine ReservePlanktivoresbiomassden3.80000000012375Edgar2017</v>
      </c>
    </row>
    <row r="2258" spans="1:49" ht="14.5" x14ac:dyDescent="0.35">
      <c r="A2258" s="12">
        <v>2257</v>
      </c>
      <c r="B2258" s="59" t="s">
        <v>551</v>
      </c>
      <c r="C2258" s="15" t="s">
        <v>1362</v>
      </c>
      <c r="D2258" s="15" t="s">
        <v>1362</v>
      </c>
      <c r="E2258" s="59"/>
      <c r="F2258" s="13"/>
      <c r="G2258" s="13"/>
      <c r="H2258" s="61" t="s">
        <v>52</v>
      </c>
      <c r="I2258" s="59" t="s">
        <v>53</v>
      </c>
      <c r="J2258" s="17">
        <v>10.6</v>
      </c>
      <c r="K2258" s="47"/>
      <c r="L2258" s="47"/>
      <c r="M2258" s="47" t="s">
        <v>560</v>
      </c>
      <c r="N2258" s="53" t="s">
        <v>98</v>
      </c>
      <c r="O2258" s="47" t="s">
        <v>70</v>
      </c>
      <c r="P2258" s="47"/>
      <c r="Q2258" s="47"/>
      <c r="R2258" s="47"/>
      <c r="S2258" s="47">
        <v>6.0606060609999997</v>
      </c>
      <c r="T2258" s="47">
        <v>50.505050509999997</v>
      </c>
      <c r="U2258" s="20">
        <f t="shared" si="151"/>
        <v>8.3333333336083335</v>
      </c>
      <c r="V2258" s="41">
        <f t="shared" si="154"/>
        <v>733.33333336083331</v>
      </c>
      <c r="W2258" s="47"/>
      <c r="X2258" s="47" t="s">
        <v>56</v>
      </c>
      <c r="Y2258" s="47"/>
      <c r="Z2258" s="47" t="s">
        <v>56</v>
      </c>
      <c r="AA2258" s="47"/>
      <c r="AB2258" s="47" t="s">
        <v>57</v>
      </c>
      <c r="AC2258" s="47">
        <v>2012</v>
      </c>
      <c r="AD2258" s="47">
        <v>1</v>
      </c>
      <c r="AE2258" s="47">
        <v>4</v>
      </c>
      <c r="AF2258" s="47"/>
      <c r="AG2258" s="47">
        <v>1992</v>
      </c>
      <c r="AH2258" s="14">
        <f t="shared" si="152"/>
        <v>20</v>
      </c>
      <c r="AI2258" s="17">
        <f t="shared" si="153"/>
        <v>21.333333333333332</v>
      </c>
      <c r="AJ2258" s="47"/>
      <c r="AK2258" s="47" t="s">
        <v>56</v>
      </c>
      <c r="AL2258" s="59" t="s">
        <v>71</v>
      </c>
      <c r="AM2258" s="59">
        <v>2017</v>
      </c>
      <c r="AN2258" s="12" t="s">
        <v>150</v>
      </c>
      <c r="AO2258" s="59" t="s">
        <v>56</v>
      </c>
      <c r="AP2258" s="59"/>
      <c r="AQ2258" s="59" t="s">
        <v>56</v>
      </c>
      <c r="AR2258" s="59" t="s">
        <v>58</v>
      </c>
      <c r="AS2258" s="59" t="s">
        <v>62</v>
      </c>
      <c r="AT2258" s="59"/>
      <c r="AU2258" s="64" t="s">
        <v>2707</v>
      </c>
      <c r="AV2258" s="59"/>
      <c r="AW2258" s="12" t="str">
        <f>B2258&amp;C2258&amp;L2258&amp;M2258&amp;O2258&amp;U2258&amp;AL2258&amp;AM2258</f>
        <v>New ZealandMayor Island (Tuhua) Marine ReservePlanktivoresbiomassden8.33333333360833Edgar2017</v>
      </c>
    </row>
    <row r="2259" spans="1:49" ht="14.5" x14ac:dyDescent="0.35">
      <c r="A2259" s="12">
        <v>2258</v>
      </c>
      <c r="B2259" s="59" t="s">
        <v>551</v>
      </c>
      <c r="C2259" s="59" t="s">
        <v>552</v>
      </c>
      <c r="D2259" s="59" t="s">
        <v>552</v>
      </c>
      <c r="E2259" s="50"/>
      <c r="F2259" s="13"/>
      <c r="G2259" s="13"/>
      <c r="H2259" s="61" t="s">
        <v>52</v>
      </c>
      <c r="I2259" s="59" t="s">
        <v>53</v>
      </c>
      <c r="J2259" s="17">
        <v>5.18</v>
      </c>
      <c r="K2259" s="47"/>
      <c r="L2259" s="17" t="s">
        <v>455</v>
      </c>
      <c r="M2259" s="17" t="s">
        <v>456</v>
      </c>
      <c r="N2259" s="14" t="s">
        <v>85</v>
      </c>
      <c r="O2259" s="47" t="s">
        <v>70</v>
      </c>
      <c r="P2259" s="47"/>
      <c r="Q2259" s="47"/>
      <c r="R2259" s="47"/>
      <c r="S2259" s="47">
        <v>196.72131150000001</v>
      </c>
      <c r="T2259" s="47">
        <v>13770.4918</v>
      </c>
      <c r="U2259" s="19">
        <f t="shared" ref="U2259:U2319" si="155">IFERROR(IF(AND(Q2259="",R2259="",S2259="",T2259=""),"",IF(AND(Q2259&lt;&gt;"",R2259&lt;&gt;"",S2259&lt;&gt;"",T2259&lt;&gt;""),(T2259/R2259)/(S2259/Q2259),IF(AND(Q2259&lt;&gt;"",R2259&lt;&gt;""),R2259/Q2259,IF(AND(S2259&lt;&gt;"",T2259&lt;&gt;""),T2259/S2259,IF(AND(Q2259&lt;&gt;"",S2259&lt;&gt;""),Q2259/S2259,IF(AND(R2259&lt;&gt;"",T2259&lt;&gt;""),T2259/R2259)))))), "N/A")</f>
        <v>69.999999974583332</v>
      </c>
      <c r="V2259" s="41">
        <f t="shared" si="154"/>
        <v>6899.9999974583334</v>
      </c>
      <c r="W2259" s="18"/>
      <c r="X2259" s="47" t="s">
        <v>56</v>
      </c>
      <c r="Y2259" s="47"/>
      <c r="Z2259" s="47" t="s">
        <v>56</v>
      </c>
      <c r="AA2259" s="47"/>
      <c r="AB2259" s="47" t="s">
        <v>57</v>
      </c>
      <c r="AC2259" s="47">
        <v>2012</v>
      </c>
      <c r="AD2259" s="47">
        <v>1</v>
      </c>
      <c r="AE2259" s="47">
        <v>4</v>
      </c>
      <c r="AF2259" s="47"/>
      <c r="AG2259" s="17">
        <v>1975</v>
      </c>
      <c r="AH2259" s="14">
        <f t="shared" si="152"/>
        <v>37</v>
      </c>
      <c r="AI2259" s="17">
        <f t="shared" si="153"/>
        <v>38.333333333333336</v>
      </c>
      <c r="AJ2259" s="47"/>
      <c r="AK2259" s="47" t="s">
        <v>56</v>
      </c>
      <c r="AL2259" s="59" t="s">
        <v>71</v>
      </c>
      <c r="AM2259" s="59">
        <v>2017</v>
      </c>
      <c r="AN2259" s="12" t="s">
        <v>150</v>
      </c>
      <c r="AO2259" s="59" t="s">
        <v>56</v>
      </c>
      <c r="AP2259" s="59"/>
      <c r="AQ2259" s="59" t="s">
        <v>56</v>
      </c>
      <c r="AR2259" s="59" t="s">
        <v>58</v>
      </c>
      <c r="AS2259" s="59" t="s">
        <v>62</v>
      </c>
      <c r="AT2259" s="50"/>
      <c r="AU2259" s="64"/>
      <c r="AV2259" s="59"/>
      <c r="AW2259" s="12" t="str">
        <f>B2259&amp;C2259&amp;L2259&amp;M2259&amp;O2259&amp;U2259&amp;AL2259&amp;AM2259</f>
        <v>New ZealandCape Rodney–Okakari Point Marine ReserveChrysophrys auratusAustralasian Snapperbiomassden69.9999999745833Edgar2017</v>
      </c>
    </row>
    <row r="2260" spans="1:49" ht="14.5" x14ac:dyDescent="0.35">
      <c r="A2260" s="12">
        <v>2259</v>
      </c>
      <c r="B2260" s="59" t="s">
        <v>551</v>
      </c>
      <c r="C2260" s="59" t="s">
        <v>2706</v>
      </c>
      <c r="D2260" s="59" t="s">
        <v>2706</v>
      </c>
      <c r="E2260" s="50"/>
      <c r="F2260" s="13"/>
      <c r="G2260" s="13"/>
      <c r="H2260" s="61" t="s">
        <v>52</v>
      </c>
      <c r="I2260" s="59" t="s">
        <v>53</v>
      </c>
      <c r="J2260" s="47"/>
      <c r="K2260" s="47">
        <v>8.3000000000000007</v>
      </c>
      <c r="L2260" s="17" t="s">
        <v>455</v>
      </c>
      <c r="M2260" s="17" t="s">
        <v>456</v>
      </c>
      <c r="N2260" s="14" t="s">
        <v>85</v>
      </c>
      <c r="O2260" s="47" t="s">
        <v>70</v>
      </c>
      <c r="P2260" s="47"/>
      <c r="Q2260" s="47"/>
      <c r="R2260" s="47"/>
      <c r="S2260" s="47">
        <v>0</v>
      </c>
      <c r="T2260" s="47">
        <v>1049.1803279999999</v>
      </c>
      <c r="U2260" s="19" t="str">
        <f t="shared" si="155"/>
        <v>N/A</v>
      </c>
      <c r="V2260" s="41" t="str">
        <f t="shared" si="154"/>
        <v>N/A</v>
      </c>
      <c r="W2260" s="18"/>
      <c r="X2260" s="47" t="s">
        <v>56</v>
      </c>
      <c r="Y2260" s="47"/>
      <c r="Z2260" s="47" t="s">
        <v>56</v>
      </c>
      <c r="AA2260" s="47"/>
      <c r="AB2260" s="47" t="s">
        <v>57</v>
      </c>
      <c r="AC2260" s="47">
        <v>2012</v>
      </c>
      <c r="AD2260" s="47">
        <v>1</v>
      </c>
      <c r="AE2260" s="47">
        <v>4</v>
      </c>
      <c r="AF2260" s="47"/>
      <c r="AG2260" s="47">
        <v>1992</v>
      </c>
      <c r="AH2260" s="14">
        <f t="shared" si="152"/>
        <v>20</v>
      </c>
      <c r="AI2260" s="17">
        <f t="shared" si="153"/>
        <v>21.333333333333332</v>
      </c>
      <c r="AJ2260" s="47"/>
      <c r="AK2260" s="47" t="s">
        <v>56</v>
      </c>
      <c r="AL2260" s="59" t="s">
        <v>71</v>
      </c>
      <c r="AM2260" s="59">
        <v>2017</v>
      </c>
      <c r="AN2260" s="12" t="s">
        <v>150</v>
      </c>
      <c r="AO2260" s="59" t="s">
        <v>56</v>
      </c>
      <c r="AP2260" s="59"/>
      <c r="AQ2260" s="59" t="s">
        <v>56</v>
      </c>
      <c r="AR2260" s="59" t="s">
        <v>58</v>
      </c>
      <c r="AS2260" s="59" t="s">
        <v>62</v>
      </c>
      <c r="AT2260" s="50"/>
      <c r="AU2260" s="64" t="s">
        <v>2707</v>
      </c>
      <c r="AV2260" s="59"/>
      <c r="AW2260" s="12" t="str">
        <f>B2260&amp;C2260&amp;L2260&amp;M2260&amp;O2260&amp;U2260&amp;AL2260&amp;AM2260</f>
        <v>New ZealandWhanganui A Hei Marine ReserveChrysophrys auratusAustralasian SnapperbiomassdenN/AEdgar2017</v>
      </c>
    </row>
    <row r="2261" spans="1:49" ht="14.5" x14ac:dyDescent="0.35">
      <c r="A2261" s="12">
        <v>2260</v>
      </c>
      <c r="B2261" s="59" t="s">
        <v>551</v>
      </c>
      <c r="C2261" s="59" t="s">
        <v>2703</v>
      </c>
      <c r="D2261" s="59" t="s">
        <v>2703</v>
      </c>
      <c r="E2261" s="50"/>
      <c r="F2261" s="13" t="s">
        <v>50</v>
      </c>
      <c r="G2261" s="13" t="s">
        <v>51</v>
      </c>
      <c r="H2261" s="61" t="s">
        <v>52</v>
      </c>
      <c r="I2261" s="59" t="s">
        <v>53</v>
      </c>
      <c r="J2261" s="47"/>
      <c r="K2261" s="47">
        <v>18</v>
      </c>
      <c r="L2261" s="17" t="s">
        <v>455</v>
      </c>
      <c r="M2261" s="17" t="s">
        <v>456</v>
      </c>
      <c r="N2261" s="14" t="s">
        <v>85</v>
      </c>
      <c r="O2261" s="47" t="s">
        <v>70</v>
      </c>
      <c r="P2261" s="47"/>
      <c r="Q2261" s="47"/>
      <c r="R2261" s="47"/>
      <c r="S2261" s="47">
        <v>0</v>
      </c>
      <c r="T2261" s="47">
        <v>9901.6393439999993</v>
      </c>
      <c r="U2261" s="19" t="str">
        <f t="shared" si="155"/>
        <v>N/A</v>
      </c>
      <c r="V2261" s="41" t="str">
        <f t="shared" si="154"/>
        <v>N/A</v>
      </c>
      <c r="W2261" s="18"/>
      <c r="X2261" s="47" t="s">
        <v>56</v>
      </c>
      <c r="Y2261" s="17"/>
      <c r="Z2261" s="47" t="s">
        <v>56</v>
      </c>
      <c r="AA2261" s="47"/>
      <c r="AB2261" s="47" t="s">
        <v>57</v>
      </c>
      <c r="AC2261" s="47">
        <v>2012</v>
      </c>
      <c r="AD2261" s="47">
        <v>1</v>
      </c>
      <c r="AE2261" s="47">
        <v>4</v>
      </c>
      <c r="AF2261" s="47"/>
      <c r="AG2261" s="47">
        <v>1981</v>
      </c>
      <c r="AH2261" s="14">
        <f t="shared" si="152"/>
        <v>31</v>
      </c>
      <c r="AI2261" s="17">
        <f t="shared" si="153"/>
        <v>32.333333333333336</v>
      </c>
      <c r="AJ2261" s="47"/>
      <c r="AK2261" s="47" t="s">
        <v>56</v>
      </c>
      <c r="AL2261" s="59" t="s">
        <v>71</v>
      </c>
      <c r="AM2261" s="59">
        <v>2017</v>
      </c>
      <c r="AN2261" s="12" t="s">
        <v>150</v>
      </c>
      <c r="AO2261" s="59" t="s">
        <v>56</v>
      </c>
      <c r="AP2261" s="59"/>
      <c r="AQ2261" s="59" t="s">
        <v>56</v>
      </c>
      <c r="AR2261" s="59" t="s">
        <v>58</v>
      </c>
      <c r="AS2261" s="59" t="s">
        <v>62</v>
      </c>
      <c r="AT2261" s="50"/>
      <c r="AU2261" s="64"/>
      <c r="AV2261" s="59"/>
      <c r="AW2261" s="12" t="str">
        <f>B2261&amp;C2261&amp;L2261&amp;M2261&amp;O2261&amp;U2261&amp;AL2261&amp;AM2261</f>
        <v>New ZealandPoor Knights Islands Marine ReserveChrysophrys auratusAustralasian SnapperbiomassdenN/AEdgar2017</v>
      </c>
    </row>
    <row r="2262" spans="1:49" ht="14.5" x14ac:dyDescent="0.35">
      <c r="A2262" s="12">
        <v>2261</v>
      </c>
      <c r="B2262" s="59" t="s">
        <v>551</v>
      </c>
      <c r="C2262" s="59" t="s">
        <v>2704</v>
      </c>
      <c r="D2262" s="59" t="s">
        <v>2704</v>
      </c>
      <c r="E2262" s="50"/>
      <c r="F2262" s="13"/>
      <c r="G2262" s="13"/>
      <c r="H2262" s="61" t="s">
        <v>52</v>
      </c>
      <c r="I2262" s="59" t="s">
        <v>53</v>
      </c>
      <c r="J2262" s="47"/>
      <c r="K2262" s="47">
        <v>4</v>
      </c>
      <c r="L2262" s="17" t="s">
        <v>455</v>
      </c>
      <c r="M2262" s="17" t="s">
        <v>456</v>
      </c>
      <c r="N2262" s="14" t="s">
        <v>85</v>
      </c>
      <c r="O2262" s="47" t="s">
        <v>70</v>
      </c>
      <c r="P2262" s="47"/>
      <c r="Q2262" s="47"/>
      <c r="R2262" s="47"/>
      <c r="S2262" s="47">
        <v>196.72131150000001</v>
      </c>
      <c r="T2262" s="47">
        <v>2360.6557379999999</v>
      </c>
      <c r="U2262" s="19">
        <f t="shared" si="155"/>
        <v>11.999999999999998</v>
      </c>
      <c r="V2262" s="41">
        <f t="shared" si="154"/>
        <v>1099.9999999999998</v>
      </c>
      <c r="W2262" s="18"/>
      <c r="X2262" s="47" t="s">
        <v>56</v>
      </c>
      <c r="Y2262" s="17"/>
      <c r="Z2262" s="47" t="s">
        <v>56</v>
      </c>
      <c r="AA2262" s="47"/>
      <c r="AB2262" s="47" t="s">
        <v>57</v>
      </c>
      <c r="AC2262" s="47">
        <v>2012</v>
      </c>
      <c r="AD2262" s="47">
        <v>1</v>
      </c>
      <c r="AE2262" s="47">
        <v>4</v>
      </c>
      <c r="AF2262" s="47"/>
      <c r="AG2262" s="47">
        <v>1981</v>
      </c>
      <c r="AH2262" s="14">
        <f t="shared" si="152"/>
        <v>31</v>
      </c>
      <c r="AI2262" s="17">
        <f t="shared" si="153"/>
        <v>32.333333333333336</v>
      </c>
      <c r="AJ2262" s="47"/>
      <c r="AK2262" s="47" t="s">
        <v>56</v>
      </c>
      <c r="AL2262" s="59" t="s">
        <v>71</v>
      </c>
      <c r="AM2262" s="59">
        <v>2017</v>
      </c>
      <c r="AN2262" s="12" t="s">
        <v>150</v>
      </c>
      <c r="AO2262" s="59" t="s">
        <v>56</v>
      </c>
      <c r="AP2262" s="59"/>
      <c r="AQ2262" s="59" t="s">
        <v>56</v>
      </c>
      <c r="AR2262" s="59" t="s">
        <v>58</v>
      </c>
      <c r="AS2262" s="59" t="s">
        <v>62</v>
      </c>
      <c r="AT2262" s="50"/>
      <c r="AU2262" s="64" t="s">
        <v>2707</v>
      </c>
      <c r="AV2262" s="59"/>
      <c r="AW2262" s="12" t="str">
        <f>B2262&amp;C2262&amp;L2262&amp;M2262&amp;O2262&amp;U2262&amp;AL2262&amp;AM2262</f>
        <v>New ZealandTawharanui Marine ReserveChrysophrys auratusAustralasian Snapperbiomassden12Edgar2017</v>
      </c>
    </row>
    <row r="2263" spans="1:49" ht="14.5" x14ac:dyDescent="0.35">
      <c r="A2263" s="12">
        <v>2262</v>
      </c>
      <c r="B2263" s="59" t="s">
        <v>551</v>
      </c>
      <c r="C2263" s="15" t="s">
        <v>1362</v>
      </c>
      <c r="D2263" s="15" t="s">
        <v>1362</v>
      </c>
      <c r="E2263" s="50"/>
      <c r="F2263" s="13"/>
      <c r="G2263" s="13"/>
      <c r="H2263" s="61" t="s">
        <v>52</v>
      </c>
      <c r="I2263" s="59" t="s">
        <v>53</v>
      </c>
      <c r="J2263" s="17">
        <v>10.6</v>
      </c>
      <c r="K2263" s="47"/>
      <c r="L2263" s="17" t="s">
        <v>455</v>
      </c>
      <c r="M2263" s="17" t="s">
        <v>456</v>
      </c>
      <c r="N2263" s="14" t="s">
        <v>85</v>
      </c>
      <c r="O2263" s="47" t="s">
        <v>70</v>
      </c>
      <c r="P2263" s="47"/>
      <c r="Q2263" s="47"/>
      <c r="R2263" s="47"/>
      <c r="S2263" s="47">
        <v>655.73770490000004</v>
      </c>
      <c r="T2263" s="47">
        <v>2295.0819670000001</v>
      </c>
      <c r="U2263" s="19">
        <f t="shared" si="155"/>
        <v>3.4999999997712501</v>
      </c>
      <c r="V2263" s="41">
        <f t="shared" si="154"/>
        <v>249.99999997712501</v>
      </c>
      <c r="W2263" s="18"/>
      <c r="X2263" s="47" t="s">
        <v>56</v>
      </c>
      <c r="Y2263" s="47"/>
      <c r="Z2263" s="47" t="s">
        <v>56</v>
      </c>
      <c r="AA2263" s="47"/>
      <c r="AB2263" s="47" t="s">
        <v>57</v>
      </c>
      <c r="AC2263" s="47">
        <v>2012</v>
      </c>
      <c r="AD2263" s="47">
        <v>1</v>
      </c>
      <c r="AE2263" s="47">
        <v>4</v>
      </c>
      <c r="AF2263" s="47"/>
      <c r="AG2263" s="47">
        <v>1992</v>
      </c>
      <c r="AH2263" s="14">
        <f t="shared" si="152"/>
        <v>20</v>
      </c>
      <c r="AI2263" s="17">
        <f t="shared" si="153"/>
        <v>21.333333333333332</v>
      </c>
      <c r="AJ2263" s="47"/>
      <c r="AK2263" s="47" t="s">
        <v>56</v>
      </c>
      <c r="AL2263" s="59" t="s">
        <v>71</v>
      </c>
      <c r="AM2263" s="59">
        <v>2017</v>
      </c>
      <c r="AN2263" s="12" t="s">
        <v>150</v>
      </c>
      <c r="AO2263" s="59" t="s">
        <v>56</v>
      </c>
      <c r="AP2263" s="59"/>
      <c r="AQ2263" s="59" t="s">
        <v>56</v>
      </c>
      <c r="AR2263" s="59" t="s">
        <v>58</v>
      </c>
      <c r="AS2263" s="59" t="s">
        <v>62</v>
      </c>
      <c r="AT2263" s="50"/>
      <c r="AU2263" s="64" t="s">
        <v>2707</v>
      </c>
      <c r="AV2263" s="59"/>
      <c r="AW2263" s="12" t="str">
        <f>B2263&amp;C2263&amp;L2263&amp;M2263&amp;O2263&amp;U2263&amp;AL2263&amp;AM2263</f>
        <v>New ZealandMayor Island (Tuhua) Marine ReserveChrysophrys auratusAustralasian Snapperbiomassden3.49999999977125Edgar2017</v>
      </c>
    </row>
    <row r="2264" spans="1:49" ht="14.5" x14ac:dyDescent="0.35">
      <c r="A2264" s="12">
        <v>2263</v>
      </c>
      <c r="B2264" s="50" t="s">
        <v>551</v>
      </c>
      <c r="C2264" s="50" t="s">
        <v>552</v>
      </c>
      <c r="D2264" s="50" t="s">
        <v>552</v>
      </c>
      <c r="E2264" s="50"/>
      <c r="F2264" s="13"/>
      <c r="G2264" s="13"/>
      <c r="H2264" s="62" t="s">
        <v>52</v>
      </c>
      <c r="I2264" s="50" t="s">
        <v>53</v>
      </c>
      <c r="J2264" s="14">
        <v>5.18</v>
      </c>
      <c r="K2264" s="18"/>
      <c r="L2264" s="14" t="s">
        <v>1648</v>
      </c>
      <c r="M2264" s="18"/>
      <c r="N2264" s="14" t="s">
        <v>85</v>
      </c>
      <c r="O2264" s="47" t="s">
        <v>70</v>
      </c>
      <c r="P2264" s="18"/>
      <c r="Q2264" s="18"/>
      <c r="R2264" s="18"/>
      <c r="S2264" s="18">
        <v>0</v>
      </c>
      <c r="T2264" s="18">
        <v>469.33333329999999</v>
      </c>
      <c r="U2264" s="19" t="str">
        <f t="shared" si="155"/>
        <v>N/A</v>
      </c>
      <c r="V2264" s="41" t="str">
        <f t="shared" si="154"/>
        <v>N/A</v>
      </c>
      <c r="W2264" s="18"/>
      <c r="X2264" s="18" t="s">
        <v>56</v>
      </c>
      <c r="Y2264" s="18"/>
      <c r="Z2264" s="18" t="s">
        <v>56</v>
      </c>
      <c r="AA2264" s="18"/>
      <c r="AB2264" s="18" t="s">
        <v>57</v>
      </c>
      <c r="AC2264" s="18">
        <v>2012</v>
      </c>
      <c r="AD2264" s="18">
        <v>1</v>
      </c>
      <c r="AE2264" s="18">
        <v>4</v>
      </c>
      <c r="AF2264" s="18"/>
      <c r="AG2264" s="14">
        <v>1975</v>
      </c>
      <c r="AH2264" s="14">
        <f t="shared" si="152"/>
        <v>37</v>
      </c>
      <c r="AI2264" s="17">
        <f t="shared" si="153"/>
        <v>38.333333333333336</v>
      </c>
      <c r="AJ2264" s="18"/>
      <c r="AK2264" s="18" t="s">
        <v>56</v>
      </c>
      <c r="AL2264" s="50" t="s">
        <v>71</v>
      </c>
      <c r="AM2264" s="50">
        <v>2017</v>
      </c>
      <c r="AN2264" s="12" t="s">
        <v>150</v>
      </c>
      <c r="AO2264" s="50" t="s">
        <v>56</v>
      </c>
      <c r="AP2264" s="50"/>
      <c r="AQ2264" s="50" t="s">
        <v>56</v>
      </c>
      <c r="AR2264" s="50" t="s">
        <v>58</v>
      </c>
      <c r="AS2264" s="50" t="s">
        <v>62</v>
      </c>
      <c r="AT2264" s="50"/>
      <c r="AU2264" s="64"/>
      <c r="AV2264" s="59"/>
      <c r="AW2264" s="12" t="str">
        <f>B2264&amp;C2264&amp;L2264&amp;M2264&amp;O2264&amp;U2264&amp;AL2264&amp;AM2264</f>
        <v>New ZealandCape Rodney–Okakari Point Marine ReserveNemadactylus douglasiibiomassdenN/AEdgar2017</v>
      </c>
    </row>
    <row r="2265" spans="1:49" ht="14.5" x14ac:dyDescent="0.35">
      <c r="A2265" s="12">
        <v>2264</v>
      </c>
      <c r="B2265" s="50" t="s">
        <v>551</v>
      </c>
      <c r="C2265" s="50" t="s">
        <v>2703</v>
      </c>
      <c r="D2265" s="50" t="s">
        <v>2703</v>
      </c>
      <c r="E2265" s="50"/>
      <c r="F2265" s="13" t="s">
        <v>50</v>
      </c>
      <c r="G2265" s="13" t="s">
        <v>51</v>
      </c>
      <c r="H2265" s="62" t="s">
        <v>52</v>
      </c>
      <c r="I2265" s="50" t="s">
        <v>53</v>
      </c>
      <c r="J2265" s="18"/>
      <c r="K2265" s="18">
        <v>18</v>
      </c>
      <c r="L2265" s="14" t="s">
        <v>1648</v>
      </c>
      <c r="M2265" s="18"/>
      <c r="N2265" s="14" t="s">
        <v>85</v>
      </c>
      <c r="O2265" s="47" t="s">
        <v>70</v>
      </c>
      <c r="P2265" s="18"/>
      <c r="Q2265" s="18"/>
      <c r="R2265" s="18"/>
      <c r="S2265" s="18">
        <v>362.66666670000001</v>
      </c>
      <c r="T2265" s="18">
        <v>1658.666667</v>
      </c>
      <c r="U2265" s="19">
        <f t="shared" si="155"/>
        <v>4.5735294122634622</v>
      </c>
      <c r="V2265" s="41">
        <f t="shared" si="154"/>
        <v>357.35294122634622</v>
      </c>
      <c r="W2265" s="18"/>
      <c r="X2265" s="18" t="s">
        <v>56</v>
      </c>
      <c r="Z2265" s="18" t="s">
        <v>56</v>
      </c>
      <c r="AA2265" s="18"/>
      <c r="AB2265" s="18" t="s">
        <v>57</v>
      </c>
      <c r="AC2265" s="18">
        <v>2012</v>
      </c>
      <c r="AD2265" s="18">
        <v>1</v>
      </c>
      <c r="AE2265" s="18">
        <v>4</v>
      </c>
      <c r="AF2265" s="18"/>
      <c r="AG2265" s="18">
        <v>1981</v>
      </c>
      <c r="AH2265" s="14">
        <f t="shared" si="152"/>
        <v>31</v>
      </c>
      <c r="AI2265" s="17">
        <f t="shared" si="153"/>
        <v>32.333333333333336</v>
      </c>
      <c r="AJ2265" s="18"/>
      <c r="AK2265" s="18" t="s">
        <v>56</v>
      </c>
      <c r="AL2265" s="50" t="s">
        <v>71</v>
      </c>
      <c r="AM2265" s="50">
        <v>2017</v>
      </c>
      <c r="AN2265" s="12" t="s">
        <v>150</v>
      </c>
      <c r="AO2265" s="50" t="s">
        <v>56</v>
      </c>
      <c r="AP2265" s="50"/>
      <c r="AQ2265" s="50" t="s">
        <v>56</v>
      </c>
      <c r="AR2265" s="50" t="s">
        <v>58</v>
      </c>
      <c r="AS2265" s="50" t="s">
        <v>62</v>
      </c>
      <c r="AT2265" s="50"/>
      <c r="AU2265" s="64"/>
      <c r="AV2265" s="59"/>
      <c r="AW2265" s="12" t="str">
        <f>B2265&amp;C2265&amp;L2265&amp;M2265&amp;O2265&amp;U2265&amp;AL2265&amp;AM2265</f>
        <v>New ZealandPoor Knights Islands Marine ReserveNemadactylus douglasiibiomassden4.57352941226346Edgar2017</v>
      </c>
    </row>
    <row r="2266" spans="1:49" ht="14.5" x14ac:dyDescent="0.35">
      <c r="A2266" s="12">
        <v>2265</v>
      </c>
      <c r="B2266" s="59" t="s">
        <v>551</v>
      </c>
      <c r="C2266" s="15" t="s">
        <v>1362</v>
      </c>
      <c r="D2266" s="15" t="s">
        <v>1362</v>
      </c>
      <c r="E2266" s="50"/>
      <c r="F2266" s="13"/>
      <c r="G2266" s="13"/>
      <c r="H2266" s="61" t="s">
        <v>52</v>
      </c>
      <c r="I2266" s="59" t="s">
        <v>53</v>
      </c>
      <c r="J2266" s="17">
        <v>10.6</v>
      </c>
      <c r="K2266" s="47"/>
      <c r="L2266" s="14" t="s">
        <v>1648</v>
      </c>
      <c r="M2266" s="47"/>
      <c r="N2266" s="14" t="s">
        <v>85</v>
      </c>
      <c r="O2266" s="47" t="s">
        <v>70</v>
      </c>
      <c r="P2266" s="47"/>
      <c r="Q2266" s="47"/>
      <c r="R2266" s="47"/>
      <c r="S2266" s="47">
        <v>714.66666669999995</v>
      </c>
      <c r="T2266" s="47">
        <v>981.33333330000005</v>
      </c>
      <c r="U2266" s="19">
        <f t="shared" si="155"/>
        <v>1.3731343282475219</v>
      </c>
      <c r="V2266" s="41">
        <f t="shared" si="154"/>
        <v>37.313432824752191</v>
      </c>
      <c r="W2266" s="18"/>
      <c r="X2266" s="47" t="s">
        <v>56</v>
      </c>
      <c r="Y2266" s="47"/>
      <c r="Z2266" s="47" t="s">
        <v>56</v>
      </c>
      <c r="AA2266" s="47"/>
      <c r="AB2266" s="47" t="s">
        <v>57</v>
      </c>
      <c r="AC2266" s="47">
        <v>2012</v>
      </c>
      <c r="AD2266" s="47">
        <v>1</v>
      </c>
      <c r="AE2266" s="47">
        <v>4</v>
      </c>
      <c r="AF2266" s="47"/>
      <c r="AG2266" s="47">
        <v>1992</v>
      </c>
      <c r="AH2266" s="14">
        <f t="shared" si="152"/>
        <v>20</v>
      </c>
      <c r="AI2266" s="17">
        <f t="shared" si="153"/>
        <v>21.333333333333332</v>
      </c>
      <c r="AJ2266" s="47"/>
      <c r="AK2266" s="47" t="s">
        <v>56</v>
      </c>
      <c r="AL2266" s="59" t="s">
        <v>71</v>
      </c>
      <c r="AM2266" s="59">
        <v>2017</v>
      </c>
      <c r="AN2266" s="12" t="s">
        <v>150</v>
      </c>
      <c r="AO2266" s="59" t="s">
        <v>56</v>
      </c>
      <c r="AP2266" s="59"/>
      <c r="AQ2266" s="59" t="s">
        <v>56</v>
      </c>
      <c r="AR2266" s="59" t="s">
        <v>58</v>
      </c>
      <c r="AS2266" s="59" t="s">
        <v>62</v>
      </c>
      <c r="AT2266" s="50"/>
      <c r="AU2266" s="64" t="s">
        <v>2707</v>
      </c>
      <c r="AV2266" s="59"/>
      <c r="AW2266" s="12" t="str">
        <f>B2266&amp;C2266&amp;L2266&amp;M2266&amp;O2266&amp;U2266&amp;AL2266&amp;AM2266</f>
        <v>New ZealandMayor Island (Tuhua) Marine ReserveNemadactylus douglasiibiomassden1.37313432824752Edgar2017</v>
      </c>
    </row>
    <row r="2267" spans="1:49" ht="14.5" x14ac:dyDescent="0.35">
      <c r="A2267" s="12">
        <v>2266</v>
      </c>
      <c r="B2267" s="50" t="s">
        <v>551</v>
      </c>
      <c r="C2267" s="50" t="s">
        <v>552</v>
      </c>
      <c r="D2267" s="50" t="s">
        <v>552</v>
      </c>
      <c r="E2267" s="50"/>
      <c r="F2267" s="13"/>
      <c r="G2267" s="13"/>
      <c r="H2267" s="62" t="s">
        <v>52</v>
      </c>
      <c r="I2267" s="50" t="s">
        <v>53</v>
      </c>
      <c r="J2267" s="14">
        <v>5.18</v>
      </c>
      <c r="K2267" s="18"/>
      <c r="L2267" s="17" t="s">
        <v>1051</v>
      </c>
      <c r="M2267" s="17" t="s">
        <v>1052</v>
      </c>
      <c r="N2267" s="14" t="s">
        <v>85</v>
      </c>
      <c r="O2267" s="47" t="s">
        <v>70</v>
      </c>
      <c r="P2267" s="18"/>
      <c r="Q2267" s="18"/>
      <c r="R2267" s="18"/>
      <c r="S2267" s="18">
        <v>0</v>
      </c>
      <c r="T2267" s="18">
        <v>104.1269841</v>
      </c>
      <c r="U2267" s="19" t="str">
        <f t="shared" si="155"/>
        <v>N/A</v>
      </c>
      <c r="V2267" s="41" t="str">
        <f t="shared" si="154"/>
        <v>N/A</v>
      </c>
      <c r="W2267" s="18"/>
      <c r="X2267" s="18" t="s">
        <v>56</v>
      </c>
      <c r="Y2267" s="18"/>
      <c r="Z2267" s="18" t="s">
        <v>56</v>
      </c>
      <c r="AA2267" s="18"/>
      <c r="AB2267" s="18" t="s">
        <v>57</v>
      </c>
      <c r="AC2267" s="18">
        <v>2012</v>
      </c>
      <c r="AD2267" s="18">
        <v>1</v>
      </c>
      <c r="AE2267" s="18">
        <v>4</v>
      </c>
      <c r="AF2267" s="18"/>
      <c r="AG2267" s="14">
        <v>1975</v>
      </c>
      <c r="AH2267" s="14">
        <f t="shared" si="152"/>
        <v>37</v>
      </c>
      <c r="AI2267" s="17">
        <f t="shared" si="153"/>
        <v>38.333333333333336</v>
      </c>
      <c r="AJ2267" s="18"/>
      <c r="AK2267" s="18" t="s">
        <v>56</v>
      </c>
      <c r="AL2267" s="50" t="s">
        <v>71</v>
      </c>
      <c r="AM2267" s="50">
        <v>2017</v>
      </c>
      <c r="AN2267" s="12" t="s">
        <v>150</v>
      </c>
      <c r="AO2267" s="50" t="s">
        <v>56</v>
      </c>
      <c r="AP2267" s="50"/>
      <c r="AQ2267" s="50" t="s">
        <v>56</v>
      </c>
      <c r="AR2267" s="50" t="s">
        <v>58</v>
      </c>
      <c r="AS2267" s="50" t="s">
        <v>62</v>
      </c>
      <c r="AT2267" s="50"/>
      <c r="AU2267" s="64"/>
      <c r="AV2267" s="59"/>
      <c r="AW2267" s="12" t="str">
        <f>B2267&amp;C2267&amp;L2267&amp;M2267&amp;O2267&amp;U2267&amp;AL2267&amp;AM2267</f>
        <v>New ZealandCape Rodney–Okakari Point Marine ReserveParapercis coliasblue codbiomassdenN/AEdgar2017</v>
      </c>
    </row>
    <row r="2268" spans="1:49" ht="14.5" x14ac:dyDescent="0.35">
      <c r="A2268" s="12">
        <v>2267</v>
      </c>
      <c r="B2268" s="50" t="s">
        <v>551</v>
      </c>
      <c r="C2268" s="59" t="s">
        <v>2706</v>
      </c>
      <c r="D2268" s="59" t="s">
        <v>2706</v>
      </c>
      <c r="E2268" s="50"/>
      <c r="F2268" s="13"/>
      <c r="G2268" s="13"/>
      <c r="H2268" s="61" t="s">
        <v>52</v>
      </c>
      <c r="I2268" s="59" t="s">
        <v>53</v>
      </c>
      <c r="J2268" s="47"/>
      <c r="K2268" s="47">
        <v>8.3000000000000007</v>
      </c>
      <c r="L2268" s="17" t="s">
        <v>1051</v>
      </c>
      <c r="M2268" s="17" t="s">
        <v>1052</v>
      </c>
      <c r="N2268" s="14" t="s">
        <v>85</v>
      </c>
      <c r="O2268" s="47" t="s">
        <v>70</v>
      </c>
      <c r="P2268" s="47"/>
      <c r="Q2268" s="47"/>
      <c r="R2268" s="47"/>
      <c r="S2268" s="47">
        <v>69.841269839999995</v>
      </c>
      <c r="T2268" s="47">
        <v>69.841269839999995</v>
      </c>
      <c r="U2268" s="19">
        <f t="shared" si="155"/>
        <v>1</v>
      </c>
      <c r="V2268" s="41">
        <f t="shared" si="154"/>
        <v>0</v>
      </c>
      <c r="W2268" s="18"/>
      <c r="X2268" s="47" t="s">
        <v>56</v>
      </c>
      <c r="Y2268" s="47"/>
      <c r="Z2268" s="47" t="s">
        <v>56</v>
      </c>
      <c r="AA2268" s="47"/>
      <c r="AB2268" s="47" t="s">
        <v>57</v>
      </c>
      <c r="AC2268" s="47">
        <v>2012</v>
      </c>
      <c r="AD2268" s="47">
        <v>1</v>
      </c>
      <c r="AE2268" s="47">
        <v>4</v>
      </c>
      <c r="AF2268" s="47"/>
      <c r="AG2268" s="47">
        <v>1992</v>
      </c>
      <c r="AH2268" s="14">
        <f t="shared" si="152"/>
        <v>20</v>
      </c>
      <c r="AI2268" s="17">
        <f t="shared" si="153"/>
        <v>21.333333333333332</v>
      </c>
      <c r="AJ2268" s="47"/>
      <c r="AK2268" s="47" t="s">
        <v>56</v>
      </c>
      <c r="AL2268" s="59" t="s">
        <v>71</v>
      </c>
      <c r="AM2268" s="59">
        <v>2017</v>
      </c>
      <c r="AN2268" s="15" t="s">
        <v>150</v>
      </c>
      <c r="AO2268" s="59" t="s">
        <v>56</v>
      </c>
      <c r="AP2268" s="59"/>
      <c r="AQ2268" s="59" t="s">
        <v>56</v>
      </c>
      <c r="AR2268" s="59" t="s">
        <v>58</v>
      </c>
      <c r="AS2268" s="59" t="s">
        <v>62</v>
      </c>
      <c r="AT2268" s="50"/>
      <c r="AU2268" s="64" t="s">
        <v>2707</v>
      </c>
      <c r="AV2268" s="59"/>
      <c r="AW2268" s="12" t="str">
        <f>B2268&amp;C2268&amp;L2268&amp;M2268&amp;O2268&amp;U2268&amp;AL2268&amp;AM2268</f>
        <v>New ZealandWhanganui A Hei Marine ReserveParapercis coliasblue codbiomassden1Edgar2017</v>
      </c>
    </row>
    <row r="2269" spans="1:49" ht="14.5" x14ac:dyDescent="0.35">
      <c r="A2269" s="12">
        <v>2268</v>
      </c>
      <c r="B2269" s="59" t="s">
        <v>551</v>
      </c>
      <c r="C2269" s="59" t="s">
        <v>2704</v>
      </c>
      <c r="D2269" s="59" t="s">
        <v>2704</v>
      </c>
      <c r="E2269" s="59"/>
      <c r="F2269" s="13"/>
      <c r="G2269" s="13"/>
      <c r="H2269" s="61" t="s">
        <v>52</v>
      </c>
      <c r="I2269" s="59" t="s">
        <v>53</v>
      </c>
      <c r="J2269" s="47"/>
      <c r="K2269" s="47">
        <v>4</v>
      </c>
      <c r="L2269" s="17" t="s">
        <v>1051</v>
      </c>
      <c r="M2269" s="17" t="s">
        <v>1052</v>
      </c>
      <c r="N2269" s="14" t="s">
        <v>85</v>
      </c>
      <c r="O2269" s="47" t="s">
        <v>70</v>
      </c>
      <c r="P2269" s="47"/>
      <c r="Q2269" s="47"/>
      <c r="R2269" s="47"/>
      <c r="S2269" s="47">
        <v>0</v>
      </c>
      <c r="T2269" s="47">
        <v>98.412698410000004</v>
      </c>
      <c r="U2269" s="20" t="str">
        <f t="shared" si="155"/>
        <v>N/A</v>
      </c>
      <c r="V2269" s="41" t="str">
        <f t="shared" si="154"/>
        <v>N/A</v>
      </c>
      <c r="W2269" s="47"/>
      <c r="X2269" s="47" t="s">
        <v>56</v>
      </c>
      <c r="Y2269" s="17"/>
      <c r="Z2269" s="47" t="s">
        <v>56</v>
      </c>
      <c r="AA2269" s="47"/>
      <c r="AB2269" s="47" t="s">
        <v>57</v>
      </c>
      <c r="AC2269" s="47">
        <v>2012</v>
      </c>
      <c r="AD2269" s="47">
        <v>1</v>
      </c>
      <c r="AE2269" s="47">
        <v>4</v>
      </c>
      <c r="AF2269" s="47"/>
      <c r="AG2269" s="47">
        <v>1981</v>
      </c>
      <c r="AH2269" s="14">
        <f t="shared" si="152"/>
        <v>31</v>
      </c>
      <c r="AI2269" s="17">
        <f t="shared" si="153"/>
        <v>32.333333333333336</v>
      </c>
      <c r="AJ2269" s="47"/>
      <c r="AK2269" s="47" t="s">
        <v>56</v>
      </c>
      <c r="AL2269" s="59" t="s">
        <v>71</v>
      </c>
      <c r="AM2269" s="59">
        <v>2017</v>
      </c>
      <c r="AN2269" s="15" t="s">
        <v>150</v>
      </c>
      <c r="AO2269" s="59" t="s">
        <v>56</v>
      </c>
      <c r="AP2269" s="59"/>
      <c r="AQ2269" s="59" t="s">
        <v>56</v>
      </c>
      <c r="AR2269" s="59" t="s">
        <v>58</v>
      </c>
      <c r="AS2269" s="59" t="s">
        <v>62</v>
      </c>
      <c r="AT2269" s="59"/>
      <c r="AU2269" s="64" t="s">
        <v>2707</v>
      </c>
      <c r="AV2269" s="59"/>
      <c r="AW2269" s="12" t="str">
        <f>B2269&amp;C2269&amp;L2269&amp;M2269&amp;O2269&amp;U2269&amp;AL2269&amp;AM2269</f>
        <v>New ZealandTawharanui Marine ReserveParapercis coliasblue codbiomassdenN/AEdgar2017</v>
      </c>
    </row>
    <row r="2270" spans="1:49" ht="14.5" x14ac:dyDescent="0.35">
      <c r="A2270" s="12">
        <v>2269</v>
      </c>
      <c r="B2270" s="59" t="s">
        <v>551</v>
      </c>
      <c r="C2270" s="59" t="s">
        <v>552</v>
      </c>
      <c r="D2270" s="59" t="s">
        <v>552</v>
      </c>
      <c r="E2270" s="59"/>
      <c r="F2270" s="13"/>
      <c r="G2270" s="13"/>
      <c r="H2270" s="61" t="s">
        <v>52</v>
      </c>
      <c r="I2270" s="59" t="s">
        <v>53</v>
      </c>
      <c r="J2270" s="17">
        <v>5.18</v>
      </c>
      <c r="K2270" s="47"/>
      <c r="L2270" s="47" t="s">
        <v>433</v>
      </c>
      <c r="M2270" s="47"/>
      <c r="N2270" s="14" t="s">
        <v>85</v>
      </c>
      <c r="O2270" s="47" t="s">
        <v>101</v>
      </c>
      <c r="P2270" s="47"/>
      <c r="Q2270" s="47"/>
      <c r="R2270" s="47"/>
      <c r="S2270" s="47">
        <v>14.33962264</v>
      </c>
      <c r="T2270" s="47">
        <v>49.056603770000002</v>
      </c>
      <c r="U2270" s="20">
        <f t="shared" si="155"/>
        <v>3.4210526316890584</v>
      </c>
      <c r="V2270" s="41">
        <f t="shared" si="154"/>
        <v>242.10526316890585</v>
      </c>
      <c r="W2270" s="47"/>
      <c r="X2270" s="47" t="s">
        <v>56</v>
      </c>
      <c r="Y2270" s="47"/>
      <c r="Z2270" s="47" t="s">
        <v>56</v>
      </c>
      <c r="AA2270" s="47"/>
      <c r="AB2270" s="47" t="s">
        <v>57</v>
      </c>
      <c r="AC2270" s="47">
        <v>2012</v>
      </c>
      <c r="AD2270" s="47">
        <v>1</v>
      </c>
      <c r="AE2270" s="47">
        <v>4</v>
      </c>
      <c r="AF2270" s="47"/>
      <c r="AG2270" s="17">
        <v>1975</v>
      </c>
      <c r="AH2270" s="14">
        <f t="shared" si="152"/>
        <v>37</v>
      </c>
      <c r="AI2270" s="17">
        <f t="shared" si="153"/>
        <v>38.333333333333336</v>
      </c>
      <c r="AJ2270" s="47"/>
      <c r="AK2270" s="47" t="s">
        <v>56</v>
      </c>
      <c r="AL2270" s="59" t="s">
        <v>71</v>
      </c>
      <c r="AM2270" s="59">
        <v>2017</v>
      </c>
      <c r="AN2270" s="15" t="s">
        <v>150</v>
      </c>
      <c r="AO2270" s="59" t="s">
        <v>56</v>
      </c>
      <c r="AP2270" s="59"/>
      <c r="AQ2270" s="59" t="s">
        <v>56</v>
      </c>
      <c r="AR2270" s="59" t="s">
        <v>58</v>
      </c>
      <c r="AS2270" s="59" t="s">
        <v>62</v>
      </c>
      <c r="AT2270" s="59"/>
      <c r="AU2270" s="64"/>
      <c r="AV2270" s="59"/>
      <c r="AW2270" s="12" t="str">
        <f>B2270&amp;C2270&amp;L2270&amp;M2270&amp;O2270&amp;U2270&amp;AL2270&amp;AM2270</f>
        <v>New ZealandCape Rodney–Okakari Point Marine ReserveEcklonia radiatacover3.42105263168906Edgar2017</v>
      </c>
    </row>
    <row r="2271" spans="1:49" ht="14.5" x14ac:dyDescent="0.35">
      <c r="A2271" s="12">
        <v>2270</v>
      </c>
      <c r="B2271" s="59" t="s">
        <v>551</v>
      </c>
      <c r="C2271" s="59" t="s">
        <v>2706</v>
      </c>
      <c r="D2271" s="59" t="s">
        <v>2706</v>
      </c>
      <c r="E2271" s="50"/>
      <c r="F2271" s="13"/>
      <c r="G2271" s="13"/>
      <c r="H2271" s="61" t="s">
        <v>52</v>
      </c>
      <c r="I2271" s="59" t="s">
        <v>53</v>
      </c>
      <c r="J2271" s="47"/>
      <c r="K2271" s="47">
        <v>8.3000000000000007</v>
      </c>
      <c r="L2271" s="47" t="s">
        <v>433</v>
      </c>
      <c r="M2271" s="47"/>
      <c r="N2271" s="14" t="s">
        <v>85</v>
      </c>
      <c r="O2271" s="47" t="s">
        <v>101</v>
      </c>
      <c r="P2271" s="47"/>
      <c r="Q2271" s="47"/>
      <c r="R2271" s="47"/>
      <c r="S2271" s="47">
        <v>31.13207547</v>
      </c>
      <c r="T2271" s="47">
        <v>55.283018869999999</v>
      </c>
      <c r="U2271" s="19">
        <f t="shared" si="155"/>
        <v>1.7757575759211019</v>
      </c>
      <c r="V2271" s="41">
        <f t="shared" si="154"/>
        <v>77.575757592110193</v>
      </c>
      <c r="W2271" s="18"/>
      <c r="X2271" s="47" t="s">
        <v>56</v>
      </c>
      <c r="Y2271" s="47"/>
      <c r="Z2271" s="47" t="s">
        <v>56</v>
      </c>
      <c r="AA2271" s="47"/>
      <c r="AB2271" s="47" t="s">
        <v>57</v>
      </c>
      <c r="AC2271" s="47">
        <v>2012</v>
      </c>
      <c r="AD2271" s="47">
        <v>1</v>
      </c>
      <c r="AE2271" s="47">
        <v>4</v>
      </c>
      <c r="AF2271" s="47"/>
      <c r="AG2271" s="47">
        <v>1992</v>
      </c>
      <c r="AH2271" s="14">
        <f t="shared" si="152"/>
        <v>20</v>
      </c>
      <c r="AI2271" s="17">
        <f t="shared" si="153"/>
        <v>21.333333333333332</v>
      </c>
      <c r="AJ2271" s="47"/>
      <c r="AK2271" s="47" t="s">
        <v>56</v>
      </c>
      <c r="AL2271" s="59" t="s">
        <v>71</v>
      </c>
      <c r="AM2271" s="59">
        <v>2017</v>
      </c>
      <c r="AN2271" s="15" t="s">
        <v>150</v>
      </c>
      <c r="AO2271" s="59" t="s">
        <v>56</v>
      </c>
      <c r="AP2271" s="59"/>
      <c r="AQ2271" s="59" t="s">
        <v>56</v>
      </c>
      <c r="AR2271" s="59" t="s">
        <v>58</v>
      </c>
      <c r="AS2271" s="59" t="s">
        <v>62</v>
      </c>
      <c r="AT2271" s="50"/>
      <c r="AU2271" s="64" t="s">
        <v>2707</v>
      </c>
      <c r="AV2271" s="59"/>
      <c r="AW2271" s="12" t="str">
        <f>B2271&amp;C2271&amp;L2271&amp;M2271&amp;O2271&amp;U2271&amp;AL2271&amp;AM2271</f>
        <v>New ZealandWhanganui A Hei Marine ReserveEcklonia radiatacover1.7757575759211Edgar2017</v>
      </c>
    </row>
    <row r="2272" spans="1:49" ht="14.5" x14ac:dyDescent="0.35">
      <c r="A2272" s="12">
        <v>2271</v>
      </c>
      <c r="B2272" s="59" t="s">
        <v>551</v>
      </c>
      <c r="C2272" s="59" t="s">
        <v>2703</v>
      </c>
      <c r="D2272" s="59" t="s">
        <v>2703</v>
      </c>
      <c r="E2272" s="59"/>
      <c r="F2272" s="13" t="s">
        <v>50</v>
      </c>
      <c r="G2272" s="13" t="s">
        <v>51</v>
      </c>
      <c r="H2272" s="61" t="s">
        <v>52</v>
      </c>
      <c r="I2272" s="59" t="s">
        <v>53</v>
      </c>
      <c r="J2272" s="47"/>
      <c r="K2272" s="47">
        <v>18</v>
      </c>
      <c r="L2272" s="47" t="s">
        <v>433</v>
      </c>
      <c r="M2272" s="47"/>
      <c r="N2272" s="14" t="s">
        <v>85</v>
      </c>
      <c r="O2272" s="47" t="s">
        <v>101</v>
      </c>
      <c r="P2272" s="47"/>
      <c r="Q2272" s="47"/>
      <c r="R2272" s="47"/>
      <c r="S2272" s="47">
        <v>20.754716980000001</v>
      </c>
      <c r="T2272" s="47">
        <v>39.245283020000002</v>
      </c>
      <c r="U2272" s="20">
        <f t="shared" si="155"/>
        <v>1.8909090910667767</v>
      </c>
      <c r="V2272" s="41">
        <f t="shared" si="154"/>
        <v>89.090909106677671</v>
      </c>
      <c r="W2272" s="47"/>
      <c r="X2272" s="47" t="s">
        <v>56</v>
      </c>
      <c r="Y2272" s="17"/>
      <c r="Z2272" s="47" t="s">
        <v>56</v>
      </c>
      <c r="AA2272" s="47"/>
      <c r="AB2272" s="47" t="s">
        <v>57</v>
      </c>
      <c r="AC2272" s="47">
        <v>2012</v>
      </c>
      <c r="AD2272" s="47">
        <v>1</v>
      </c>
      <c r="AE2272" s="47">
        <v>4</v>
      </c>
      <c r="AF2272" s="47"/>
      <c r="AG2272" s="47">
        <v>1981</v>
      </c>
      <c r="AH2272" s="14">
        <f t="shared" si="152"/>
        <v>31</v>
      </c>
      <c r="AI2272" s="17">
        <f t="shared" si="153"/>
        <v>32.333333333333336</v>
      </c>
      <c r="AJ2272" s="47"/>
      <c r="AK2272" s="47" t="s">
        <v>56</v>
      </c>
      <c r="AL2272" s="59" t="s">
        <v>71</v>
      </c>
      <c r="AM2272" s="59">
        <v>2017</v>
      </c>
      <c r="AN2272" s="15" t="s">
        <v>150</v>
      </c>
      <c r="AO2272" s="59" t="s">
        <v>56</v>
      </c>
      <c r="AP2272" s="59"/>
      <c r="AQ2272" s="59" t="s">
        <v>56</v>
      </c>
      <c r="AR2272" s="59" t="s">
        <v>58</v>
      </c>
      <c r="AS2272" s="59" t="s">
        <v>62</v>
      </c>
      <c r="AT2272" s="59"/>
      <c r="AU2272" s="64"/>
      <c r="AV2272" s="59"/>
      <c r="AW2272" s="12" t="str">
        <f>B2272&amp;C2272&amp;L2272&amp;M2272&amp;O2272&amp;U2272&amp;AL2272&amp;AM2272</f>
        <v>New ZealandPoor Knights Islands Marine ReserveEcklonia radiatacover1.89090909106678Edgar2017</v>
      </c>
    </row>
    <row r="2273" spans="1:49" ht="14.5" x14ac:dyDescent="0.35">
      <c r="A2273" s="12">
        <v>2272</v>
      </c>
      <c r="B2273" s="59" t="s">
        <v>551</v>
      </c>
      <c r="C2273" s="59" t="s">
        <v>2704</v>
      </c>
      <c r="D2273" s="59" t="s">
        <v>2704</v>
      </c>
      <c r="E2273" s="59"/>
      <c r="F2273" s="13"/>
      <c r="G2273" s="13"/>
      <c r="H2273" s="61" t="s">
        <v>52</v>
      </c>
      <c r="I2273" s="59" t="s">
        <v>53</v>
      </c>
      <c r="J2273" s="47"/>
      <c r="K2273" s="47">
        <v>4</v>
      </c>
      <c r="L2273" s="47" t="s">
        <v>433</v>
      </c>
      <c r="M2273" s="47"/>
      <c r="N2273" s="14" t="s">
        <v>85</v>
      </c>
      <c r="O2273" s="47" t="s">
        <v>101</v>
      </c>
      <c r="P2273" s="47"/>
      <c r="Q2273" s="47"/>
      <c r="R2273" s="47"/>
      <c r="S2273" s="47">
        <v>21.32075472</v>
      </c>
      <c r="T2273" s="47">
        <v>41.886792450000002</v>
      </c>
      <c r="U2273" s="20">
        <f t="shared" si="155"/>
        <v>1.9646017695005875</v>
      </c>
      <c r="V2273" s="41">
        <f t="shared" si="154"/>
        <v>96.460176950058752</v>
      </c>
      <c r="W2273" s="47"/>
      <c r="X2273" s="47" t="s">
        <v>56</v>
      </c>
      <c r="Y2273" s="17"/>
      <c r="Z2273" s="47" t="s">
        <v>56</v>
      </c>
      <c r="AA2273" s="47"/>
      <c r="AB2273" s="47" t="s">
        <v>57</v>
      </c>
      <c r="AC2273" s="47">
        <v>2012</v>
      </c>
      <c r="AD2273" s="47">
        <v>1</v>
      </c>
      <c r="AE2273" s="47">
        <v>4</v>
      </c>
      <c r="AF2273" s="47"/>
      <c r="AG2273" s="47">
        <v>1981</v>
      </c>
      <c r="AH2273" s="14">
        <f t="shared" si="152"/>
        <v>31</v>
      </c>
      <c r="AI2273" s="17">
        <f t="shared" si="153"/>
        <v>32.333333333333336</v>
      </c>
      <c r="AJ2273" s="47"/>
      <c r="AK2273" s="47" t="s">
        <v>56</v>
      </c>
      <c r="AL2273" s="59" t="s">
        <v>71</v>
      </c>
      <c r="AM2273" s="59">
        <v>2017</v>
      </c>
      <c r="AN2273" s="15" t="s">
        <v>150</v>
      </c>
      <c r="AO2273" s="59" t="s">
        <v>56</v>
      </c>
      <c r="AP2273" s="59"/>
      <c r="AQ2273" s="59" t="s">
        <v>56</v>
      </c>
      <c r="AR2273" s="59" t="s">
        <v>58</v>
      </c>
      <c r="AS2273" s="59" t="s">
        <v>62</v>
      </c>
      <c r="AT2273" s="59"/>
      <c r="AU2273" s="64" t="s">
        <v>2707</v>
      </c>
      <c r="AV2273" s="59"/>
      <c r="AW2273" s="12" t="str">
        <f>B2273&amp;C2273&amp;L2273&amp;M2273&amp;O2273&amp;U2273&amp;AL2273&amp;AM2273</f>
        <v>New ZealandTawharanui Marine ReserveEcklonia radiatacover1.96460176950059Edgar2017</v>
      </c>
    </row>
    <row r="2274" spans="1:49" ht="14.5" x14ac:dyDescent="0.35">
      <c r="A2274" s="12">
        <v>2273</v>
      </c>
      <c r="B2274" s="59" t="s">
        <v>551</v>
      </c>
      <c r="C2274" s="59" t="s">
        <v>2705</v>
      </c>
      <c r="D2274" s="59" t="s">
        <v>2705</v>
      </c>
      <c r="E2274" s="59"/>
      <c r="F2274" s="13"/>
      <c r="G2274" s="13"/>
      <c r="H2274" s="61" t="s">
        <v>52</v>
      </c>
      <c r="I2274" s="59" t="s">
        <v>53</v>
      </c>
      <c r="J2274" s="47"/>
      <c r="K2274" s="47">
        <v>12.7</v>
      </c>
      <c r="L2274" s="47" t="s">
        <v>433</v>
      </c>
      <c r="M2274" s="47"/>
      <c r="N2274" s="14" t="s">
        <v>85</v>
      </c>
      <c r="O2274" s="47" t="s">
        <v>101</v>
      </c>
      <c r="P2274" s="47"/>
      <c r="Q2274" s="47"/>
      <c r="R2274" s="47"/>
      <c r="S2274" s="47">
        <v>49.056603770000002</v>
      </c>
      <c r="T2274" s="47">
        <v>49.81132075</v>
      </c>
      <c r="U2274" s="20">
        <f t="shared" si="155"/>
        <v>1.0153846153626627</v>
      </c>
      <c r="V2274" s="41">
        <f t="shared" si="154"/>
        <v>1.5384615362662668</v>
      </c>
      <c r="W2274" s="47"/>
      <c r="X2274" s="47" t="s">
        <v>56</v>
      </c>
      <c r="Y2274" s="17"/>
      <c r="Z2274" s="47" t="s">
        <v>56</v>
      </c>
      <c r="AA2274" s="47"/>
      <c r="AB2274" s="47" t="s">
        <v>57</v>
      </c>
      <c r="AC2274" s="47">
        <v>2012</v>
      </c>
      <c r="AD2274" s="47">
        <v>1</v>
      </c>
      <c r="AE2274" s="47">
        <v>4</v>
      </c>
      <c r="AF2274" s="47"/>
      <c r="AG2274" s="47">
        <v>2006</v>
      </c>
      <c r="AH2274" s="14">
        <f t="shared" si="152"/>
        <v>6</v>
      </c>
      <c r="AI2274" s="17">
        <f t="shared" si="153"/>
        <v>7.333333333333333</v>
      </c>
      <c r="AJ2274" s="47"/>
      <c r="AK2274" s="47" t="s">
        <v>56</v>
      </c>
      <c r="AL2274" s="59" t="s">
        <v>71</v>
      </c>
      <c r="AM2274" s="59">
        <v>2017</v>
      </c>
      <c r="AN2274" s="15" t="s">
        <v>150</v>
      </c>
      <c r="AO2274" s="59" t="s">
        <v>56</v>
      </c>
      <c r="AP2274" s="59"/>
      <c r="AQ2274" s="59" t="s">
        <v>56</v>
      </c>
      <c r="AR2274" s="59" t="s">
        <v>58</v>
      </c>
      <c r="AS2274" s="59" t="s">
        <v>62</v>
      </c>
      <c r="AT2274" s="59"/>
      <c r="AU2274" s="64" t="s">
        <v>2707</v>
      </c>
      <c r="AV2274" s="59"/>
      <c r="AW2274" s="12" t="str">
        <f>B2274&amp;C2274&amp;L2274&amp;M2274&amp;O2274&amp;U2274&amp;AL2274&amp;AM2274</f>
        <v>New ZealandTe Paepae o Aotea Marine ReserveEcklonia radiatacover1.01538461536266Edgar2017</v>
      </c>
    </row>
    <row r="2275" spans="1:49" ht="14.5" x14ac:dyDescent="0.35">
      <c r="A2275" s="12">
        <v>2274</v>
      </c>
      <c r="B2275" s="50" t="s">
        <v>551</v>
      </c>
      <c r="C2275" s="15" t="s">
        <v>1362</v>
      </c>
      <c r="D2275" s="15" t="s">
        <v>1362</v>
      </c>
      <c r="E2275" s="50"/>
      <c r="F2275" s="13"/>
      <c r="G2275" s="13"/>
      <c r="H2275" s="61" t="s">
        <v>52</v>
      </c>
      <c r="I2275" s="59" t="s">
        <v>53</v>
      </c>
      <c r="J2275" s="17">
        <v>10.6</v>
      </c>
      <c r="K2275" s="47"/>
      <c r="L2275" s="47" t="s">
        <v>433</v>
      </c>
      <c r="M2275" s="47"/>
      <c r="N2275" s="14" t="s">
        <v>85</v>
      </c>
      <c r="O2275" s="47" t="s">
        <v>101</v>
      </c>
      <c r="P2275" s="47"/>
      <c r="Q2275" s="47"/>
      <c r="R2275" s="47"/>
      <c r="S2275" s="47">
        <v>27.358490570000001</v>
      </c>
      <c r="T2275" s="47">
        <v>58.490566039999997</v>
      </c>
      <c r="U2275" s="19">
        <f t="shared" si="155"/>
        <v>2.1379310342558857</v>
      </c>
      <c r="V2275" s="41">
        <f t="shared" si="154"/>
        <v>113.79310342558857</v>
      </c>
      <c r="W2275" s="18"/>
      <c r="X2275" s="47" t="s">
        <v>56</v>
      </c>
      <c r="Y2275" s="47"/>
      <c r="Z2275" s="47" t="s">
        <v>56</v>
      </c>
      <c r="AA2275" s="47"/>
      <c r="AB2275" s="47" t="s">
        <v>57</v>
      </c>
      <c r="AC2275" s="47">
        <v>2012</v>
      </c>
      <c r="AD2275" s="47">
        <v>1</v>
      </c>
      <c r="AE2275" s="47">
        <v>4</v>
      </c>
      <c r="AF2275" s="47"/>
      <c r="AG2275" s="47">
        <v>1992</v>
      </c>
      <c r="AH2275" s="14">
        <f t="shared" si="152"/>
        <v>20</v>
      </c>
      <c r="AI2275" s="17">
        <f t="shared" si="153"/>
        <v>21.333333333333332</v>
      </c>
      <c r="AJ2275" s="47"/>
      <c r="AK2275" s="47" t="s">
        <v>56</v>
      </c>
      <c r="AL2275" s="59" t="s">
        <v>71</v>
      </c>
      <c r="AM2275" s="59">
        <v>2017</v>
      </c>
      <c r="AN2275" s="15" t="s">
        <v>150</v>
      </c>
      <c r="AO2275" s="59" t="s">
        <v>56</v>
      </c>
      <c r="AP2275" s="59"/>
      <c r="AQ2275" s="59" t="s">
        <v>56</v>
      </c>
      <c r="AR2275" s="59" t="s">
        <v>58</v>
      </c>
      <c r="AS2275" s="59" t="s">
        <v>62</v>
      </c>
      <c r="AT2275" s="50"/>
      <c r="AU2275" s="64" t="s">
        <v>2707</v>
      </c>
      <c r="AV2275" s="59"/>
      <c r="AW2275" s="12" t="str">
        <f>B2275&amp;C2275&amp;L2275&amp;M2275&amp;O2275&amp;U2275&amp;AL2275&amp;AM2275</f>
        <v>New ZealandMayor Island (Tuhua) Marine ReserveEcklonia radiatacover2.13793103425589Edgar2017</v>
      </c>
    </row>
    <row r="2276" spans="1:49" ht="14.5" x14ac:dyDescent="0.35">
      <c r="A2276" s="12">
        <v>2275</v>
      </c>
      <c r="B2276" s="50" t="s">
        <v>551</v>
      </c>
      <c r="C2276" s="59" t="s">
        <v>552</v>
      </c>
      <c r="D2276" s="59" t="s">
        <v>552</v>
      </c>
      <c r="E2276" s="50"/>
      <c r="F2276" s="13"/>
      <c r="G2276" s="13"/>
      <c r="H2276" s="61" t="s">
        <v>52</v>
      </c>
      <c r="I2276" s="59" t="s">
        <v>53</v>
      </c>
      <c r="J2276" s="17">
        <v>5.18</v>
      </c>
      <c r="K2276" s="47"/>
      <c r="L2276" s="47"/>
      <c r="M2276" s="47" t="s">
        <v>561</v>
      </c>
      <c r="N2276" s="53" t="s">
        <v>98</v>
      </c>
      <c r="O2276" s="47" t="s">
        <v>101</v>
      </c>
      <c r="P2276" s="47"/>
      <c r="Q2276" s="47"/>
      <c r="R2276" s="47"/>
      <c r="S2276" s="47">
        <v>16.854838709999999</v>
      </c>
      <c r="T2276" s="47">
        <v>10.887096769999999</v>
      </c>
      <c r="U2276" s="19">
        <f t="shared" si="155"/>
        <v>0.64593301409290083</v>
      </c>
      <c r="V2276" s="41">
        <f t="shared" si="154"/>
        <v>-35.406698590709915</v>
      </c>
      <c r="W2276" s="18"/>
      <c r="X2276" s="47" t="s">
        <v>56</v>
      </c>
      <c r="Y2276" s="47"/>
      <c r="Z2276" s="47" t="s">
        <v>56</v>
      </c>
      <c r="AA2276" s="47"/>
      <c r="AB2276" s="47" t="s">
        <v>57</v>
      </c>
      <c r="AC2276" s="47">
        <v>2012</v>
      </c>
      <c r="AD2276" s="47">
        <v>1</v>
      </c>
      <c r="AE2276" s="47">
        <v>4</v>
      </c>
      <c r="AF2276" s="47"/>
      <c r="AG2276" s="17">
        <v>1975</v>
      </c>
      <c r="AH2276" s="14">
        <f t="shared" si="152"/>
        <v>37</v>
      </c>
      <c r="AI2276" s="17">
        <f t="shared" si="153"/>
        <v>38.333333333333336</v>
      </c>
      <c r="AJ2276" s="47"/>
      <c r="AK2276" s="47" t="s">
        <v>56</v>
      </c>
      <c r="AL2276" s="59" t="s">
        <v>71</v>
      </c>
      <c r="AM2276" s="59">
        <v>2017</v>
      </c>
      <c r="AN2276" s="15" t="s">
        <v>150</v>
      </c>
      <c r="AO2276" s="59" t="s">
        <v>56</v>
      </c>
      <c r="AP2276" s="59"/>
      <c r="AQ2276" s="59" t="s">
        <v>56</v>
      </c>
      <c r="AR2276" s="59" t="s">
        <v>58</v>
      </c>
      <c r="AS2276" s="59" t="s">
        <v>62</v>
      </c>
      <c r="AT2276" s="50"/>
      <c r="AU2276" s="64"/>
      <c r="AV2276" s="59"/>
      <c r="AW2276" s="12" t="str">
        <f>B2276&amp;C2276&amp;L2276&amp;M2276&amp;O2276&amp;U2276&amp;AL2276&amp;AM2276</f>
        <v>New ZealandCape Rodney–Okakari Point Marine ReserveTurf algaecover0.645933014092901Edgar2017</v>
      </c>
    </row>
    <row r="2277" spans="1:49" ht="14.5" x14ac:dyDescent="0.35">
      <c r="A2277" s="12">
        <v>2276</v>
      </c>
      <c r="B2277" s="50" t="s">
        <v>551</v>
      </c>
      <c r="C2277" s="59" t="s">
        <v>2706</v>
      </c>
      <c r="D2277" s="59" t="s">
        <v>2706</v>
      </c>
      <c r="E2277" s="50"/>
      <c r="F2277" s="13"/>
      <c r="G2277" s="13"/>
      <c r="H2277" s="61" t="s">
        <v>52</v>
      </c>
      <c r="I2277" s="59" t="s">
        <v>53</v>
      </c>
      <c r="J2277" s="47"/>
      <c r="K2277" s="47">
        <v>8.3000000000000007</v>
      </c>
      <c r="L2277" s="47"/>
      <c r="M2277" s="47" t="s">
        <v>561</v>
      </c>
      <c r="N2277" s="53" t="s">
        <v>98</v>
      </c>
      <c r="O2277" s="47" t="s">
        <v>101</v>
      </c>
      <c r="P2277" s="47"/>
      <c r="Q2277" s="47"/>
      <c r="R2277" s="47"/>
      <c r="S2277" s="47">
        <v>16.048387099999999</v>
      </c>
      <c r="T2277" s="47">
        <v>12.01612903</v>
      </c>
      <c r="U2277" s="19">
        <f t="shared" si="155"/>
        <v>0.74874371830176012</v>
      </c>
      <c r="V2277" s="41">
        <f t="shared" si="154"/>
        <v>-25.125628169823987</v>
      </c>
      <c r="W2277" s="18"/>
      <c r="X2277" s="47" t="s">
        <v>56</v>
      </c>
      <c r="Y2277" s="47"/>
      <c r="Z2277" s="47" t="s">
        <v>56</v>
      </c>
      <c r="AA2277" s="47"/>
      <c r="AB2277" s="47" t="s">
        <v>57</v>
      </c>
      <c r="AC2277" s="47">
        <v>2012</v>
      </c>
      <c r="AD2277" s="47">
        <v>1</v>
      </c>
      <c r="AE2277" s="47">
        <v>4</v>
      </c>
      <c r="AF2277" s="47"/>
      <c r="AG2277" s="47">
        <v>1992</v>
      </c>
      <c r="AH2277" s="14">
        <f t="shared" si="152"/>
        <v>20</v>
      </c>
      <c r="AI2277" s="17">
        <f t="shared" si="153"/>
        <v>21.333333333333332</v>
      </c>
      <c r="AJ2277" s="47"/>
      <c r="AK2277" s="47" t="s">
        <v>56</v>
      </c>
      <c r="AL2277" s="59" t="s">
        <v>71</v>
      </c>
      <c r="AM2277" s="59">
        <v>2017</v>
      </c>
      <c r="AN2277" s="15" t="s">
        <v>150</v>
      </c>
      <c r="AO2277" s="59" t="s">
        <v>56</v>
      </c>
      <c r="AP2277" s="59"/>
      <c r="AQ2277" s="59" t="s">
        <v>56</v>
      </c>
      <c r="AR2277" s="59" t="s">
        <v>58</v>
      </c>
      <c r="AS2277" s="59" t="s">
        <v>62</v>
      </c>
      <c r="AT2277" s="50"/>
      <c r="AU2277" s="64" t="s">
        <v>2707</v>
      </c>
      <c r="AV2277" s="59"/>
      <c r="AW2277" s="12" t="str">
        <f>B2277&amp;C2277&amp;L2277&amp;M2277&amp;O2277&amp;U2277&amp;AL2277&amp;AM2277</f>
        <v>New ZealandWhanganui A Hei Marine ReserveTurf algaecover0.74874371830176Edgar2017</v>
      </c>
    </row>
    <row r="2278" spans="1:49" ht="14.5" x14ac:dyDescent="0.35">
      <c r="A2278" s="12">
        <v>2277</v>
      </c>
      <c r="B2278" s="50" t="s">
        <v>551</v>
      </c>
      <c r="C2278" s="59" t="s">
        <v>2703</v>
      </c>
      <c r="D2278" s="59" t="s">
        <v>2703</v>
      </c>
      <c r="E2278" s="50"/>
      <c r="F2278" s="13" t="s">
        <v>50</v>
      </c>
      <c r="G2278" s="13" t="s">
        <v>51</v>
      </c>
      <c r="H2278" s="61" t="s">
        <v>52</v>
      </c>
      <c r="I2278" s="59" t="s">
        <v>53</v>
      </c>
      <c r="J2278" s="47"/>
      <c r="K2278" s="47">
        <v>18</v>
      </c>
      <c r="L2278" s="47"/>
      <c r="M2278" s="47" t="s">
        <v>561</v>
      </c>
      <c r="N2278" s="53" t="s">
        <v>98</v>
      </c>
      <c r="O2278" s="47" t="s">
        <v>101</v>
      </c>
      <c r="P2278" s="47"/>
      <c r="Q2278" s="47"/>
      <c r="R2278" s="47"/>
      <c r="S2278" s="47">
        <v>22.903225809999999</v>
      </c>
      <c r="T2278" s="47">
        <v>12.5</v>
      </c>
      <c r="U2278" s="19">
        <f t="shared" si="155"/>
        <v>0.5457746478027673</v>
      </c>
      <c r="V2278" s="41">
        <f t="shared" si="154"/>
        <v>-45.422535219723272</v>
      </c>
      <c r="W2278" s="18"/>
      <c r="X2278" s="47" t="s">
        <v>56</v>
      </c>
      <c r="Y2278" s="17"/>
      <c r="Z2278" s="47" t="s">
        <v>56</v>
      </c>
      <c r="AA2278" s="47"/>
      <c r="AB2278" s="47" t="s">
        <v>57</v>
      </c>
      <c r="AC2278" s="47">
        <v>2012</v>
      </c>
      <c r="AD2278" s="47">
        <v>1</v>
      </c>
      <c r="AE2278" s="47">
        <v>4</v>
      </c>
      <c r="AF2278" s="47"/>
      <c r="AG2278" s="47">
        <v>1981</v>
      </c>
      <c r="AH2278" s="14">
        <f t="shared" si="152"/>
        <v>31</v>
      </c>
      <c r="AI2278" s="17">
        <f t="shared" si="153"/>
        <v>32.333333333333336</v>
      </c>
      <c r="AJ2278" s="47"/>
      <c r="AK2278" s="47" t="s">
        <v>56</v>
      </c>
      <c r="AL2278" s="59" t="s">
        <v>71</v>
      </c>
      <c r="AM2278" s="59">
        <v>2017</v>
      </c>
      <c r="AN2278" s="15" t="s">
        <v>150</v>
      </c>
      <c r="AO2278" s="59" t="s">
        <v>56</v>
      </c>
      <c r="AP2278" s="59"/>
      <c r="AQ2278" s="59" t="s">
        <v>56</v>
      </c>
      <c r="AR2278" s="59" t="s">
        <v>58</v>
      </c>
      <c r="AS2278" s="59" t="s">
        <v>62</v>
      </c>
      <c r="AT2278" s="50"/>
      <c r="AU2278" s="64"/>
      <c r="AV2278" s="59"/>
      <c r="AW2278" s="12" t="str">
        <f>B2278&amp;C2278&amp;L2278&amp;M2278&amp;O2278&amp;U2278&amp;AL2278&amp;AM2278</f>
        <v>New ZealandPoor Knights Islands Marine ReserveTurf algaecover0.545774647802767Edgar2017</v>
      </c>
    </row>
    <row r="2279" spans="1:49" ht="14.5" x14ac:dyDescent="0.35">
      <c r="A2279" s="12">
        <v>2278</v>
      </c>
      <c r="B2279" s="59" t="s">
        <v>551</v>
      </c>
      <c r="C2279" s="59" t="s">
        <v>2704</v>
      </c>
      <c r="D2279" s="59" t="s">
        <v>2704</v>
      </c>
      <c r="E2279" s="59"/>
      <c r="F2279" s="13"/>
      <c r="G2279" s="16"/>
      <c r="H2279" s="61" t="s">
        <v>52</v>
      </c>
      <c r="I2279" s="59" t="s">
        <v>53</v>
      </c>
      <c r="J2279" s="18"/>
      <c r="K2279" s="47">
        <v>4</v>
      </c>
      <c r="L2279" s="47"/>
      <c r="M2279" s="47" t="s">
        <v>561</v>
      </c>
      <c r="N2279" s="53" t="s">
        <v>98</v>
      </c>
      <c r="O2279" s="47" t="s">
        <v>101</v>
      </c>
      <c r="P2279" s="47"/>
      <c r="Q2279" s="47"/>
      <c r="R2279" s="47"/>
      <c r="S2279" s="47">
        <v>13.145161290000001</v>
      </c>
      <c r="T2279" s="47">
        <v>11.77419355</v>
      </c>
      <c r="U2279" s="20">
        <f t="shared" si="155"/>
        <v>0.8957055216170724</v>
      </c>
      <c r="V2279" s="41">
        <f t="shared" si="154"/>
        <v>-10.429447838292759</v>
      </c>
      <c r="W2279" s="47"/>
      <c r="X2279" s="47" t="s">
        <v>56</v>
      </c>
      <c r="Y2279" s="17"/>
      <c r="Z2279" s="47" t="s">
        <v>56</v>
      </c>
      <c r="AA2279" s="47"/>
      <c r="AB2279" s="47" t="s">
        <v>57</v>
      </c>
      <c r="AC2279" s="47">
        <v>2012</v>
      </c>
      <c r="AD2279" s="47">
        <v>1</v>
      </c>
      <c r="AE2279" s="47">
        <v>4</v>
      </c>
      <c r="AF2279" s="47"/>
      <c r="AG2279" s="47">
        <v>1981</v>
      </c>
      <c r="AH2279" s="14">
        <f t="shared" si="152"/>
        <v>31</v>
      </c>
      <c r="AI2279" s="17">
        <f t="shared" si="153"/>
        <v>32.333333333333336</v>
      </c>
      <c r="AJ2279" s="47"/>
      <c r="AK2279" s="47" t="s">
        <v>56</v>
      </c>
      <c r="AL2279" s="59" t="s">
        <v>71</v>
      </c>
      <c r="AM2279" s="59">
        <v>2017</v>
      </c>
      <c r="AN2279" s="15" t="s">
        <v>150</v>
      </c>
      <c r="AO2279" s="59" t="s">
        <v>56</v>
      </c>
      <c r="AP2279" s="59"/>
      <c r="AQ2279" s="59" t="s">
        <v>56</v>
      </c>
      <c r="AR2279" s="59" t="s">
        <v>58</v>
      </c>
      <c r="AS2279" s="59" t="s">
        <v>62</v>
      </c>
      <c r="AT2279" s="59"/>
      <c r="AU2279" s="64" t="s">
        <v>2707</v>
      </c>
      <c r="AV2279" s="59"/>
      <c r="AW2279" s="12" t="str">
        <f>B2279&amp;C2279&amp;L2279&amp;M2279&amp;O2279&amp;U2279&amp;AL2279&amp;AM2279</f>
        <v>New ZealandTawharanui Marine ReserveTurf algaecover0.895705521617072Edgar2017</v>
      </c>
    </row>
    <row r="2280" spans="1:49" ht="14.5" x14ac:dyDescent="0.35">
      <c r="A2280" s="12">
        <v>2279</v>
      </c>
      <c r="B2280" s="59" t="s">
        <v>551</v>
      </c>
      <c r="C2280" s="59" t="s">
        <v>2705</v>
      </c>
      <c r="D2280" s="59" t="s">
        <v>2705</v>
      </c>
      <c r="E2280" s="59"/>
      <c r="F2280" s="16"/>
      <c r="G2280" s="16"/>
      <c r="H2280" s="61" t="s">
        <v>52</v>
      </c>
      <c r="I2280" s="59" t="s">
        <v>53</v>
      </c>
      <c r="J2280" s="18"/>
      <c r="K2280" s="47">
        <v>12.7</v>
      </c>
      <c r="L2280" s="47"/>
      <c r="M2280" s="47" t="s">
        <v>561</v>
      </c>
      <c r="N2280" s="53" t="s">
        <v>98</v>
      </c>
      <c r="O2280" s="47" t="s">
        <v>101</v>
      </c>
      <c r="P2280" s="47"/>
      <c r="Q2280" s="47"/>
      <c r="R2280" s="47"/>
      <c r="S2280" s="47">
        <v>12.58064516</v>
      </c>
      <c r="T2280" s="47">
        <v>7.3387096769999998</v>
      </c>
      <c r="U2280" s="20">
        <f t="shared" si="155"/>
        <v>0.58333333335982906</v>
      </c>
      <c r="V2280" s="41">
        <f t="shared" si="154"/>
        <v>-41.666666664017093</v>
      </c>
      <c r="W2280" s="47"/>
      <c r="X2280" s="47" t="s">
        <v>56</v>
      </c>
      <c r="Y2280" s="17"/>
      <c r="Z2280" s="47" t="s">
        <v>56</v>
      </c>
      <c r="AA2280" s="47"/>
      <c r="AB2280" s="47" t="s">
        <v>57</v>
      </c>
      <c r="AC2280" s="47">
        <v>2012</v>
      </c>
      <c r="AD2280" s="47">
        <v>1</v>
      </c>
      <c r="AE2280" s="47">
        <v>4</v>
      </c>
      <c r="AF2280" s="47"/>
      <c r="AG2280" s="47">
        <v>2006</v>
      </c>
      <c r="AH2280" s="14">
        <f t="shared" si="152"/>
        <v>6</v>
      </c>
      <c r="AI2280" s="17">
        <f t="shared" si="153"/>
        <v>7.333333333333333</v>
      </c>
      <c r="AJ2280" s="47"/>
      <c r="AK2280" s="47" t="s">
        <v>56</v>
      </c>
      <c r="AL2280" s="59" t="s">
        <v>71</v>
      </c>
      <c r="AM2280" s="59">
        <v>2017</v>
      </c>
      <c r="AN2280" s="15" t="s">
        <v>150</v>
      </c>
      <c r="AO2280" s="59" t="s">
        <v>56</v>
      </c>
      <c r="AP2280" s="59"/>
      <c r="AQ2280" s="59" t="s">
        <v>56</v>
      </c>
      <c r="AR2280" s="59" t="s">
        <v>58</v>
      </c>
      <c r="AS2280" s="59" t="s">
        <v>62</v>
      </c>
      <c r="AT2280" s="59"/>
      <c r="AU2280" s="64" t="s">
        <v>2707</v>
      </c>
      <c r="AV2280" s="59"/>
      <c r="AW2280" s="12" t="str">
        <f>B2280&amp;C2280&amp;L2280&amp;M2280&amp;O2280&amp;U2280&amp;AL2280&amp;AM2280</f>
        <v>New ZealandTe Paepae o Aotea Marine ReserveTurf algaecover0.583333333359829Edgar2017</v>
      </c>
    </row>
    <row r="2281" spans="1:49" ht="14.5" x14ac:dyDescent="0.35">
      <c r="A2281" s="12">
        <v>2280</v>
      </c>
      <c r="B2281" s="59" t="s">
        <v>551</v>
      </c>
      <c r="C2281" s="15" t="s">
        <v>1362</v>
      </c>
      <c r="D2281" s="15" t="s">
        <v>1362</v>
      </c>
      <c r="E2281" s="50"/>
      <c r="F2281" s="13"/>
      <c r="G2281" s="13"/>
      <c r="H2281" s="61" t="s">
        <v>52</v>
      </c>
      <c r="I2281" s="59" t="s">
        <v>53</v>
      </c>
      <c r="J2281" s="14">
        <v>10.6</v>
      </c>
      <c r="K2281" s="47"/>
      <c r="L2281" s="47"/>
      <c r="M2281" s="47" t="s">
        <v>561</v>
      </c>
      <c r="N2281" s="53" t="s">
        <v>98</v>
      </c>
      <c r="O2281" s="47" t="s">
        <v>101</v>
      </c>
      <c r="P2281" s="47"/>
      <c r="Q2281" s="47"/>
      <c r="R2281" s="47"/>
      <c r="S2281" s="47">
        <v>14.27419355</v>
      </c>
      <c r="T2281" s="47">
        <v>8.8709677419999995</v>
      </c>
      <c r="U2281" s="19">
        <f t="shared" si="155"/>
        <v>0.62146892648796959</v>
      </c>
      <c r="V2281" s="41">
        <f t="shared" si="154"/>
        <v>-37.853107351203043</v>
      </c>
      <c r="W2281" s="18"/>
      <c r="X2281" s="47" t="s">
        <v>56</v>
      </c>
      <c r="Y2281" s="47"/>
      <c r="Z2281" s="47" t="s">
        <v>56</v>
      </c>
      <c r="AA2281" s="47"/>
      <c r="AB2281" s="47" t="s">
        <v>57</v>
      </c>
      <c r="AC2281" s="47">
        <v>2012</v>
      </c>
      <c r="AD2281" s="47">
        <v>1</v>
      </c>
      <c r="AE2281" s="47">
        <v>4</v>
      </c>
      <c r="AF2281" s="47"/>
      <c r="AG2281" s="47">
        <v>1992</v>
      </c>
      <c r="AH2281" s="14">
        <f t="shared" si="152"/>
        <v>20</v>
      </c>
      <c r="AI2281" s="17">
        <f t="shared" si="153"/>
        <v>21.333333333333332</v>
      </c>
      <c r="AJ2281" s="47"/>
      <c r="AK2281" s="47" t="s">
        <v>56</v>
      </c>
      <c r="AL2281" s="59" t="s">
        <v>71</v>
      </c>
      <c r="AM2281" s="59">
        <v>2017</v>
      </c>
      <c r="AN2281" s="12" t="s">
        <v>150</v>
      </c>
      <c r="AO2281" s="59" t="s">
        <v>56</v>
      </c>
      <c r="AP2281" s="59"/>
      <c r="AQ2281" s="59" t="s">
        <v>56</v>
      </c>
      <c r="AR2281" s="59" t="s">
        <v>58</v>
      </c>
      <c r="AS2281" s="59" t="s">
        <v>62</v>
      </c>
      <c r="AT2281" s="50"/>
      <c r="AU2281" s="64" t="s">
        <v>2707</v>
      </c>
      <c r="AV2281" s="59"/>
      <c r="AW2281" s="12" t="str">
        <f>B2281&amp;C2281&amp;L2281&amp;M2281&amp;O2281&amp;U2281&amp;AL2281&amp;AM2281</f>
        <v>New ZealandMayor Island (Tuhua) Marine ReserveTurf algaecover0.62146892648797Edgar2017</v>
      </c>
    </row>
    <row r="2282" spans="1:49" ht="14.5" x14ac:dyDescent="0.35">
      <c r="A2282" s="12">
        <v>2281</v>
      </c>
      <c r="B2282" s="59" t="s">
        <v>551</v>
      </c>
      <c r="C2282" s="59" t="s">
        <v>552</v>
      </c>
      <c r="D2282" s="59" t="s">
        <v>552</v>
      </c>
      <c r="E2282" s="59"/>
      <c r="F2282" s="13"/>
      <c r="G2282" s="13"/>
      <c r="H2282" s="61" t="s">
        <v>52</v>
      </c>
      <c r="I2282" s="59" t="s">
        <v>53</v>
      </c>
      <c r="J2282" s="14">
        <v>5.18</v>
      </c>
      <c r="K2282" s="47"/>
      <c r="L2282" s="47" t="s">
        <v>562</v>
      </c>
      <c r="M2282" s="47" t="s">
        <v>563</v>
      </c>
      <c r="N2282" s="47" t="s">
        <v>288</v>
      </c>
      <c r="O2282" s="47" t="s">
        <v>101</v>
      </c>
      <c r="P2282" s="47"/>
      <c r="Q2282" s="47"/>
      <c r="R2282" s="47"/>
      <c r="S2282" s="47">
        <v>28.333333329999999</v>
      </c>
      <c r="T2282" s="47">
        <v>3.111111111</v>
      </c>
      <c r="U2282" s="20">
        <f t="shared" si="155"/>
        <v>0.109803921577624</v>
      </c>
      <c r="V2282" s="41">
        <f t="shared" si="154"/>
        <v>-89.019607842237605</v>
      </c>
      <c r="W2282" s="47"/>
      <c r="X2282" s="47" t="s">
        <v>56</v>
      </c>
      <c r="Y2282" s="47"/>
      <c r="Z2282" s="47" t="s">
        <v>56</v>
      </c>
      <c r="AA2282" s="47"/>
      <c r="AB2282" s="47" t="s">
        <v>57</v>
      </c>
      <c r="AC2282" s="47">
        <v>2012</v>
      </c>
      <c r="AD2282" s="47">
        <v>1</v>
      </c>
      <c r="AE2282" s="47">
        <v>4</v>
      </c>
      <c r="AF2282" s="47"/>
      <c r="AG2282" s="17">
        <v>1975</v>
      </c>
      <c r="AH2282" s="14">
        <f t="shared" si="152"/>
        <v>37</v>
      </c>
      <c r="AI2282" s="17">
        <f t="shared" si="153"/>
        <v>38.333333333333336</v>
      </c>
      <c r="AJ2282" s="47"/>
      <c r="AK2282" s="47" t="s">
        <v>56</v>
      </c>
      <c r="AL2282" s="59" t="s">
        <v>71</v>
      </c>
      <c r="AM2282" s="59">
        <v>2017</v>
      </c>
      <c r="AN2282" s="15" t="s">
        <v>150</v>
      </c>
      <c r="AO2282" s="59" t="s">
        <v>56</v>
      </c>
      <c r="AP2282" s="59"/>
      <c r="AQ2282" s="59" t="s">
        <v>56</v>
      </c>
      <c r="AR2282" s="59" t="s">
        <v>58</v>
      </c>
      <c r="AS2282" s="59" t="s">
        <v>62</v>
      </c>
      <c r="AT2282" s="59"/>
      <c r="AU2282" s="64"/>
      <c r="AV2282" s="59"/>
      <c r="AW2282" s="12" t="str">
        <f>B2282&amp;C2282&amp;L2282&amp;M2282&amp;O2282&amp;U2282&amp;AL2282&amp;AM2282</f>
        <v>New ZealandCape Rodney–Okakari Point Marine ReserveFucalesFucoid algaecover0.109803921577624Edgar2017</v>
      </c>
    </row>
    <row r="2283" spans="1:49" ht="14.5" x14ac:dyDescent="0.35">
      <c r="A2283" s="12">
        <v>2282</v>
      </c>
      <c r="B2283" s="59" t="s">
        <v>551</v>
      </c>
      <c r="C2283" s="59" t="s">
        <v>2706</v>
      </c>
      <c r="D2283" s="59" t="s">
        <v>2706</v>
      </c>
      <c r="E2283" s="59"/>
      <c r="F2283" s="13"/>
      <c r="G2283" s="13"/>
      <c r="H2283" s="61" t="s">
        <v>52</v>
      </c>
      <c r="I2283" s="59" t="s">
        <v>53</v>
      </c>
      <c r="J2283" s="18"/>
      <c r="K2283" s="47">
        <v>8.3000000000000007</v>
      </c>
      <c r="L2283" s="47" t="s">
        <v>562</v>
      </c>
      <c r="M2283" s="47" t="s">
        <v>563</v>
      </c>
      <c r="N2283" s="47" t="s">
        <v>288</v>
      </c>
      <c r="O2283" s="47" t="s">
        <v>101</v>
      </c>
      <c r="P2283" s="47"/>
      <c r="Q2283" s="47"/>
      <c r="R2283" s="47"/>
      <c r="S2283" s="47">
        <v>6.5555555559999998</v>
      </c>
      <c r="T2283" s="47">
        <v>1.4444444439999999</v>
      </c>
      <c r="U2283" s="20">
        <f t="shared" si="155"/>
        <v>0.22033898296811261</v>
      </c>
      <c r="V2283" s="41">
        <f t="shared" si="154"/>
        <v>-77.966101703188741</v>
      </c>
      <c r="W2283" s="47"/>
      <c r="X2283" s="47" t="s">
        <v>56</v>
      </c>
      <c r="Y2283" s="47"/>
      <c r="Z2283" s="47" t="s">
        <v>56</v>
      </c>
      <c r="AA2283" s="47"/>
      <c r="AB2283" s="47" t="s">
        <v>57</v>
      </c>
      <c r="AC2283" s="47">
        <v>2012</v>
      </c>
      <c r="AD2283" s="47">
        <v>1</v>
      </c>
      <c r="AE2283" s="47">
        <v>4</v>
      </c>
      <c r="AF2283" s="47"/>
      <c r="AG2283" s="47">
        <v>1992</v>
      </c>
      <c r="AH2283" s="14">
        <f t="shared" si="152"/>
        <v>20</v>
      </c>
      <c r="AI2283" s="17">
        <f t="shared" si="153"/>
        <v>21.333333333333332</v>
      </c>
      <c r="AJ2283" s="47"/>
      <c r="AK2283" s="47" t="s">
        <v>56</v>
      </c>
      <c r="AL2283" s="59" t="s">
        <v>71</v>
      </c>
      <c r="AM2283" s="59">
        <v>2017</v>
      </c>
      <c r="AN2283" s="15" t="s">
        <v>150</v>
      </c>
      <c r="AO2283" s="59" t="s">
        <v>56</v>
      </c>
      <c r="AP2283" s="59"/>
      <c r="AQ2283" s="59" t="s">
        <v>56</v>
      </c>
      <c r="AR2283" s="59" t="s">
        <v>58</v>
      </c>
      <c r="AS2283" s="59" t="s">
        <v>62</v>
      </c>
      <c r="AT2283" s="59"/>
      <c r="AU2283" s="64" t="s">
        <v>2707</v>
      </c>
      <c r="AV2283" s="59"/>
      <c r="AW2283" s="12" t="str">
        <f>B2283&amp;C2283&amp;L2283&amp;M2283&amp;O2283&amp;U2283&amp;AL2283&amp;AM2283</f>
        <v>New ZealandWhanganui A Hei Marine ReserveFucalesFucoid algaecover0.220338982968113Edgar2017</v>
      </c>
    </row>
    <row r="2284" spans="1:49" ht="14.5" x14ac:dyDescent="0.35">
      <c r="A2284" s="12">
        <v>2283</v>
      </c>
      <c r="B2284" s="59" t="s">
        <v>551</v>
      </c>
      <c r="C2284" s="59" t="s">
        <v>2703</v>
      </c>
      <c r="D2284" s="59" t="s">
        <v>2703</v>
      </c>
      <c r="E2284" s="59"/>
      <c r="F2284" s="16" t="s">
        <v>50</v>
      </c>
      <c r="G2284" s="16" t="s">
        <v>51</v>
      </c>
      <c r="H2284" s="61" t="s">
        <v>52</v>
      </c>
      <c r="I2284" s="59" t="s">
        <v>53</v>
      </c>
      <c r="J2284" s="18"/>
      <c r="K2284" s="47">
        <v>18</v>
      </c>
      <c r="L2284" s="47" t="s">
        <v>562</v>
      </c>
      <c r="M2284" s="47" t="s">
        <v>563</v>
      </c>
      <c r="N2284" s="47" t="s">
        <v>288</v>
      </c>
      <c r="O2284" s="47" t="s">
        <v>101</v>
      </c>
      <c r="P2284" s="47"/>
      <c r="Q2284" s="47"/>
      <c r="R2284" s="47"/>
      <c r="S2284" s="47">
        <v>0.77777777800000003</v>
      </c>
      <c r="T2284" s="47">
        <v>1.6666666670000001</v>
      </c>
      <c r="U2284" s="20">
        <f t="shared" si="155"/>
        <v>2.1428571426734693</v>
      </c>
      <c r="V2284" s="41">
        <f t="shared" si="154"/>
        <v>114.28571426734693</v>
      </c>
      <c r="W2284" s="47"/>
      <c r="X2284" s="47" t="s">
        <v>56</v>
      </c>
      <c r="Y2284" s="17"/>
      <c r="Z2284" s="47" t="s">
        <v>56</v>
      </c>
      <c r="AA2284" s="47"/>
      <c r="AB2284" s="47" t="s">
        <v>57</v>
      </c>
      <c r="AC2284" s="47">
        <v>2012</v>
      </c>
      <c r="AD2284" s="47">
        <v>1</v>
      </c>
      <c r="AE2284" s="47">
        <v>4</v>
      </c>
      <c r="AF2284" s="47"/>
      <c r="AG2284" s="47">
        <v>1981</v>
      </c>
      <c r="AH2284" s="14">
        <f t="shared" si="152"/>
        <v>31</v>
      </c>
      <c r="AI2284" s="17">
        <f t="shared" si="153"/>
        <v>32.333333333333336</v>
      </c>
      <c r="AJ2284" s="47"/>
      <c r="AK2284" s="47" t="s">
        <v>56</v>
      </c>
      <c r="AL2284" s="59" t="s">
        <v>71</v>
      </c>
      <c r="AM2284" s="59">
        <v>2017</v>
      </c>
      <c r="AN2284" s="15" t="s">
        <v>150</v>
      </c>
      <c r="AO2284" s="59" t="s">
        <v>56</v>
      </c>
      <c r="AP2284" s="59"/>
      <c r="AQ2284" s="59" t="s">
        <v>56</v>
      </c>
      <c r="AR2284" s="59" t="s">
        <v>58</v>
      </c>
      <c r="AS2284" s="59" t="s">
        <v>62</v>
      </c>
      <c r="AT2284" s="59"/>
      <c r="AU2284" s="64"/>
      <c r="AV2284" s="59"/>
      <c r="AW2284" s="12" t="str">
        <f>B2284&amp;C2284&amp;L2284&amp;M2284&amp;O2284&amp;U2284&amp;AL2284&amp;AM2284</f>
        <v>New ZealandPoor Knights Islands Marine ReserveFucalesFucoid algaecover2.14285714267347Edgar2017</v>
      </c>
    </row>
    <row r="2285" spans="1:49" ht="14.5" x14ac:dyDescent="0.35">
      <c r="A2285" s="12">
        <v>2284</v>
      </c>
      <c r="B2285" s="59" t="s">
        <v>551</v>
      </c>
      <c r="C2285" s="59" t="s">
        <v>2704</v>
      </c>
      <c r="D2285" s="59" t="s">
        <v>2704</v>
      </c>
      <c r="E2285" s="59"/>
      <c r="F2285" s="16"/>
      <c r="G2285" s="16"/>
      <c r="H2285" s="61" t="s">
        <v>52</v>
      </c>
      <c r="I2285" s="59" t="s">
        <v>53</v>
      </c>
      <c r="J2285" s="18"/>
      <c r="K2285" s="47">
        <v>4</v>
      </c>
      <c r="L2285" s="47" t="s">
        <v>562</v>
      </c>
      <c r="M2285" s="47" t="s">
        <v>563</v>
      </c>
      <c r="N2285" s="47" t="s">
        <v>288</v>
      </c>
      <c r="O2285" s="47" t="s">
        <v>101</v>
      </c>
      <c r="P2285" s="47"/>
      <c r="Q2285" s="47"/>
      <c r="R2285" s="47"/>
      <c r="S2285" s="47">
        <v>7.2222222220000001</v>
      </c>
      <c r="T2285" s="47">
        <v>2.2222222220000001</v>
      </c>
      <c r="U2285" s="20">
        <f t="shared" si="155"/>
        <v>0.30769230767100592</v>
      </c>
      <c r="V2285" s="41">
        <f t="shared" si="154"/>
        <v>-69.230769232899419</v>
      </c>
      <c r="W2285" s="47"/>
      <c r="X2285" s="47" t="s">
        <v>56</v>
      </c>
      <c r="Y2285" s="17"/>
      <c r="Z2285" s="47" t="s">
        <v>56</v>
      </c>
      <c r="AA2285" s="47"/>
      <c r="AB2285" s="47" t="s">
        <v>57</v>
      </c>
      <c r="AC2285" s="47">
        <v>2012</v>
      </c>
      <c r="AD2285" s="47">
        <v>1</v>
      </c>
      <c r="AE2285" s="47">
        <v>4</v>
      </c>
      <c r="AF2285" s="47"/>
      <c r="AG2285" s="47">
        <v>1981</v>
      </c>
      <c r="AH2285" s="14">
        <f t="shared" si="152"/>
        <v>31</v>
      </c>
      <c r="AI2285" s="17">
        <f t="shared" si="153"/>
        <v>32.333333333333336</v>
      </c>
      <c r="AJ2285" s="47"/>
      <c r="AK2285" s="47" t="s">
        <v>56</v>
      </c>
      <c r="AL2285" s="59" t="s">
        <v>71</v>
      </c>
      <c r="AM2285" s="59">
        <v>2017</v>
      </c>
      <c r="AN2285" s="15" t="s">
        <v>150</v>
      </c>
      <c r="AO2285" s="59" t="s">
        <v>56</v>
      </c>
      <c r="AP2285" s="59"/>
      <c r="AQ2285" s="59" t="s">
        <v>56</v>
      </c>
      <c r="AR2285" s="59" t="s">
        <v>58</v>
      </c>
      <c r="AS2285" s="59" t="s">
        <v>62</v>
      </c>
      <c r="AT2285" s="59"/>
      <c r="AU2285" s="64" t="s">
        <v>2707</v>
      </c>
      <c r="AV2285" s="59"/>
      <c r="AW2285" s="12" t="str">
        <f>B2285&amp;C2285&amp;L2285&amp;M2285&amp;O2285&amp;U2285&amp;AL2285&amp;AM2285</f>
        <v>New ZealandTawharanui Marine ReserveFucalesFucoid algaecover0.307692307671006Edgar2017</v>
      </c>
    </row>
    <row r="2286" spans="1:49" ht="14.5" x14ac:dyDescent="0.35">
      <c r="A2286" s="12">
        <v>2285</v>
      </c>
      <c r="B2286" s="59" t="s">
        <v>551</v>
      </c>
      <c r="C2286" s="59" t="s">
        <v>2705</v>
      </c>
      <c r="D2286" s="59" t="s">
        <v>2705</v>
      </c>
      <c r="E2286" s="59"/>
      <c r="F2286" s="16"/>
      <c r="G2286" s="16"/>
      <c r="H2286" s="61" t="s">
        <v>52</v>
      </c>
      <c r="I2286" s="59" t="s">
        <v>53</v>
      </c>
      <c r="J2286" s="18"/>
      <c r="K2286" s="47">
        <v>12.7</v>
      </c>
      <c r="L2286" s="47" t="s">
        <v>562</v>
      </c>
      <c r="M2286" s="47" t="s">
        <v>563</v>
      </c>
      <c r="N2286" s="47" t="s">
        <v>288</v>
      </c>
      <c r="O2286" s="47" t="s">
        <v>101</v>
      </c>
      <c r="P2286" s="47"/>
      <c r="Q2286" s="47"/>
      <c r="R2286" s="47"/>
      <c r="S2286" s="47">
        <v>3.2222222220000001</v>
      </c>
      <c r="T2286" s="47">
        <v>14.44444444</v>
      </c>
      <c r="U2286" s="20">
        <f t="shared" si="155"/>
        <v>4.4827586196195002</v>
      </c>
      <c r="V2286" s="41">
        <f t="shared" si="154"/>
        <v>348.27586196195</v>
      </c>
      <c r="W2286" s="47"/>
      <c r="X2286" s="47" t="s">
        <v>56</v>
      </c>
      <c r="Y2286" s="17"/>
      <c r="Z2286" s="47" t="s">
        <v>56</v>
      </c>
      <c r="AA2286" s="47"/>
      <c r="AB2286" s="47" t="s">
        <v>57</v>
      </c>
      <c r="AC2286" s="47">
        <v>2012</v>
      </c>
      <c r="AD2286" s="47">
        <v>1</v>
      </c>
      <c r="AE2286" s="47">
        <v>4</v>
      </c>
      <c r="AF2286" s="47"/>
      <c r="AG2286" s="47">
        <v>2006</v>
      </c>
      <c r="AH2286" s="14">
        <f t="shared" si="152"/>
        <v>6</v>
      </c>
      <c r="AI2286" s="17">
        <f t="shared" si="153"/>
        <v>7.333333333333333</v>
      </c>
      <c r="AJ2286" s="47"/>
      <c r="AK2286" s="47" t="s">
        <v>56</v>
      </c>
      <c r="AL2286" s="59" t="s">
        <v>71</v>
      </c>
      <c r="AM2286" s="59">
        <v>2017</v>
      </c>
      <c r="AN2286" s="15" t="s">
        <v>150</v>
      </c>
      <c r="AO2286" s="59" t="s">
        <v>56</v>
      </c>
      <c r="AP2286" s="59"/>
      <c r="AQ2286" s="59" t="s">
        <v>56</v>
      </c>
      <c r="AR2286" s="59" t="s">
        <v>58</v>
      </c>
      <c r="AS2286" s="59" t="s">
        <v>62</v>
      </c>
      <c r="AT2286" s="59"/>
      <c r="AU2286" s="64" t="s">
        <v>2707</v>
      </c>
      <c r="AV2286" s="59"/>
      <c r="AW2286" s="12" t="str">
        <f>B2286&amp;C2286&amp;L2286&amp;M2286&amp;O2286&amp;U2286&amp;AL2286&amp;AM2286</f>
        <v>New ZealandTe Paepae o Aotea Marine ReserveFucalesFucoid algaecover4.4827586196195Edgar2017</v>
      </c>
    </row>
    <row r="2287" spans="1:49" ht="14.5" x14ac:dyDescent="0.35">
      <c r="A2287" s="12">
        <v>2286</v>
      </c>
      <c r="B2287" s="59" t="s">
        <v>551</v>
      </c>
      <c r="C2287" s="15" t="s">
        <v>1362</v>
      </c>
      <c r="D2287" s="15" t="s">
        <v>1362</v>
      </c>
      <c r="E2287" s="50"/>
      <c r="F2287" s="16"/>
      <c r="G2287" s="16"/>
      <c r="H2287" s="61" t="s">
        <v>52</v>
      </c>
      <c r="I2287" s="59" t="s">
        <v>53</v>
      </c>
      <c r="J2287" s="14">
        <v>10.6</v>
      </c>
      <c r="K2287" s="47"/>
      <c r="L2287" s="47" t="s">
        <v>562</v>
      </c>
      <c r="M2287" s="47" t="s">
        <v>563</v>
      </c>
      <c r="N2287" s="47" t="s">
        <v>288</v>
      </c>
      <c r="O2287" s="47" t="s">
        <v>101</v>
      </c>
      <c r="P2287" s="47"/>
      <c r="Q2287" s="47"/>
      <c r="R2287" s="47"/>
      <c r="S2287" s="47">
        <v>4.6666666670000003</v>
      </c>
      <c r="T2287" s="47">
        <v>1.4444444439999999</v>
      </c>
      <c r="U2287" s="19">
        <f t="shared" si="155"/>
        <v>0.30952380940646257</v>
      </c>
      <c r="V2287" s="41">
        <f t="shared" si="154"/>
        <v>-69.04761905935375</v>
      </c>
      <c r="W2287" s="18"/>
      <c r="X2287" s="47" t="s">
        <v>56</v>
      </c>
      <c r="Y2287" s="47"/>
      <c r="Z2287" s="47" t="s">
        <v>56</v>
      </c>
      <c r="AA2287" s="47"/>
      <c r="AB2287" s="47" t="s">
        <v>57</v>
      </c>
      <c r="AC2287" s="47">
        <v>2012</v>
      </c>
      <c r="AD2287" s="47">
        <v>1</v>
      </c>
      <c r="AE2287" s="47">
        <v>4</v>
      </c>
      <c r="AF2287" s="47"/>
      <c r="AG2287" s="47">
        <v>1992</v>
      </c>
      <c r="AH2287" s="14">
        <f t="shared" si="152"/>
        <v>20</v>
      </c>
      <c r="AI2287" s="17">
        <f t="shared" si="153"/>
        <v>21.333333333333332</v>
      </c>
      <c r="AJ2287" s="47"/>
      <c r="AK2287" s="47" t="s">
        <v>56</v>
      </c>
      <c r="AL2287" s="59" t="s">
        <v>71</v>
      </c>
      <c r="AM2287" s="59">
        <v>2017</v>
      </c>
      <c r="AN2287" s="12" t="s">
        <v>150</v>
      </c>
      <c r="AO2287" s="59" t="s">
        <v>56</v>
      </c>
      <c r="AP2287" s="59"/>
      <c r="AQ2287" s="59" t="s">
        <v>56</v>
      </c>
      <c r="AR2287" s="59" t="s">
        <v>58</v>
      </c>
      <c r="AS2287" s="59" t="s">
        <v>62</v>
      </c>
      <c r="AT2287" s="50"/>
      <c r="AU2287" s="64" t="s">
        <v>2707</v>
      </c>
      <c r="AV2287" s="59"/>
      <c r="AW2287" s="12" t="str">
        <f>B2287&amp;C2287&amp;L2287&amp;M2287&amp;O2287&amp;U2287&amp;AL2287&amp;AM2287</f>
        <v>New ZealandMayor Island (Tuhua) Marine ReserveFucalesFucoid algaecover0.309523809406463Edgar2017</v>
      </c>
    </row>
    <row r="2288" spans="1:49" ht="14.5" x14ac:dyDescent="0.35">
      <c r="A2288" s="12">
        <v>2287</v>
      </c>
      <c r="B2288" s="59" t="s">
        <v>551</v>
      </c>
      <c r="C2288" s="59" t="s">
        <v>552</v>
      </c>
      <c r="D2288" s="59" t="s">
        <v>552</v>
      </c>
      <c r="E2288" s="50"/>
      <c r="F2288" s="16"/>
      <c r="G2288" s="16"/>
      <c r="H2288" s="61" t="s">
        <v>52</v>
      </c>
      <c r="I2288" s="59" t="s">
        <v>53</v>
      </c>
      <c r="J2288" s="14">
        <v>5.18</v>
      </c>
      <c r="K2288" s="47"/>
      <c r="L2288" s="47" t="s">
        <v>564</v>
      </c>
      <c r="M2288" s="47" t="s">
        <v>102</v>
      </c>
      <c r="N2288" s="47" t="s">
        <v>288</v>
      </c>
      <c r="O2288" s="47" t="s">
        <v>101</v>
      </c>
      <c r="P2288" s="47"/>
      <c r="Q2288" s="47"/>
      <c r="R2288" s="47"/>
      <c r="S2288" s="47">
        <v>17.272727270000001</v>
      </c>
      <c r="T2288" s="47">
        <v>20.68181818</v>
      </c>
      <c r="U2288" s="19">
        <f t="shared" si="155"/>
        <v>1.1973684211364266</v>
      </c>
      <c r="V2288" s="41">
        <f t="shared" si="154"/>
        <v>19.736842113642659</v>
      </c>
      <c r="W2288" s="18"/>
      <c r="X2288" s="47" t="s">
        <v>56</v>
      </c>
      <c r="Y2288" s="47"/>
      <c r="Z2288" s="47" t="s">
        <v>56</v>
      </c>
      <c r="AA2288" s="47"/>
      <c r="AB2288" s="47" t="s">
        <v>57</v>
      </c>
      <c r="AC2288" s="47">
        <v>2012</v>
      </c>
      <c r="AD2288" s="47">
        <v>1</v>
      </c>
      <c r="AE2288" s="47">
        <v>4</v>
      </c>
      <c r="AF2288" s="47"/>
      <c r="AG2288" s="17">
        <v>1975</v>
      </c>
      <c r="AH2288" s="14">
        <f t="shared" si="152"/>
        <v>37</v>
      </c>
      <c r="AI2288" s="17">
        <f t="shared" si="153"/>
        <v>38.333333333333336</v>
      </c>
      <c r="AJ2288" s="47"/>
      <c r="AK2288" s="47" t="s">
        <v>56</v>
      </c>
      <c r="AL2288" s="59" t="s">
        <v>71</v>
      </c>
      <c r="AM2288" s="59">
        <v>2017</v>
      </c>
      <c r="AN2288" s="12" t="s">
        <v>150</v>
      </c>
      <c r="AO2288" s="59" t="s">
        <v>56</v>
      </c>
      <c r="AP2288" s="59"/>
      <c r="AQ2288" s="59" t="s">
        <v>56</v>
      </c>
      <c r="AR2288" s="59" t="s">
        <v>58</v>
      </c>
      <c r="AS2288" s="59" t="s">
        <v>62</v>
      </c>
      <c r="AT2288" s="50"/>
      <c r="AU2288" s="64"/>
      <c r="AV2288" s="59"/>
      <c r="AW2288" s="12" t="str">
        <f>B2288&amp;C2288&amp;L2288&amp;M2288&amp;O2288&amp;U2288&amp;AL2288&amp;AM2288</f>
        <v>New ZealandCape Rodney–Okakari Point Marine ReserveCorallinalesCrustose coralline algaecover1.19736842113643Edgar2017</v>
      </c>
    </row>
    <row r="2289" spans="1:49" ht="14.5" x14ac:dyDescent="0.35">
      <c r="A2289" s="12">
        <v>2288</v>
      </c>
      <c r="B2289" s="59" t="s">
        <v>551</v>
      </c>
      <c r="C2289" s="59" t="s">
        <v>2706</v>
      </c>
      <c r="D2289" s="59" t="s">
        <v>2706</v>
      </c>
      <c r="E2289" s="59"/>
      <c r="F2289" s="16"/>
      <c r="G2289" s="16"/>
      <c r="H2289" s="61" t="s">
        <v>52</v>
      </c>
      <c r="I2289" s="59" t="s">
        <v>53</v>
      </c>
      <c r="J2289" s="18"/>
      <c r="K2289" s="47">
        <v>8.3000000000000007</v>
      </c>
      <c r="L2289" s="47" t="s">
        <v>564</v>
      </c>
      <c r="M2289" s="47" t="s">
        <v>102</v>
      </c>
      <c r="N2289" s="47" t="s">
        <v>288</v>
      </c>
      <c r="O2289" s="47" t="s">
        <v>101</v>
      </c>
      <c r="P2289" s="47"/>
      <c r="Q2289" s="47"/>
      <c r="R2289" s="47"/>
      <c r="S2289" s="47">
        <v>8.4090909089999997</v>
      </c>
      <c r="T2289" s="47">
        <v>16.022727270000001</v>
      </c>
      <c r="U2289" s="20">
        <f t="shared" si="155"/>
        <v>1.9054054051016802</v>
      </c>
      <c r="V2289" s="41">
        <f t="shared" si="154"/>
        <v>90.540540510168029</v>
      </c>
      <c r="W2289" s="47"/>
      <c r="X2289" s="47" t="s">
        <v>56</v>
      </c>
      <c r="Y2289" s="47"/>
      <c r="Z2289" s="47" t="s">
        <v>56</v>
      </c>
      <c r="AA2289" s="47"/>
      <c r="AB2289" s="47" t="s">
        <v>57</v>
      </c>
      <c r="AC2289" s="47">
        <v>2012</v>
      </c>
      <c r="AD2289" s="47">
        <v>1</v>
      </c>
      <c r="AE2289" s="47">
        <v>4</v>
      </c>
      <c r="AF2289" s="47"/>
      <c r="AG2289" s="47">
        <v>1992</v>
      </c>
      <c r="AH2289" s="14">
        <f t="shared" si="152"/>
        <v>20</v>
      </c>
      <c r="AI2289" s="17">
        <f t="shared" si="153"/>
        <v>21.333333333333332</v>
      </c>
      <c r="AJ2289" s="47"/>
      <c r="AK2289" s="47" t="s">
        <v>56</v>
      </c>
      <c r="AL2289" s="59" t="s">
        <v>71</v>
      </c>
      <c r="AM2289" s="59">
        <v>2017</v>
      </c>
      <c r="AN2289" s="15" t="s">
        <v>150</v>
      </c>
      <c r="AO2289" s="59" t="s">
        <v>56</v>
      </c>
      <c r="AP2289" s="59"/>
      <c r="AQ2289" s="59" t="s">
        <v>56</v>
      </c>
      <c r="AR2289" s="59" t="s">
        <v>58</v>
      </c>
      <c r="AS2289" s="59" t="s">
        <v>62</v>
      </c>
      <c r="AT2289" s="59"/>
      <c r="AU2289" s="64" t="s">
        <v>2707</v>
      </c>
      <c r="AV2289" s="59"/>
      <c r="AW2289" s="12" t="str">
        <f>B2289&amp;C2289&amp;L2289&amp;M2289&amp;O2289&amp;U2289&amp;AL2289&amp;AM2289</f>
        <v>New ZealandWhanganui A Hei Marine ReserveCorallinalesCrustose coralline algaecover1.90540540510168Edgar2017</v>
      </c>
    </row>
    <row r="2290" spans="1:49" ht="14.5" x14ac:dyDescent="0.35">
      <c r="A2290" s="12">
        <v>2289</v>
      </c>
      <c r="B2290" s="59" t="s">
        <v>551</v>
      </c>
      <c r="C2290" s="59" t="s">
        <v>2703</v>
      </c>
      <c r="D2290" s="59" t="s">
        <v>2703</v>
      </c>
      <c r="E2290" s="59"/>
      <c r="F2290" s="16" t="s">
        <v>50</v>
      </c>
      <c r="G2290" s="16" t="s">
        <v>51</v>
      </c>
      <c r="H2290" s="61" t="s">
        <v>52</v>
      </c>
      <c r="I2290" s="59" t="s">
        <v>53</v>
      </c>
      <c r="J2290" s="18"/>
      <c r="K2290" s="47">
        <v>18</v>
      </c>
      <c r="L2290" s="47" t="s">
        <v>564</v>
      </c>
      <c r="M2290" s="47" t="s">
        <v>102</v>
      </c>
      <c r="N2290" s="47" t="s">
        <v>288</v>
      </c>
      <c r="O2290" s="47" t="s">
        <v>101</v>
      </c>
      <c r="P2290" s="47"/>
      <c r="Q2290" s="47"/>
      <c r="R2290" s="47"/>
      <c r="S2290" s="47">
        <v>20</v>
      </c>
      <c r="T2290" s="47">
        <v>19.31818182</v>
      </c>
      <c r="U2290" s="20">
        <f t="shared" si="155"/>
        <v>0.965909091</v>
      </c>
      <c r="V2290" s="41">
        <f t="shared" si="154"/>
        <v>-3.4090909000000003</v>
      </c>
      <c r="W2290" s="47"/>
      <c r="X2290" s="47" t="s">
        <v>56</v>
      </c>
      <c r="Y2290" s="17"/>
      <c r="Z2290" s="47" t="s">
        <v>56</v>
      </c>
      <c r="AA2290" s="47"/>
      <c r="AB2290" s="47" t="s">
        <v>57</v>
      </c>
      <c r="AC2290" s="47">
        <v>2012</v>
      </c>
      <c r="AD2290" s="47">
        <v>1</v>
      </c>
      <c r="AE2290" s="47">
        <v>4</v>
      </c>
      <c r="AF2290" s="47"/>
      <c r="AG2290" s="47">
        <v>1981</v>
      </c>
      <c r="AH2290" s="14">
        <f t="shared" si="152"/>
        <v>31</v>
      </c>
      <c r="AI2290" s="17">
        <f t="shared" si="153"/>
        <v>32.333333333333336</v>
      </c>
      <c r="AJ2290" s="47"/>
      <c r="AK2290" s="47" t="s">
        <v>56</v>
      </c>
      <c r="AL2290" s="59" t="s">
        <v>71</v>
      </c>
      <c r="AM2290" s="59">
        <v>2017</v>
      </c>
      <c r="AN2290" s="12" t="s">
        <v>150</v>
      </c>
      <c r="AO2290" s="59" t="s">
        <v>56</v>
      </c>
      <c r="AP2290" s="59"/>
      <c r="AQ2290" s="59" t="s">
        <v>56</v>
      </c>
      <c r="AR2290" s="59" t="s">
        <v>58</v>
      </c>
      <c r="AS2290" s="59" t="s">
        <v>62</v>
      </c>
      <c r="AT2290" s="59"/>
      <c r="AU2290" s="64"/>
      <c r="AV2290" s="59"/>
      <c r="AW2290" s="12" t="str">
        <f>B2290&amp;C2290&amp;L2290&amp;M2290&amp;O2290&amp;U2290&amp;AL2290&amp;AM2290</f>
        <v>New ZealandPoor Knights Islands Marine ReserveCorallinalesCrustose coralline algaecover0.965909091Edgar2017</v>
      </c>
    </row>
    <row r="2291" spans="1:49" ht="14.5" x14ac:dyDescent="0.35">
      <c r="A2291" s="12">
        <v>2290</v>
      </c>
      <c r="B2291" s="59" t="s">
        <v>551</v>
      </c>
      <c r="C2291" s="59" t="s">
        <v>2704</v>
      </c>
      <c r="D2291" s="59" t="s">
        <v>2704</v>
      </c>
      <c r="E2291" s="59"/>
      <c r="F2291" s="16"/>
      <c r="G2291" s="16"/>
      <c r="H2291" s="61" t="s">
        <v>52</v>
      </c>
      <c r="I2291" s="59" t="s">
        <v>53</v>
      </c>
      <c r="J2291" s="18"/>
      <c r="K2291" s="47">
        <v>4</v>
      </c>
      <c r="L2291" s="47" t="s">
        <v>564</v>
      </c>
      <c r="M2291" s="47" t="s">
        <v>102</v>
      </c>
      <c r="N2291" s="47" t="s">
        <v>288</v>
      </c>
      <c r="O2291" s="47" t="s">
        <v>101</v>
      </c>
      <c r="P2291" s="47"/>
      <c r="Q2291" s="47"/>
      <c r="R2291" s="47"/>
      <c r="S2291" s="47">
        <v>31.25</v>
      </c>
      <c r="T2291" s="47">
        <v>25.90909091</v>
      </c>
      <c r="U2291" s="20">
        <f t="shared" si="155"/>
        <v>0.82909090911999994</v>
      </c>
      <c r="V2291" s="41">
        <f t="shared" si="154"/>
        <v>-17.090909088000007</v>
      </c>
      <c r="W2291" s="47"/>
      <c r="X2291" s="47" t="s">
        <v>56</v>
      </c>
      <c r="Y2291" s="17"/>
      <c r="Z2291" s="47" t="s">
        <v>56</v>
      </c>
      <c r="AA2291" s="47"/>
      <c r="AB2291" s="47" t="s">
        <v>57</v>
      </c>
      <c r="AC2291" s="47">
        <v>2012</v>
      </c>
      <c r="AD2291" s="47">
        <v>1</v>
      </c>
      <c r="AE2291" s="47">
        <v>4</v>
      </c>
      <c r="AF2291" s="47"/>
      <c r="AG2291" s="47">
        <v>1981</v>
      </c>
      <c r="AH2291" s="14">
        <f t="shared" si="152"/>
        <v>31</v>
      </c>
      <c r="AI2291" s="17">
        <f t="shared" si="153"/>
        <v>32.333333333333336</v>
      </c>
      <c r="AJ2291" s="47"/>
      <c r="AK2291" s="47" t="s">
        <v>56</v>
      </c>
      <c r="AL2291" s="59" t="s">
        <v>71</v>
      </c>
      <c r="AM2291" s="59">
        <v>2017</v>
      </c>
      <c r="AN2291" s="12" t="s">
        <v>150</v>
      </c>
      <c r="AO2291" s="59" t="s">
        <v>56</v>
      </c>
      <c r="AP2291" s="59"/>
      <c r="AQ2291" s="59" t="s">
        <v>56</v>
      </c>
      <c r="AR2291" s="59" t="s">
        <v>58</v>
      </c>
      <c r="AS2291" s="59" t="s">
        <v>62</v>
      </c>
      <c r="AT2291" s="59"/>
      <c r="AU2291" s="64" t="s">
        <v>2707</v>
      </c>
      <c r="AV2291" s="59"/>
      <c r="AW2291" s="12" t="str">
        <f>B2291&amp;C2291&amp;L2291&amp;M2291&amp;O2291&amp;U2291&amp;AL2291&amp;AM2291</f>
        <v>New ZealandTawharanui Marine ReserveCorallinalesCrustose coralline algaecover0.82909090912Edgar2017</v>
      </c>
    </row>
    <row r="2292" spans="1:49" ht="14.5" x14ac:dyDescent="0.35">
      <c r="A2292" s="12">
        <v>2291</v>
      </c>
      <c r="B2292" s="59" t="s">
        <v>551</v>
      </c>
      <c r="C2292" s="59" t="s">
        <v>2705</v>
      </c>
      <c r="D2292" s="59" t="s">
        <v>2705</v>
      </c>
      <c r="E2292" s="59"/>
      <c r="F2292" s="16"/>
      <c r="G2292" s="16"/>
      <c r="H2292" s="61" t="s">
        <v>52</v>
      </c>
      <c r="I2292" s="59" t="s">
        <v>53</v>
      </c>
      <c r="J2292" s="18"/>
      <c r="K2292" s="47">
        <v>12.7</v>
      </c>
      <c r="L2292" s="47" t="s">
        <v>564</v>
      </c>
      <c r="M2292" s="47" t="s">
        <v>102</v>
      </c>
      <c r="N2292" s="47" t="s">
        <v>288</v>
      </c>
      <c r="O2292" s="47" t="s">
        <v>101</v>
      </c>
      <c r="P2292" s="47"/>
      <c r="Q2292" s="47"/>
      <c r="R2292" s="47"/>
      <c r="S2292" s="47">
        <v>3.1818181820000002</v>
      </c>
      <c r="T2292" s="47">
        <v>20.34090909</v>
      </c>
      <c r="U2292" s="20">
        <f t="shared" si="155"/>
        <v>6.3928571422061218</v>
      </c>
      <c r="V2292" s="41">
        <f t="shared" si="154"/>
        <v>539.28571422061214</v>
      </c>
      <c r="W2292" s="47"/>
      <c r="X2292" s="47" t="s">
        <v>56</v>
      </c>
      <c r="Y2292" s="17"/>
      <c r="Z2292" s="47" t="s">
        <v>56</v>
      </c>
      <c r="AA2292" s="47"/>
      <c r="AB2292" s="47" t="s">
        <v>57</v>
      </c>
      <c r="AC2292" s="47">
        <v>2012</v>
      </c>
      <c r="AD2292" s="47">
        <v>1</v>
      </c>
      <c r="AE2292" s="47">
        <v>4</v>
      </c>
      <c r="AF2292" s="47"/>
      <c r="AG2292" s="47">
        <v>2006</v>
      </c>
      <c r="AH2292" s="14">
        <f t="shared" si="152"/>
        <v>6</v>
      </c>
      <c r="AI2292" s="17">
        <f t="shared" si="153"/>
        <v>7.333333333333333</v>
      </c>
      <c r="AJ2292" s="47"/>
      <c r="AK2292" s="47" t="s">
        <v>56</v>
      </c>
      <c r="AL2292" s="59" t="s">
        <v>71</v>
      </c>
      <c r="AM2292" s="59">
        <v>2017</v>
      </c>
      <c r="AN2292" s="12" t="s">
        <v>150</v>
      </c>
      <c r="AO2292" s="59" t="s">
        <v>56</v>
      </c>
      <c r="AP2292" s="59"/>
      <c r="AQ2292" s="59" t="s">
        <v>56</v>
      </c>
      <c r="AR2292" s="59" t="s">
        <v>58</v>
      </c>
      <c r="AS2292" s="59" t="s">
        <v>62</v>
      </c>
      <c r="AT2292" s="59"/>
      <c r="AU2292" s="64" t="s">
        <v>2707</v>
      </c>
      <c r="AV2292" s="59"/>
      <c r="AW2292" s="12" t="str">
        <f>B2292&amp;C2292&amp;L2292&amp;M2292&amp;O2292&amp;U2292&amp;AL2292&amp;AM2292</f>
        <v>New ZealandTe Paepae o Aotea Marine ReserveCorallinalesCrustose coralline algaecover6.39285714220612Edgar2017</v>
      </c>
    </row>
    <row r="2293" spans="1:49" ht="14.5" x14ac:dyDescent="0.35">
      <c r="A2293" s="12">
        <v>2292</v>
      </c>
      <c r="B2293" s="59" t="s">
        <v>551</v>
      </c>
      <c r="C2293" s="15" t="s">
        <v>1362</v>
      </c>
      <c r="D2293" s="15" t="s">
        <v>1362</v>
      </c>
      <c r="E2293" s="59"/>
      <c r="F2293" s="13"/>
      <c r="G2293" s="16"/>
      <c r="H2293" s="61" t="s">
        <v>52</v>
      </c>
      <c r="I2293" s="59" t="s">
        <v>53</v>
      </c>
      <c r="J2293" s="14">
        <v>10.6</v>
      </c>
      <c r="K2293" s="47"/>
      <c r="L2293" s="47" t="s">
        <v>564</v>
      </c>
      <c r="M2293" s="47" t="s">
        <v>102</v>
      </c>
      <c r="N2293" s="47" t="s">
        <v>288</v>
      </c>
      <c r="O2293" s="47" t="s">
        <v>101</v>
      </c>
      <c r="P2293" s="47"/>
      <c r="Q2293" s="47"/>
      <c r="R2293" s="47"/>
      <c r="S2293" s="47">
        <v>12.045454550000001</v>
      </c>
      <c r="T2293" s="47">
        <v>16.136363639999999</v>
      </c>
      <c r="U2293" s="20">
        <f t="shared" si="155"/>
        <v>1.3396226413058026</v>
      </c>
      <c r="V2293" s="41">
        <f t="shared" si="154"/>
        <v>33.962264130580252</v>
      </c>
      <c r="W2293" s="47"/>
      <c r="X2293" s="47" t="s">
        <v>56</v>
      </c>
      <c r="Y2293" s="47"/>
      <c r="Z2293" s="47" t="s">
        <v>56</v>
      </c>
      <c r="AA2293" s="47"/>
      <c r="AB2293" s="47" t="s">
        <v>57</v>
      </c>
      <c r="AC2293" s="47">
        <v>2012</v>
      </c>
      <c r="AD2293" s="47">
        <v>1</v>
      </c>
      <c r="AE2293" s="47">
        <v>4</v>
      </c>
      <c r="AF2293" s="47"/>
      <c r="AG2293" s="47">
        <v>1992</v>
      </c>
      <c r="AH2293" s="14">
        <f t="shared" si="152"/>
        <v>20</v>
      </c>
      <c r="AI2293" s="17">
        <f t="shared" si="153"/>
        <v>21.333333333333332</v>
      </c>
      <c r="AJ2293" s="47"/>
      <c r="AK2293" s="47" t="s">
        <v>56</v>
      </c>
      <c r="AL2293" s="59" t="s">
        <v>71</v>
      </c>
      <c r="AM2293" s="59">
        <v>2017</v>
      </c>
      <c r="AN2293" s="12" t="s">
        <v>150</v>
      </c>
      <c r="AO2293" s="59" t="s">
        <v>56</v>
      </c>
      <c r="AP2293" s="59"/>
      <c r="AQ2293" s="59" t="s">
        <v>56</v>
      </c>
      <c r="AR2293" s="59" t="s">
        <v>58</v>
      </c>
      <c r="AS2293" s="59" t="s">
        <v>62</v>
      </c>
      <c r="AT2293" s="59"/>
      <c r="AU2293" s="64" t="s">
        <v>2707</v>
      </c>
      <c r="AV2293" s="59"/>
      <c r="AW2293" s="12" t="str">
        <f>B2293&amp;C2293&amp;L2293&amp;M2293&amp;O2293&amp;U2293&amp;AL2293&amp;AM2293</f>
        <v>New ZealandMayor Island (Tuhua) Marine ReserveCorallinalesCrustose coralline algaecover1.3396226413058Edgar2017</v>
      </c>
    </row>
    <row r="2294" spans="1:49" ht="14.5" x14ac:dyDescent="0.35">
      <c r="A2294" s="12">
        <v>2293</v>
      </c>
      <c r="B2294" s="59" t="s">
        <v>551</v>
      </c>
      <c r="C2294" s="59" t="s">
        <v>552</v>
      </c>
      <c r="D2294" s="59" t="s">
        <v>552</v>
      </c>
      <c r="E2294" s="59"/>
      <c r="F2294" s="16"/>
      <c r="G2294" s="16"/>
      <c r="H2294" s="61" t="s">
        <v>52</v>
      </c>
      <c r="I2294" s="59" t="s">
        <v>53</v>
      </c>
      <c r="J2294" s="14">
        <v>5.18</v>
      </c>
      <c r="K2294" s="47"/>
      <c r="L2294" s="47"/>
      <c r="M2294" s="47" t="s">
        <v>565</v>
      </c>
      <c r="N2294" s="53" t="s">
        <v>98</v>
      </c>
      <c r="O2294" s="47" t="s">
        <v>101</v>
      </c>
      <c r="P2294" s="47"/>
      <c r="Q2294" s="47"/>
      <c r="R2294" s="47"/>
      <c r="S2294" s="47">
        <v>14.08450704</v>
      </c>
      <c r="T2294" s="47">
        <v>2.253521127</v>
      </c>
      <c r="U2294" s="20">
        <f t="shared" si="155"/>
        <v>0.16000000004259998</v>
      </c>
      <c r="V2294" s="41">
        <f t="shared" si="154"/>
        <v>-83.999999995739998</v>
      </c>
      <c r="W2294" s="47"/>
      <c r="X2294" s="47" t="s">
        <v>56</v>
      </c>
      <c r="Y2294" s="47"/>
      <c r="Z2294" s="47" t="s">
        <v>56</v>
      </c>
      <c r="AA2294" s="47"/>
      <c r="AB2294" s="47" t="s">
        <v>57</v>
      </c>
      <c r="AC2294" s="47">
        <v>2012</v>
      </c>
      <c r="AD2294" s="47">
        <v>1</v>
      </c>
      <c r="AE2294" s="47">
        <v>4</v>
      </c>
      <c r="AF2294" s="47"/>
      <c r="AG2294" s="17">
        <v>1975</v>
      </c>
      <c r="AH2294" s="14">
        <f t="shared" si="152"/>
        <v>37</v>
      </c>
      <c r="AI2294" s="17">
        <f t="shared" si="153"/>
        <v>38.333333333333336</v>
      </c>
      <c r="AJ2294" s="47"/>
      <c r="AK2294" s="47" t="s">
        <v>56</v>
      </c>
      <c r="AL2294" s="59" t="s">
        <v>71</v>
      </c>
      <c r="AM2294" s="59">
        <v>2017</v>
      </c>
      <c r="AN2294" s="12" t="s">
        <v>150</v>
      </c>
      <c r="AO2294" s="59" t="s">
        <v>56</v>
      </c>
      <c r="AP2294" s="59"/>
      <c r="AQ2294" s="59" t="s">
        <v>56</v>
      </c>
      <c r="AR2294" s="59" t="s">
        <v>58</v>
      </c>
      <c r="AS2294" s="59" t="s">
        <v>62</v>
      </c>
      <c r="AT2294" s="59"/>
      <c r="AU2294" s="64"/>
      <c r="AV2294" s="59"/>
      <c r="AW2294" s="12" t="str">
        <f>B2294&amp;C2294&amp;L2294&amp;M2294&amp;O2294&amp;U2294&amp;AL2294&amp;AM2294</f>
        <v>New ZealandCape Rodney–Okakari Point Marine ReserveOther foliose algaecover0.1600000000426Edgar2017</v>
      </c>
    </row>
    <row r="2295" spans="1:49" ht="14.5" x14ac:dyDescent="0.35">
      <c r="A2295" s="12">
        <v>2294</v>
      </c>
      <c r="B2295" s="59" t="s">
        <v>551</v>
      </c>
      <c r="C2295" s="59" t="s">
        <v>2706</v>
      </c>
      <c r="D2295" s="59" t="s">
        <v>2706</v>
      </c>
      <c r="E2295" s="59"/>
      <c r="F2295" s="13"/>
      <c r="G2295" s="13"/>
      <c r="H2295" s="61" t="s">
        <v>52</v>
      </c>
      <c r="I2295" s="59" t="s">
        <v>53</v>
      </c>
      <c r="J2295" s="18"/>
      <c r="K2295" s="47">
        <v>8.3000000000000007</v>
      </c>
      <c r="L2295" s="47"/>
      <c r="M2295" s="47" t="s">
        <v>565</v>
      </c>
      <c r="N2295" s="53" t="s">
        <v>98</v>
      </c>
      <c r="O2295" s="47" t="s">
        <v>101</v>
      </c>
      <c r="P2295" s="47"/>
      <c r="Q2295" s="47"/>
      <c r="R2295" s="47"/>
      <c r="S2295" s="47">
        <v>16.478873239999999</v>
      </c>
      <c r="T2295" s="47">
        <v>3.6619718309999998</v>
      </c>
      <c r="U2295" s="20">
        <f t="shared" si="155"/>
        <v>0.22222222221547958</v>
      </c>
      <c r="V2295" s="41">
        <f t="shared" si="154"/>
        <v>-77.777777778452034</v>
      </c>
      <c r="W2295" s="47"/>
      <c r="X2295" s="47" t="s">
        <v>56</v>
      </c>
      <c r="Y2295" s="47"/>
      <c r="Z2295" s="47" t="s">
        <v>56</v>
      </c>
      <c r="AA2295" s="47"/>
      <c r="AB2295" s="47" t="s">
        <v>57</v>
      </c>
      <c r="AC2295" s="47">
        <v>2012</v>
      </c>
      <c r="AD2295" s="47">
        <v>1</v>
      </c>
      <c r="AE2295" s="47">
        <v>4</v>
      </c>
      <c r="AF2295" s="47"/>
      <c r="AG2295" s="47">
        <v>1992</v>
      </c>
      <c r="AH2295" s="14">
        <f t="shared" si="152"/>
        <v>20</v>
      </c>
      <c r="AI2295" s="17">
        <f t="shared" si="153"/>
        <v>21.333333333333332</v>
      </c>
      <c r="AJ2295" s="47"/>
      <c r="AK2295" s="47" t="s">
        <v>56</v>
      </c>
      <c r="AL2295" s="59" t="s">
        <v>71</v>
      </c>
      <c r="AM2295" s="59">
        <v>2017</v>
      </c>
      <c r="AN2295" s="12" t="s">
        <v>150</v>
      </c>
      <c r="AO2295" s="59" t="s">
        <v>56</v>
      </c>
      <c r="AP2295" s="59"/>
      <c r="AQ2295" s="59" t="s">
        <v>56</v>
      </c>
      <c r="AR2295" s="59" t="s">
        <v>58</v>
      </c>
      <c r="AS2295" s="59" t="s">
        <v>62</v>
      </c>
      <c r="AT2295" s="59"/>
      <c r="AU2295" s="64" t="s">
        <v>2707</v>
      </c>
      <c r="AV2295" s="59"/>
      <c r="AW2295" s="12" t="str">
        <f>B2295&amp;C2295&amp;L2295&amp;M2295&amp;O2295&amp;U2295&amp;AL2295&amp;AM2295</f>
        <v>New ZealandWhanganui A Hei Marine ReserveOther foliose algaecover0.22222222221548Edgar2017</v>
      </c>
    </row>
    <row r="2296" spans="1:49" ht="14.5" x14ac:dyDescent="0.35">
      <c r="A2296" s="12">
        <v>2295</v>
      </c>
      <c r="B2296" s="59" t="s">
        <v>551</v>
      </c>
      <c r="C2296" s="59" t="s">
        <v>2703</v>
      </c>
      <c r="D2296" s="59" t="s">
        <v>2703</v>
      </c>
      <c r="E2296" s="59"/>
      <c r="F2296" s="13" t="s">
        <v>50</v>
      </c>
      <c r="G2296" s="13" t="s">
        <v>51</v>
      </c>
      <c r="H2296" s="61" t="s">
        <v>52</v>
      </c>
      <c r="I2296" s="59" t="s">
        <v>53</v>
      </c>
      <c r="J2296" s="18"/>
      <c r="K2296" s="47">
        <v>18</v>
      </c>
      <c r="L2296" s="47"/>
      <c r="M2296" s="47" t="s">
        <v>565</v>
      </c>
      <c r="N2296" s="53" t="s">
        <v>98</v>
      </c>
      <c r="O2296" s="47" t="s">
        <v>101</v>
      </c>
      <c r="P2296" s="47"/>
      <c r="Q2296" s="47"/>
      <c r="R2296" s="47"/>
      <c r="S2296" s="47">
        <v>21.971830990000001</v>
      </c>
      <c r="T2296" s="47">
        <v>18.450704229999999</v>
      </c>
      <c r="U2296" s="20">
        <f t="shared" si="155"/>
        <v>0.83974358979902197</v>
      </c>
      <c r="V2296" s="41">
        <f t="shared" si="154"/>
        <v>-16.025641020097801</v>
      </c>
      <c r="W2296" s="47"/>
      <c r="X2296" s="47" t="s">
        <v>56</v>
      </c>
      <c r="Y2296" s="17"/>
      <c r="Z2296" s="47" t="s">
        <v>56</v>
      </c>
      <c r="AA2296" s="47"/>
      <c r="AB2296" s="47" t="s">
        <v>57</v>
      </c>
      <c r="AC2296" s="47">
        <v>2012</v>
      </c>
      <c r="AD2296" s="47">
        <v>1</v>
      </c>
      <c r="AE2296" s="47">
        <v>4</v>
      </c>
      <c r="AF2296" s="47"/>
      <c r="AG2296" s="47">
        <v>1981</v>
      </c>
      <c r="AH2296" s="14">
        <f t="shared" si="152"/>
        <v>31</v>
      </c>
      <c r="AI2296" s="17">
        <f t="shared" si="153"/>
        <v>32.333333333333336</v>
      </c>
      <c r="AJ2296" s="47"/>
      <c r="AK2296" s="47" t="s">
        <v>56</v>
      </c>
      <c r="AL2296" s="59" t="s">
        <v>71</v>
      </c>
      <c r="AM2296" s="59">
        <v>2017</v>
      </c>
      <c r="AN2296" s="12" t="s">
        <v>150</v>
      </c>
      <c r="AO2296" s="59" t="s">
        <v>56</v>
      </c>
      <c r="AP2296" s="59"/>
      <c r="AQ2296" s="59" t="s">
        <v>56</v>
      </c>
      <c r="AR2296" s="59" t="s">
        <v>58</v>
      </c>
      <c r="AS2296" s="59" t="s">
        <v>62</v>
      </c>
      <c r="AT2296" s="59"/>
      <c r="AU2296" s="64"/>
      <c r="AV2296" s="59"/>
      <c r="AW2296" s="12" t="str">
        <f>B2296&amp;C2296&amp;L2296&amp;M2296&amp;O2296&amp;U2296&amp;AL2296&amp;AM2296</f>
        <v>New ZealandPoor Knights Islands Marine ReserveOther foliose algaecover0.839743589799022Edgar2017</v>
      </c>
    </row>
    <row r="2297" spans="1:49" ht="14.5" x14ac:dyDescent="0.35">
      <c r="A2297" s="12">
        <v>2296</v>
      </c>
      <c r="B2297" s="59" t="s">
        <v>551</v>
      </c>
      <c r="C2297" s="59" t="s">
        <v>2704</v>
      </c>
      <c r="D2297" s="59" t="s">
        <v>2704</v>
      </c>
      <c r="E2297" s="50"/>
      <c r="F2297" s="13"/>
      <c r="G2297" s="13"/>
      <c r="H2297" s="61" t="s">
        <v>52</v>
      </c>
      <c r="I2297" s="59" t="s">
        <v>53</v>
      </c>
      <c r="J2297" s="18"/>
      <c r="K2297" s="47">
        <v>4</v>
      </c>
      <c r="L2297" s="47"/>
      <c r="M2297" s="47" t="s">
        <v>565</v>
      </c>
      <c r="N2297" s="53" t="s">
        <v>98</v>
      </c>
      <c r="O2297" s="47" t="s">
        <v>101</v>
      </c>
      <c r="P2297" s="47"/>
      <c r="Q2297" s="47"/>
      <c r="R2297" s="47"/>
      <c r="S2297" s="47">
        <v>12.3943662</v>
      </c>
      <c r="T2297" s="47">
        <v>4.9295774650000004</v>
      </c>
      <c r="U2297" s="19">
        <f t="shared" si="155"/>
        <v>0.39772727265392566</v>
      </c>
      <c r="V2297" s="41">
        <f t="shared" si="154"/>
        <v>-60.227272734607439</v>
      </c>
      <c r="W2297" s="18"/>
      <c r="X2297" s="47" t="s">
        <v>56</v>
      </c>
      <c r="Y2297" s="17"/>
      <c r="Z2297" s="47" t="s">
        <v>56</v>
      </c>
      <c r="AA2297" s="47"/>
      <c r="AB2297" s="47" t="s">
        <v>57</v>
      </c>
      <c r="AC2297" s="47">
        <v>2012</v>
      </c>
      <c r="AD2297" s="47">
        <v>1</v>
      </c>
      <c r="AE2297" s="47">
        <v>4</v>
      </c>
      <c r="AF2297" s="47"/>
      <c r="AG2297" s="47">
        <v>1981</v>
      </c>
      <c r="AH2297" s="14">
        <f t="shared" si="152"/>
        <v>31</v>
      </c>
      <c r="AI2297" s="17">
        <f t="shared" si="153"/>
        <v>32.333333333333336</v>
      </c>
      <c r="AJ2297" s="47"/>
      <c r="AK2297" s="47" t="s">
        <v>56</v>
      </c>
      <c r="AL2297" s="59" t="s">
        <v>71</v>
      </c>
      <c r="AM2297" s="59">
        <v>2017</v>
      </c>
      <c r="AN2297" s="12" t="s">
        <v>150</v>
      </c>
      <c r="AO2297" s="59" t="s">
        <v>56</v>
      </c>
      <c r="AP2297" s="59"/>
      <c r="AQ2297" s="59" t="s">
        <v>56</v>
      </c>
      <c r="AR2297" s="59" t="s">
        <v>58</v>
      </c>
      <c r="AS2297" s="59" t="s">
        <v>62</v>
      </c>
      <c r="AT2297" s="50"/>
      <c r="AU2297" s="64" t="s">
        <v>2707</v>
      </c>
      <c r="AV2297" s="59"/>
      <c r="AW2297" s="12" t="str">
        <f>B2297&amp;C2297&amp;L2297&amp;M2297&amp;O2297&amp;U2297&amp;AL2297&amp;AM2297</f>
        <v>New ZealandTawharanui Marine ReserveOther foliose algaecover0.397727272653926Edgar2017</v>
      </c>
    </row>
    <row r="2298" spans="1:49" ht="14.5" x14ac:dyDescent="0.35">
      <c r="A2298" s="12">
        <v>2297</v>
      </c>
      <c r="B2298" s="59" t="s">
        <v>551</v>
      </c>
      <c r="C2298" s="59" t="s">
        <v>2705</v>
      </c>
      <c r="D2298" s="59" t="s">
        <v>2705</v>
      </c>
      <c r="E2298" s="50"/>
      <c r="F2298" s="13"/>
      <c r="G2298" s="13"/>
      <c r="H2298" s="61" t="s">
        <v>52</v>
      </c>
      <c r="I2298" s="59" t="s">
        <v>53</v>
      </c>
      <c r="J2298" s="18"/>
      <c r="K2298" s="47">
        <v>12.7</v>
      </c>
      <c r="L2298" s="47"/>
      <c r="M2298" s="47" t="s">
        <v>565</v>
      </c>
      <c r="N2298" s="53" t="s">
        <v>98</v>
      </c>
      <c r="O2298" s="47" t="s">
        <v>101</v>
      </c>
      <c r="P2298" s="47"/>
      <c r="Q2298" s="47"/>
      <c r="R2298" s="47"/>
      <c r="S2298" s="47">
        <v>24.78873239</v>
      </c>
      <c r="T2298" s="47">
        <v>6.7605633799999998</v>
      </c>
      <c r="U2298" s="19">
        <f t="shared" si="155"/>
        <v>0.27272727276394626</v>
      </c>
      <c r="V2298" s="41">
        <f t="shared" si="154"/>
        <v>-72.727272723605381</v>
      </c>
      <c r="W2298" s="18"/>
      <c r="X2298" s="47" t="s">
        <v>56</v>
      </c>
      <c r="Y2298" s="17"/>
      <c r="Z2298" s="47" t="s">
        <v>56</v>
      </c>
      <c r="AA2298" s="47"/>
      <c r="AB2298" s="47" t="s">
        <v>57</v>
      </c>
      <c r="AC2298" s="47">
        <v>2012</v>
      </c>
      <c r="AD2298" s="47">
        <v>1</v>
      </c>
      <c r="AE2298" s="47">
        <v>4</v>
      </c>
      <c r="AF2298" s="47"/>
      <c r="AG2298" s="47">
        <v>2006</v>
      </c>
      <c r="AH2298" s="14">
        <f t="shared" si="152"/>
        <v>6</v>
      </c>
      <c r="AI2298" s="17">
        <f t="shared" si="153"/>
        <v>7.333333333333333</v>
      </c>
      <c r="AJ2298" s="47"/>
      <c r="AK2298" s="47" t="s">
        <v>56</v>
      </c>
      <c r="AL2298" s="59" t="s">
        <v>71</v>
      </c>
      <c r="AM2298" s="59">
        <v>2017</v>
      </c>
      <c r="AN2298" s="12" t="s">
        <v>150</v>
      </c>
      <c r="AO2298" s="59" t="s">
        <v>56</v>
      </c>
      <c r="AP2298" s="59"/>
      <c r="AQ2298" s="59" t="s">
        <v>56</v>
      </c>
      <c r="AR2298" s="59" t="s">
        <v>58</v>
      </c>
      <c r="AS2298" s="59" t="s">
        <v>62</v>
      </c>
      <c r="AT2298" s="50"/>
      <c r="AU2298" s="64" t="s">
        <v>2707</v>
      </c>
      <c r="AV2298" s="59"/>
      <c r="AW2298" s="12" t="str">
        <f>B2298&amp;C2298&amp;L2298&amp;M2298&amp;O2298&amp;U2298&amp;AL2298&amp;AM2298</f>
        <v>New ZealandTe Paepae o Aotea Marine ReserveOther foliose algaecover0.272727272763946Edgar2017</v>
      </c>
    </row>
    <row r="2299" spans="1:49" ht="14.5" x14ac:dyDescent="0.35">
      <c r="A2299" s="12">
        <v>2298</v>
      </c>
      <c r="B2299" s="59" t="s">
        <v>551</v>
      </c>
      <c r="C2299" s="15" t="s">
        <v>1362</v>
      </c>
      <c r="D2299" s="15" t="s">
        <v>1362</v>
      </c>
      <c r="E2299" s="50"/>
      <c r="F2299" s="13"/>
      <c r="G2299" s="13"/>
      <c r="H2299" s="61" t="s">
        <v>52</v>
      </c>
      <c r="I2299" s="59" t="s">
        <v>53</v>
      </c>
      <c r="J2299" s="17">
        <v>10.6</v>
      </c>
      <c r="K2299" s="47"/>
      <c r="L2299" s="47"/>
      <c r="M2299" s="47" t="s">
        <v>565</v>
      </c>
      <c r="N2299" s="53" t="s">
        <v>98</v>
      </c>
      <c r="O2299" s="47" t="s">
        <v>101</v>
      </c>
      <c r="P2299" s="47"/>
      <c r="Q2299" s="47"/>
      <c r="R2299" s="47"/>
      <c r="S2299" s="47">
        <v>29.436619719999999</v>
      </c>
      <c r="T2299" s="47">
        <v>11.549295770000001</v>
      </c>
      <c r="U2299" s="19">
        <f t="shared" si="155"/>
        <v>0.39234449742723382</v>
      </c>
      <c r="V2299" s="41">
        <f t="shared" si="154"/>
        <v>-60.765550257276615</v>
      </c>
      <c r="W2299" s="18"/>
      <c r="X2299" s="47" t="s">
        <v>56</v>
      </c>
      <c r="Y2299" s="47"/>
      <c r="Z2299" s="47" t="s">
        <v>56</v>
      </c>
      <c r="AA2299" s="47"/>
      <c r="AB2299" s="47" t="s">
        <v>57</v>
      </c>
      <c r="AC2299" s="47">
        <v>2012</v>
      </c>
      <c r="AD2299" s="47">
        <v>1</v>
      </c>
      <c r="AE2299" s="47">
        <v>4</v>
      </c>
      <c r="AF2299" s="47"/>
      <c r="AG2299" s="47">
        <v>1992</v>
      </c>
      <c r="AH2299" s="14">
        <f t="shared" si="152"/>
        <v>20</v>
      </c>
      <c r="AI2299" s="17">
        <f t="shared" si="153"/>
        <v>21.333333333333332</v>
      </c>
      <c r="AJ2299" s="47"/>
      <c r="AK2299" s="47" t="s">
        <v>56</v>
      </c>
      <c r="AL2299" s="59" t="s">
        <v>71</v>
      </c>
      <c r="AM2299" s="59">
        <v>2017</v>
      </c>
      <c r="AN2299" s="12" t="s">
        <v>150</v>
      </c>
      <c r="AO2299" s="59" t="s">
        <v>56</v>
      </c>
      <c r="AP2299" s="59"/>
      <c r="AQ2299" s="59" t="s">
        <v>56</v>
      </c>
      <c r="AR2299" s="59" t="s">
        <v>58</v>
      </c>
      <c r="AS2299" s="59" t="s">
        <v>62</v>
      </c>
      <c r="AT2299" s="50"/>
      <c r="AU2299" s="64" t="s">
        <v>2707</v>
      </c>
      <c r="AV2299" s="59"/>
      <c r="AW2299" s="12" t="str">
        <f>B2299&amp;C2299&amp;L2299&amp;M2299&amp;O2299&amp;U2299&amp;AL2299&amp;AM2299</f>
        <v>New ZealandMayor Island (Tuhua) Marine ReserveOther foliose algaecover0.392344497427234Edgar2017</v>
      </c>
    </row>
    <row r="2300" spans="1:49" ht="14.5" x14ac:dyDescent="0.35">
      <c r="A2300" s="12">
        <v>2299</v>
      </c>
      <c r="B2300" s="59" t="s">
        <v>1278</v>
      </c>
      <c r="C2300" s="59" t="s">
        <v>2663</v>
      </c>
      <c r="D2300" s="59" t="s">
        <v>2663</v>
      </c>
      <c r="E2300" s="59"/>
      <c r="F2300" s="13"/>
      <c r="G2300" s="13"/>
      <c r="H2300" s="61" t="s">
        <v>329</v>
      </c>
      <c r="I2300" s="59" t="s">
        <v>156</v>
      </c>
      <c r="J2300" s="47">
        <v>3.1819999999999999</v>
      </c>
      <c r="K2300" s="47"/>
      <c r="L2300" s="47" t="s">
        <v>2793</v>
      </c>
      <c r="M2300" s="47" t="s">
        <v>1279</v>
      </c>
      <c r="N2300" s="14" t="s">
        <v>446</v>
      </c>
      <c r="O2300" s="47" t="s">
        <v>86</v>
      </c>
      <c r="P2300" s="47"/>
      <c r="Q2300" s="47"/>
      <c r="R2300" s="47"/>
      <c r="S2300" s="47">
        <v>938144.32990000001</v>
      </c>
      <c r="T2300" s="47">
        <v>958762.88659999997</v>
      </c>
      <c r="U2300" s="20">
        <f t="shared" si="155"/>
        <v>1.0219780219768506</v>
      </c>
      <c r="V2300" s="41">
        <f t="shared" si="154"/>
        <v>2.1978021976850615</v>
      </c>
      <c r="W2300" s="47"/>
      <c r="X2300" s="47" t="s">
        <v>56</v>
      </c>
      <c r="Y2300" s="17"/>
      <c r="Z2300" s="47" t="s">
        <v>56</v>
      </c>
      <c r="AA2300" s="47"/>
      <c r="AB2300" s="47" t="s">
        <v>57</v>
      </c>
      <c r="AC2300" s="47">
        <v>2012</v>
      </c>
      <c r="AD2300" s="47">
        <v>1</v>
      </c>
      <c r="AE2300" s="47">
        <v>4</v>
      </c>
      <c r="AF2300" s="47"/>
      <c r="AG2300" s="47">
        <v>1987</v>
      </c>
      <c r="AH2300" s="14">
        <f t="shared" si="152"/>
        <v>25</v>
      </c>
      <c r="AI2300" s="17">
        <f t="shared" si="153"/>
        <v>26.333333333333332</v>
      </c>
      <c r="AJ2300" s="47"/>
      <c r="AK2300" s="47" t="s">
        <v>56</v>
      </c>
      <c r="AL2300" s="59" t="s">
        <v>2568</v>
      </c>
      <c r="AM2300" s="59">
        <v>2016</v>
      </c>
      <c r="AN2300" s="15" t="s">
        <v>150</v>
      </c>
      <c r="AO2300" s="59" t="s">
        <v>56</v>
      </c>
      <c r="AP2300" s="59"/>
      <c r="AQ2300" s="59" t="s">
        <v>56</v>
      </c>
      <c r="AR2300" s="59" t="s">
        <v>58</v>
      </c>
      <c r="AS2300" s="59" t="s">
        <v>62</v>
      </c>
      <c r="AT2300" s="59"/>
      <c r="AU2300" s="64"/>
      <c r="AV2300" s="59"/>
      <c r="AW2300" s="12" t="str">
        <f>B2300&amp;C2300&amp;L2300&amp;M2300&amp;O2300&amp;U2300&amp;AL2300&amp;AM2300</f>
        <v>IndiaMalvan Marine National SanctuaryPolychaetaBristle wormsdensity1.02197802197685Sukumaran2016</v>
      </c>
    </row>
    <row r="2301" spans="1:49" ht="14.5" x14ac:dyDescent="0.35">
      <c r="A2301" s="12">
        <v>2300</v>
      </c>
      <c r="B2301" s="15" t="s">
        <v>210</v>
      </c>
      <c r="C2301" s="59" t="s">
        <v>822</v>
      </c>
      <c r="D2301" s="59" t="s">
        <v>822</v>
      </c>
      <c r="E2301" s="50"/>
      <c r="F2301" s="13" t="s">
        <v>50</v>
      </c>
      <c r="G2301" s="13" t="s">
        <v>51</v>
      </c>
      <c r="H2301" s="61" t="s">
        <v>78</v>
      </c>
      <c r="I2301" s="59" t="s">
        <v>53</v>
      </c>
      <c r="J2301" s="17" t="s">
        <v>509</v>
      </c>
      <c r="K2301" s="47"/>
      <c r="L2301" s="47" t="s">
        <v>679</v>
      </c>
      <c r="M2301" s="47"/>
      <c r="N2301" s="14" t="s">
        <v>85</v>
      </c>
      <c r="O2301" s="47" t="s">
        <v>104</v>
      </c>
      <c r="P2301" s="47" t="s">
        <v>105</v>
      </c>
      <c r="Q2301" s="47"/>
      <c r="R2301" s="47"/>
      <c r="S2301" s="47">
        <v>4.1820000000000004</v>
      </c>
      <c r="T2301" s="47">
        <v>5.54</v>
      </c>
      <c r="U2301" s="19">
        <f t="shared" si="155"/>
        <v>1.3247250119560019</v>
      </c>
      <c r="V2301" s="41">
        <f t="shared" si="154"/>
        <v>32.472501195600188</v>
      </c>
      <c r="W2301" s="18"/>
      <c r="X2301" s="47" t="s">
        <v>58</v>
      </c>
      <c r="Y2301" s="15">
        <v>300</v>
      </c>
      <c r="Z2301" s="47" t="s">
        <v>56</v>
      </c>
      <c r="AA2301" s="47"/>
      <c r="AB2301" s="47" t="s">
        <v>57</v>
      </c>
      <c r="AC2301" s="47">
        <v>2012</v>
      </c>
      <c r="AD2301" s="47">
        <v>1</v>
      </c>
      <c r="AE2301" s="47">
        <v>4</v>
      </c>
      <c r="AF2301" s="47"/>
      <c r="AG2301" s="47">
        <v>1986</v>
      </c>
      <c r="AH2301" s="14">
        <f t="shared" si="152"/>
        <v>26</v>
      </c>
      <c r="AI2301" s="17">
        <f t="shared" si="153"/>
        <v>27.333333333333332</v>
      </c>
      <c r="AJ2301" s="47"/>
      <c r="AK2301" s="47" t="s">
        <v>56</v>
      </c>
      <c r="AL2301" s="59" t="s">
        <v>681</v>
      </c>
      <c r="AM2301" s="59">
        <v>2020</v>
      </c>
      <c r="AN2301" s="12" t="s">
        <v>685</v>
      </c>
      <c r="AO2301" s="59" t="s">
        <v>56</v>
      </c>
      <c r="AP2301" s="59"/>
      <c r="AQ2301" s="59" t="s">
        <v>56</v>
      </c>
      <c r="AR2301" s="59" t="s">
        <v>58</v>
      </c>
      <c r="AS2301" s="59" t="s">
        <v>62</v>
      </c>
      <c r="AT2301" s="50"/>
      <c r="AU2301" s="64" t="s">
        <v>2569</v>
      </c>
      <c r="AV2301" s="59"/>
      <c r="AW2301" s="12" t="str">
        <f>B2301&amp;C2301&amp;L2301&amp;M2301&amp;O2301&amp;U2301&amp;AL2301&amp;AM2301</f>
        <v>PortugalGarajau, Rocha do Navio, Desertas, and Selvagens Marine Protected AreasPatella asperasize1.324725011956Sousa2020</v>
      </c>
    </row>
    <row r="2302" spans="1:49" ht="14.5" x14ac:dyDescent="0.35">
      <c r="A2302" s="12">
        <v>2301</v>
      </c>
      <c r="B2302" s="15" t="s">
        <v>210</v>
      </c>
      <c r="C2302" s="59" t="s">
        <v>822</v>
      </c>
      <c r="D2302" s="59" t="s">
        <v>822</v>
      </c>
      <c r="E2302" s="59"/>
      <c r="F2302" s="13" t="s">
        <v>50</v>
      </c>
      <c r="G2302" s="13" t="s">
        <v>51</v>
      </c>
      <c r="H2302" s="61" t="s">
        <v>78</v>
      </c>
      <c r="I2302" s="59" t="s">
        <v>53</v>
      </c>
      <c r="J2302" s="17" t="s">
        <v>509</v>
      </c>
      <c r="K2302" s="47"/>
      <c r="L2302" s="14" t="s">
        <v>1174</v>
      </c>
      <c r="M2302" s="47"/>
      <c r="N2302" s="14" t="s">
        <v>85</v>
      </c>
      <c r="O2302" s="47" t="s">
        <v>104</v>
      </c>
      <c r="P2302" s="47" t="s">
        <v>105</v>
      </c>
      <c r="Q2302" s="47"/>
      <c r="R2302" s="47"/>
      <c r="S2302" s="47">
        <v>4.5650000000000004</v>
      </c>
      <c r="T2302" s="47">
        <v>5.5640000000000001</v>
      </c>
      <c r="U2302" s="20">
        <f t="shared" si="155"/>
        <v>1.2188389923329681</v>
      </c>
      <c r="V2302" s="41">
        <f t="shared" si="154"/>
        <v>21.883899233296809</v>
      </c>
      <c r="W2302" s="47"/>
      <c r="X2302" s="47" t="s">
        <v>58</v>
      </c>
      <c r="Y2302" s="15">
        <v>300</v>
      </c>
      <c r="Z2302" s="47" t="s">
        <v>56</v>
      </c>
      <c r="AA2302" s="47"/>
      <c r="AB2302" s="47" t="s">
        <v>57</v>
      </c>
      <c r="AC2302" s="47">
        <v>2012</v>
      </c>
      <c r="AD2302" s="47">
        <v>1</v>
      </c>
      <c r="AE2302" s="47">
        <v>4</v>
      </c>
      <c r="AF2302" s="47"/>
      <c r="AG2302" s="47">
        <v>1986</v>
      </c>
      <c r="AH2302" s="14">
        <f t="shared" si="152"/>
        <v>26</v>
      </c>
      <c r="AI2302" s="17">
        <f t="shared" si="153"/>
        <v>27.333333333333332</v>
      </c>
      <c r="AJ2302" s="47"/>
      <c r="AK2302" s="47" t="s">
        <v>56</v>
      </c>
      <c r="AL2302" s="59" t="s">
        <v>681</v>
      </c>
      <c r="AM2302" s="59">
        <v>2020</v>
      </c>
      <c r="AN2302" s="15" t="s">
        <v>685</v>
      </c>
      <c r="AO2302" s="59" t="s">
        <v>56</v>
      </c>
      <c r="AP2302" s="59"/>
      <c r="AQ2302" s="59" t="s">
        <v>56</v>
      </c>
      <c r="AR2302" s="59" t="s">
        <v>58</v>
      </c>
      <c r="AS2302" s="59" t="s">
        <v>62</v>
      </c>
      <c r="AT2302" s="59"/>
      <c r="AU2302" s="64" t="s">
        <v>2569</v>
      </c>
      <c r="AV2302" s="59"/>
      <c r="AW2302" s="12" t="str">
        <f>B2302&amp;C2302&amp;L2302&amp;M2302&amp;O2302&amp;U2302&amp;AL2302&amp;AM2302</f>
        <v>PortugalGarajau, Rocha do Navio, Desertas, and Selvagens Marine Protected AreasPatella candei crenatasize1.21883899233297Sousa2020</v>
      </c>
    </row>
    <row r="2303" spans="1:49" ht="14.5" x14ac:dyDescent="0.35">
      <c r="A2303" s="12">
        <v>2302</v>
      </c>
      <c r="B2303" s="59" t="s">
        <v>299</v>
      </c>
      <c r="C2303" s="59" t="s">
        <v>982</v>
      </c>
      <c r="D2303" s="59" t="s">
        <v>982</v>
      </c>
      <c r="E2303" s="59" t="s">
        <v>983</v>
      </c>
      <c r="F2303" s="16" t="s">
        <v>50</v>
      </c>
      <c r="G2303" s="16" t="s">
        <v>51</v>
      </c>
      <c r="H2303" s="61" t="s">
        <v>984</v>
      </c>
      <c r="I2303" s="59" t="s">
        <v>156</v>
      </c>
      <c r="J2303" s="47"/>
      <c r="K2303" s="47">
        <v>18</v>
      </c>
      <c r="L2303" s="47" t="s">
        <v>985</v>
      </c>
      <c r="M2303" s="47" t="s">
        <v>468</v>
      </c>
      <c r="N2303" s="14" t="s">
        <v>446</v>
      </c>
      <c r="O2303" s="47" t="s">
        <v>101</v>
      </c>
      <c r="P2303" s="47"/>
      <c r="Q2303" s="47"/>
      <c r="R2303" s="47"/>
      <c r="S2303" s="47">
        <v>33.9</v>
      </c>
      <c r="T2303" s="47">
        <v>43.6</v>
      </c>
      <c r="U2303" s="20">
        <f t="shared" si="155"/>
        <v>1.2861356932153394</v>
      </c>
      <c r="V2303" s="41">
        <f t="shared" si="154"/>
        <v>28.613569321533937</v>
      </c>
      <c r="W2303" s="47"/>
      <c r="X2303" s="47" t="s">
        <v>56</v>
      </c>
      <c r="Y2303" s="17"/>
      <c r="Z2303" s="47" t="s">
        <v>56</v>
      </c>
      <c r="AA2303" s="47"/>
      <c r="AB2303" s="47" t="s">
        <v>57</v>
      </c>
      <c r="AC2303" s="47">
        <v>2002</v>
      </c>
      <c r="AD2303" s="47">
        <v>1</v>
      </c>
      <c r="AE2303" s="47">
        <v>12</v>
      </c>
      <c r="AF2303" s="47"/>
      <c r="AG2303" s="47">
        <v>1987</v>
      </c>
      <c r="AH2303" s="14">
        <f t="shared" si="152"/>
        <v>15</v>
      </c>
      <c r="AI2303" s="17">
        <f t="shared" si="153"/>
        <v>17</v>
      </c>
      <c r="AJ2303" s="47"/>
      <c r="AK2303" s="47" t="s">
        <v>56</v>
      </c>
      <c r="AL2303" s="59" t="s">
        <v>986</v>
      </c>
      <c r="AM2303" s="59">
        <v>2007</v>
      </c>
      <c r="AN2303" s="59" t="s">
        <v>160</v>
      </c>
      <c r="AO2303" s="59" t="s">
        <v>56</v>
      </c>
      <c r="AP2303" s="59"/>
      <c r="AQ2303" s="59" t="s">
        <v>56</v>
      </c>
      <c r="AR2303" s="59" t="s">
        <v>58</v>
      </c>
      <c r="AS2303" s="59" t="s">
        <v>62</v>
      </c>
      <c r="AT2303" s="59"/>
      <c r="AU2303" s="64"/>
      <c r="AV2303" s="59"/>
      <c r="AW2303" s="12" t="str">
        <f>B2303&amp;C2303&amp;L2303&amp;M2303&amp;O2303&amp;U2303&amp;AL2303&amp;AM2303</f>
        <v>BelizeHol Chan Marine ReserveAnthozoaCoralcover1.28613569321534Brown-Saracino2007</v>
      </c>
    </row>
    <row r="2304" spans="1:49" ht="14.5" x14ac:dyDescent="0.35">
      <c r="A2304" s="12">
        <v>2303</v>
      </c>
      <c r="B2304" s="59" t="s">
        <v>299</v>
      </c>
      <c r="C2304" s="59" t="s">
        <v>982</v>
      </c>
      <c r="D2304" s="59" t="s">
        <v>982</v>
      </c>
      <c r="E2304" s="59" t="s">
        <v>983</v>
      </c>
      <c r="F2304" s="16" t="s">
        <v>50</v>
      </c>
      <c r="G2304" s="16" t="s">
        <v>51</v>
      </c>
      <c r="H2304" s="61" t="s">
        <v>984</v>
      </c>
      <c r="I2304" s="59" t="s">
        <v>156</v>
      </c>
      <c r="J2304" s="47"/>
      <c r="K2304" s="47">
        <v>18</v>
      </c>
      <c r="L2304" s="47"/>
      <c r="M2304" s="17" t="s">
        <v>291</v>
      </c>
      <c r="N2304" s="53" t="s">
        <v>98</v>
      </c>
      <c r="O2304" s="47" t="s">
        <v>101</v>
      </c>
      <c r="P2304" s="47"/>
      <c r="Q2304" s="47"/>
      <c r="R2304" s="47"/>
      <c r="S2304" s="47">
        <v>30.7</v>
      </c>
      <c r="T2304" s="47">
        <v>12.1</v>
      </c>
      <c r="U2304" s="19">
        <f t="shared" si="155"/>
        <v>0.39413680781758959</v>
      </c>
      <c r="V2304" s="41">
        <f t="shared" si="154"/>
        <v>-60.586319218241044</v>
      </c>
      <c r="W2304" s="47"/>
      <c r="X2304" s="47" t="s">
        <v>56</v>
      </c>
      <c r="Y2304" s="17"/>
      <c r="Z2304" s="47" t="s">
        <v>56</v>
      </c>
      <c r="AA2304" s="47"/>
      <c r="AB2304" s="47" t="s">
        <v>57</v>
      </c>
      <c r="AC2304" s="47">
        <v>2002</v>
      </c>
      <c r="AD2304" s="47">
        <v>1</v>
      </c>
      <c r="AE2304" s="47">
        <v>12</v>
      </c>
      <c r="AF2304" s="47"/>
      <c r="AG2304" s="47">
        <v>1987</v>
      </c>
      <c r="AH2304" s="14">
        <f t="shared" ref="AH2304:AH2319" si="156">IF(OR(AG2304="NA",AC2304="NA"),"NA",IF(OR(AC2304="",AG2304=""), "", AC2304-AG2304))</f>
        <v>15</v>
      </c>
      <c r="AI2304" s="17">
        <f t="shared" ref="AI2304:AI2319" si="157">IF(AH2304="NA", "NA",IF(OR(AH2304="",AND(AD2304="",AE2304="")), "",AH2304+AD2304+AE2304/12))</f>
        <v>17</v>
      </c>
      <c r="AJ2304" s="47"/>
      <c r="AK2304" s="47" t="s">
        <v>56</v>
      </c>
      <c r="AL2304" s="59" t="s">
        <v>986</v>
      </c>
      <c r="AM2304" s="59">
        <v>2007</v>
      </c>
      <c r="AN2304" s="50" t="s">
        <v>160</v>
      </c>
      <c r="AO2304" s="59" t="s">
        <v>56</v>
      </c>
      <c r="AP2304" s="59"/>
      <c r="AQ2304" s="59" t="s">
        <v>56</v>
      </c>
      <c r="AR2304" s="59" t="s">
        <v>58</v>
      </c>
      <c r="AS2304" s="59" t="s">
        <v>62</v>
      </c>
      <c r="AT2304" s="50"/>
      <c r="AU2304" s="64"/>
      <c r="AV2304" s="59"/>
      <c r="AW2304" s="12" t="str">
        <f>B2304&amp;C2304&amp;L2304&amp;M2304&amp;O2304&amp;U2304&amp;AL2304&amp;AM2304</f>
        <v>BelizeHol Chan Marine ReserveMacroalgaecover0.39413680781759Brown-Saracino2007</v>
      </c>
    </row>
    <row r="2305" spans="1:16371" ht="14.5" x14ac:dyDescent="0.35">
      <c r="A2305" s="12">
        <v>2304</v>
      </c>
      <c r="B2305" s="59" t="s">
        <v>299</v>
      </c>
      <c r="C2305" s="59" t="s">
        <v>982</v>
      </c>
      <c r="D2305" s="59" t="s">
        <v>982</v>
      </c>
      <c r="E2305" s="59" t="s">
        <v>983</v>
      </c>
      <c r="F2305" s="16" t="s">
        <v>50</v>
      </c>
      <c r="G2305" s="16" t="s">
        <v>51</v>
      </c>
      <c r="H2305" s="61" t="s">
        <v>984</v>
      </c>
      <c r="I2305" s="59" t="s">
        <v>156</v>
      </c>
      <c r="J2305" s="47"/>
      <c r="K2305" s="47">
        <v>18</v>
      </c>
      <c r="L2305" s="47" t="s">
        <v>987</v>
      </c>
      <c r="M2305" s="47"/>
      <c r="N2305" s="14" t="s">
        <v>85</v>
      </c>
      <c r="O2305" s="47" t="s">
        <v>86</v>
      </c>
      <c r="P2305" s="47"/>
      <c r="Q2305" s="47"/>
      <c r="R2305" s="47"/>
      <c r="S2305" s="47">
        <v>300</v>
      </c>
      <c r="T2305" s="47">
        <v>200</v>
      </c>
      <c r="U2305" s="19">
        <f t="shared" si="155"/>
        <v>0.66666666666666663</v>
      </c>
      <c r="V2305" s="41">
        <f t="shared" si="154"/>
        <v>-33.333333333333336</v>
      </c>
      <c r="W2305" s="47"/>
      <c r="X2305" s="47" t="s">
        <v>56</v>
      </c>
      <c r="Y2305" s="15"/>
      <c r="Z2305" s="47" t="s">
        <v>56</v>
      </c>
      <c r="AA2305" s="47"/>
      <c r="AB2305" s="47" t="s">
        <v>57</v>
      </c>
      <c r="AC2305" s="47">
        <v>2002</v>
      </c>
      <c r="AD2305" s="47">
        <v>1</v>
      </c>
      <c r="AE2305" s="47">
        <v>12</v>
      </c>
      <c r="AF2305" s="47"/>
      <c r="AG2305" s="47">
        <v>1987</v>
      </c>
      <c r="AH2305" s="14">
        <f t="shared" si="156"/>
        <v>15</v>
      </c>
      <c r="AI2305" s="17">
        <f t="shared" si="157"/>
        <v>17</v>
      </c>
      <c r="AJ2305" s="47"/>
      <c r="AK2305" s="47" t="s">
        <v>56</v>
      </c>
      <c r="AL2305" s="59" t="s">
        <v>986</v>
      </c>
      <c r="AM2305" s="59">
        <v>2007</v>
      </c>
      <c r="AN2305" s="50" t="s">
        <v>160</v>
      </c>
      <c r="AO2305" s="59" t="s">
        <v>56</v>
      </c>
      <c r="AP2305" s="59"/>
      <c r="AQ2305" s="59" t="s">
        <v>56</v>
      </c>
      <c r="AR2305" s="59" t="s">
        <v>58</v>
      </c>
      <c r="AS2305" s="59" t="s">
        <v>62</v>
      </c>
      <c r="AT2305" s="50"/>
      <c r="AU2305" s="64"/>
      <c r="AV2305" s="59"/>
      <c r="AW2305" s="12" t="str">
        <f>B2305&amp;C2305&amp;L2305&amp;M2305&amp;O2305&amp;U2305&amp;AL2305&amp;AM2305</f>
        <v>BelizeHol Chan Marine ReserveDiadema antillarumdensity0.666666666666667Brown-Saracino2007</v>
      </c>
    </row>
    <row r="2306" spans="1:16371" ht="14.5" x14ac:dyDescent="0.35">
      <c r="A2306" s="12">
        <v>2305</v>
      </c>
      <c r="B2306" s="59" t="s">
        <v>299</v>
      </c>
      <c r="C2306" s="59" t="s">
        <v>982</v>
      </c>
      <c r="D2306" s="59" t="s">
        <v>982</v>
      </c>
      <c r="E2306" s="59" t="s">
        <v>983</v>
      </c>
      <c r="F2306" s="16" t="s">
        <v>50</v>
      </c>
      <c r="G2306" s="16" t="s">
        <v>51</v>
      </c>
      <c r="H2306" s="61" t="s">
        <v>984</v>
      </c>
      <c r="I2306" s="59" t="s">
        <v>156</v>
      </c>
      <c r="J2306" s="47"/>
      <c r="K2306" s="47">
        <v>18</v>
      </c>
      <c r="L2306" s="47" t="s">
        <v>988</v>
      </c>
      <c r="M2306" s="47"/>
      <c r="N2306" s="14" t="s">
        <v>85</v>
      </c>
      <c r="O2306" s="47" t="s">
        <v>86</v>
      </c>
      <c r="P2306" s="47"/>
      <c r="Q2306" s="47"/>
      <c r="R2306" s="47"/>
      <c r="S2306" s="47">
        <v>500</v>
      </c>
      <c r="T2306" s="47">
        <v>100</v>
      </c>
      <c r="U2306" s="19">
        <f t="shared" si="155"/>
        <v>0.2</v>
      </c>
      <c r="V2306" s="41">
        <f t="shared" ref="V2306:V2319" si="158">IFERROR(IF(U2306 = "", "",(U2306-1)*100),"N/A")</f>
        <v>-80</v>
      </c>
      <c r="W2306" s="47"/>
      <c r="X2306" s="47" t="s">
        <v>56</v>
      </c>
      <c r="Y2306" s="15"/>
      <c r="Z2306" s="47" t="s">
        <v>56</v>
      </c>
      <c r="AA2306" s="47"/>
      <c r="AB2306" s="47" t="s">
        <v>57</v>
      </c>
      <c r="AC2306" s="47">
        <v>2002</v>
      </c>
      <c r="AD2306" s="47">
        <v>1</v>
      </c>
      <c r="AE2306" s="47">
        <v>12</v>
      </c>
      <c r="AF2306" s="47"/>
      <c r="AG2306" s="47">
        <v>1987</v>
      </c>
      <c r="AH2306" s="14">
        <f t="shared" si="156"/>
        <v>15</v>
      </c>
      <c r="AI2306" s="17">
        <f t="shared" si="157"/>
        <v>17</v>
      </c>
      <c r="AJ2306" s="47"/>
      <c r="AK2306" s="47" t="s">
        <v>56</v>
      </c>
      <c r="AL2306" s="59" t="s">
        <v>986</v>
      </c>
      <c r="AM2306" s="59">
        <v>2007</v>
      </c>
      <c r="AN2306" s="50" t="s">
        <v>160</v>
      </c>
      <c r="AO2306" s="59" t="s">
        <v>56</v>
      </c>
      <c r="AP2306" s="59"/>
      <c r="AQ2306" s="59" t="s">
        <v>56</v>
      </c>
      <c r="AR2306" s="59" t="s">
        <v>58</v>
      </c>
      <c r="AS2306" s="59" t="s">
        <v>62</v>
      </c>
      <c r="AT2306" s="50"/>
      <c r="AU2306" s="64"/>
      <c r="AV2306" s="59"/>
      <c r="AW2306" s="12" t="str">
        <f>B2306&amp;C2306&amp;L2306&amp;M2306&amp;O2306&amp;U2306&amp;AL2306&amp;AM2306</f>
        <v>BelizeHol Chan Marine ReserveEchinometra lucunterdensity0.2Brown-Saracino2007</v>
      </c>
    </row>
    <row r="2307" spans="1:16371" ht="14.5" x14ac:dyDescent="0.35">
      <c r="A2307" s="12">
        <v>2306</v>
      </c>
      <c r="B2307" s="59" t="s">
        <v>299</v>
      </c>
      <c r="C2307" s="59" t="s">
        <v>982</v>
      </c>
      <c r="D2307" s="59" t="s">
        <v>982</v>
      </c>
      <c r="E2307" s="59" t="s">
        <v>983</v>
      </c>
      <c r="F2307" s="16" t="s">
        <v>50</v>
      </c>
      <c r="G2307" s="16" t="s">
        <v>51</v>
      </c>
      <c r="H2307" s="61" t="s">
        <v>984</v>
      </c>
      <c r="I2307" s="59" t="s">
        <v>156</v>
      </c>
      <c r="J2307" s="47"/>
      <c r="K2307" s="47">
        <v>18</v>
      </c>
      <c r="L2307" s="47" t="s">
        <v>989</v>
      </c>
      <c r="M2307" s="47"/>
      <c r="N2307" s="14" t="s">
        <v>85</v>
      </c>
      <c r="O2307" s="47" t="s">
        <v>86</v>
      </c>
      <c r="P2307" s="47"/>
      <c r="Q2307" s="47"/>
      <c r="R2307" s="47"/>
      <c r="S2307" s="47">
        <v>500</v>
      </c>
      <c r="T2307" s="47">
        <v>11100</v>
      </c>
      <c r="U2307" s="20">
        <f t="shared" si="155"/>
        <v>22.2</v>
      </c>
      <c r="V2307" s="41">
        <f t="shared" si="158"/>
        <v>2120</v>
      </c>
      <c r="W2307" s="47"/>
      <c r="X2307" s="47" t="s">
        <v>56</v>
      </c>
      <c r="Y2307" s="15"/>
      <c r="Z2307" s="47" t="s">
        <v>56</v>
      </c>
      <c r="AA2307" s="47"/>
      <c r="AB2307" s="47" t="s">
        <v>57</v>
      </c>
      <c r="AC2307" s="47">
        <v>2002</v>
      </c>
      <c r="AD2307" s="47">
        <v>1</v>
      </c>
      <c r="AE2307" s="47">
        <v>12</v>
      </c>
      <c r="AF2307" s="47"/>
      <c r="AG2307" s="47">
        <v>1987</v>
      </c>
      <c r="AH2307" s="14">
        <f t="shared" si="156"/>
        <v>15</v>
      </c>
      <c r="AI2307" s="17">
        <f t="shared" si="157"/>
        <v>17</v>
      </c>
      <c r="AJ2307" s="47"/>
      <c r="AK2307" s="47" t="s">
        <v>56</v>
      </c>
      <c r="AL2307" s="59" t="s">
        <v>986</v>
      </c>
      <c r="AM2307" s="59">
        <v>2007</v>
      </c>
      <c r="AN2307" s="59" t="s">
        <v>160</v>
      </c>
      <c r="AO2307" s="59" t="s">
        <v>56</v>
      </c>
      <c r="AP2307" s="59"/>
      <c r="AQ2307" s="59" t="s">
        <v>56</v>
      </c>
      <c r="AR2307" s="59" t="s">
        <v>58</v>
      </c>
      <c r="AS2307" s="59" t="s">
        <v>62</v>
      </c>
      <c r="AT2307" s="59"/>
      <c r="AU2307" s="64"/>
      <c r="AV2307" s="59"/>
      <c r="AW2307" s="12" t="str">
        <f>B2307&amp;C2307&amp;L2307&amp;M2307&amp;O2307&amp;U2307&amp;AL2307&amp;AM2307</f>
        <v>BelizeHol Chan Marine ReserveEchinometra viridisdensity22.2Brown-Saracino2007</v>
      </c>
    </row>
    <row r="2308" spans="1:16371" ht="14.5" x14ac:dyDescent="0.35">
      <c r="A2308" s="12">
        <v>2307</v>
      </c>
      <c r="B2308" s="59" t="s">
        <v>299</v>
      </c>
      <c r="C2308" s="59" t="s">
        <v>982</v>
      </c>
      <c r="D2308" s="59" t="s">
        <v>982</v>
      </c>
      <c r="E2308" s="59" t="s">
        <v>983</v>
      </c>
      <c r="F2308" s="16" t="s">
        <v>50</v>
      </c>
      <c r="G2308" s="16" t="s">
        <v>51</v>
      </c>
      <c r="H2308" s="61" t="s">
        <v>984</v>
      </c>
      <c r="I2308" s="59" t="s">
        <v>156</v>
      </c>
      <c r="J2308" s="47"/>
      <c r="K2308" s="47">
        <v>18</v>
      </c>
      <c r="L2308" s="47" t="s">
        <v>990</v>
      </c>
      <c r="M2308" s="47"/>
      <c r="N2308" s="14" t="s">
        <v>85</v>
      </c>
      <c r="O2308" s="47" t="s">
        <v>86</v>
      </c>
      <c r="P2308" s="47"/>
      <c r="Q2308" s="47"/>
      <c r="R2308" s="47"/>
      <c r="S2308" s="47">
        <v>600</v>
      </c>
      <c r="T2308" s="47">
        <v>100</v>
      </c>
      <c r="U2308" s="19">
        <f t="shared" si="155"/>
        <v>0.16666666666666666</v>
      </c>
      <c r="V2308" s="41">
        <f t="shared" si="158"/>
        <v>-83.333333333333343</v>
      </c>
      <c r="W2308" s="47"/>
      <c r="X2308" s="47" t="s">
        <v>56</v>
      </c>
      <c r="Y2308" s="15"/>
      <c r="Z2308" s="47" t="s">
        <v>56</v>
      </c>
      <c r="AA2308" s="47"/>
      <c r="AB2308" s="47" t="s">
        <v>57</v>
      </c>
      <c r="AC2308" s="47">
        <v>2002</v>
      </c>
      <c r="AD2308" s="47">
        <v>1</v>
      </c>
      <c r="AE2308" s="47">
        <v>12</v>
      </c>
      <c r="AF2308" s="47"/>
      <c r="AG2308" s="47">
        <v>1987</v>
      </c>
      <c r="AH2308" s="14">
        <f t="shared" si="156"/>
        <v>15</v>
      </c>
      <c r="AI2308" s="17">
        <f t="shared" si="157"/>
        <v>17</v>
      </c>
      <c r="AJ2308" s="47"/>
      <c r="AK2308" s="47" t="s">
        <v>56</v>
      </c>
      <c r="AL2308" s="59" t="s">
        <v>986</v>
      </c>
      <c r="AM2308" s="59">
        <v>2007</v>
      </c>
      <c r="AN2308" s="50" t="s">
        <v>160</v>
      </c>
      <c r="AO2308" s="59" t="s">
        <v>56</v>
      </c>
      <c r="AP2308" s="59"/>
      <c r="AQ2308" s="59" t="s">
        <v>56</v>
      </c>
      <c r="AR2308" s="59" t="s">
        <v>58</v>
      </c>
      <c r="AS2308" s="59" t="s">
        <v>62</v>
      </c>
      <c r="AT2308" s="50"/>
      <c r="AU2308" s="64"/>
      <c r="AV2308" s="59"/>
      <c r="AW2308" s="12" t="str">
        <f>B2308&amp;C2308&amp;L2308&amp;M2308&amp;O2308&amp;U2308&amp;AL2308&amp;AM2308</f>
        <v>BelizeHol Chan Marine ReserveEucidaris tribuloidesdensity0.166666666666667Brown-Saracino2007</v>
      </c>
    </row>
    <row r="2309" spans="1:16371" ht="14.5" x14ac:dyDescent="0.35">
      <c r="A2309" s="12">
        <v>2308</v>
      </c>
      <c r="B2309" s="59" t="s">
        <v>299</v>
      </c>
      <c r="C2309" s="59" t="s">
        <v>982</v>
      </c>
      <c r="D2309" s="59" t="s">
        <v>982</v>
      </c>
      <c r="E2309" s="59" t="s">
        <v>983</v>
      </c>
      <c r="F2309" s="16" t="s">
        <v>50</v>
      </c>
      <c r="G2309" s="16" t="s">
        <v>51</v>
      </c>
      <c r="H2309" s="61" t="s">
        <v>984</v>
      </c>
      <c r="I2309" s="59" t="s">
        <v>156</v>
      </c>
      <c r="J2309" s="47"/>
      <c r="K2309" s="47">
        <v>18</v>
      </c>
      <c r="L2309" s="47" t="s">
        <v>445</v>
      </c>
      <c r="M2309" s="47" t="s">
        <v>555</v>
      </c>
      <c r="N2309" s="14" t="s">
        <v>446</v>
      </c>
      <c r="O2309" s="17" t="s">
        <v>70</v>
      </c>
      <c r="P2309" s="47"/>
      <c r="Q2309" s="47"/>
      <c r="R2309" s="47"/>
      <c r="S2309" s="47">
        <v>154.9</v>
      </c>
      <c r="T2309" s="47">
        <v>36.4</v>
      </c>
      <c r="U2309" s="19">
        <f t="shared" si="155"/>
        <v>0.23499031633311812</v>
      </c>
      <c r="V2309" s="41">
        <f t="shared" si="158"/>
        <v>-76.500968366688184</v>
      </c>
      <c r="W2309" s="47"/>
      <c r="X2309" s="47" t="s">
        <v>56</v>
      </c>
      <c r="Y2309" s="15"/>
      <c r="Z2309" s="47" t="s">
        <v>56</v>
      </c>
      <c r="AA2309" s="47"/>
      <c r="AB2309" s="47" t="s">
        <v>57</v>
      </c>
      <c r="AC2309" s="47">
        <v>2002</v>
      </c>
      <c r="AD2309" s="47">
        <v>1</v>
      </c>
      <c r="AE2309" s="47">
        <v>12</v>
      </c>
      <c r="AF2309" s="47"/>
      <c r="AG2309" s="47">
        <v>1987</v>
      </c>
      <c r="AH2309" s="14">
        <f t="shared" si="156"/>
        <v>15</v>
      </c>
      <c r="AI2309" s="17">
        <f t="shared" si="157"/>
        <v>17</v>
      </c>
      <c r="AJ2309" s="47"/>
      <c r="AK2309" s="47" t="s">
        <v>56</v>
      </c>
      <c r="AL2309" s="59" t="s">
        <v>986</v>
      </c>
      <c r="AM2309" s="59">
        <v>2007</v>
      </c>
      <c r="AN2309" s="50" t="s">
        <v>160</v>
      </c>
      <c r="AO2309" s="59" t="s">
        <v>56</v>
      </c>
      <c r="AP2309" s="59"/>
      <c r="AQ2309" s="59" t="s">
        <v>56</v>
      </c>
      <c r="AR2309" s="59" t="s">
        <v>58</v>
      </c>
      <c r="AS2309" s="59" t="s">
        <v>62</v>
      </c>
      <c r="AT2309" s="50"/>
      <c r="AU2309" s="64"/>
      <c r="AV2309" s="59"/>
      <c r="AW2309" s="12" t="str">
        <f>B2309&amp;C2309&amp;L2309&amp;M2309&amp;O2309&amp;U2309&amp;AL2309&amp;AM2309</f>
        <v>BelizeHol Chan Marine ReserveEchinoideaUrchinbiomassden0.234990316333118Brown-Saracino2007</v>
      </c>
    </row>
    <row r="2310" spans="1:16371" ht="14.5" x14ac:dyDescent="0.35">
      <c r="A2310" s="12">
        <v>2309</v>
      </c>
      <c r="B2310" s="59" t="s">
        <v>299</v>
      </c>
      <c r="C2310" s="59" t="s">
        <v>982</v>
      </c>
      <c r="D2310" s="59" t="s">
        <v>982</v>
      </c>
      <c r="E2310" s="59" t="s">
        <v>983</v>
      </c>
      <c r="F2310" s="16" t="s">
        <v>50</v>
      </c>
      <c r="G2310" s="16" t="s">
        <v>51</v>
      </c>
      <c r="H2310" s="61" t="s">
        <v>984</v>
      </c>
      <c r="I2310" s="59" t="s">
        <v>156</v>
      </c>
      <c r="J2310" s="47"/>
      <c r="K2310" s="47">
        <v>18</v>
      </c>
      <c r="L2310" s="47" t="s">
        <v>445</v>
      </c>
      <c r="M2310" s="47" t="s">
        <v>555</v>
      </c>
      <c r="N2310" s="14" t="s">
        <v>446</v>
      </c>
      <c r="O2310" s="47" t="s">
        <v>104</v>
      </c>
      <c r="P2310" s="47"/>
      <c r="Q2310" s="47"/>
      <c r="R2310" s="47"/>
      <c r="S2310" s="47">
        <v>2.44</v>
      </c>
      <c r="T2310" s="47">
        <v>3.41</v>
      </c>
      <c r="U2310" s="20">
        <f t="shared" si="155"/>
        <v>1.3975409836065575</v>
      </c>
      <c r="V2310" s="41">
        <f t="shared" si="158"/>
        <v>39.754098360655753</v>
      </c>
      <c r="W2310" s="47"/>
      <c r="X2310" s="47" t="s">
        <v>56</v>
      </c>
      <c r="Y2310" s="17"/>
      <c r="Z2310" s="47" t="s">
        <v>56</v>
      </c>
      <c r="AA2310" s="47"/>
      <c r="AB2310" s="47" t="s">
        <v>57</v>
      </c>
      <c r="AC2310" s="47">
        <v>2002</v>
      </c>
      <c r="AD2310" s="47">
        <v>1</v>
      </c>
      <c r="AE2310" s="47">
        <v>12</v>
      </c>
      <c r="AF2310" s="47"/>
      <c r="AG2310" s="47">
        <v>1987</v>
      </c>
      <c r="AH2310" s="14">
        <f t="shared" si="156"/>
        <v>15</v>
      </c>
      <c r="AI2310" s="17">
        <f t="shared" si="157"/>
        <v>17</v>
      </c>
      <c r="AJ2310" s="47"/>
      <c r="AK2310" s="47" t="s">
        <v>56</v>
      </c>
      <c r="AL2310" s="59" t="s">
        <v>986</v>
      </c>
      <c r="AM2310" s="59">
        <v>2007</v>
      </c>
      <c r="AN2310" s="50" t="s">
        <v>160</v>
      </c>
      <c r="AO2310" s="59" t="s">
        <v>56</v>
      </c>
      <c r="AP2310" s="59"/>
      <c r="AQ2310" s="59" t="s">
        <v>56</v>
      </c>
      <c r="AR2310" s="59" t="s">
        <v>58</v>
      </c>
      <c r="AS2310" s="59" t="s">
        <v>62</v>
      </c>
      <c r="AT2310" s="59"/>
      <c r="AU2310" s="64"/>
      <c r="AV2310" s="59"/>
      <c r="AW2310" s="12" t="str">
        <f>B2310&amp;C2310&amp;L2310&amp;M2310&amp;O2310&amp;U2310&amp;AL2310&amp;AM2310</f>
        <v>BelizeHol Chan Marine ReserveEchinoideaUrchinsize1.39754098360656Brown-Saracino2007</v>
      </c>
    </row>
    <row r="2311" spans="1:16371" ht="14.5" x14ac:dyDescent="0.35">
      <c r="A2311" s="12">
        <v>2310</v>
      </c>
      <c r="B2311" s="59" t="s">
        <v>299</v>
      </c>
      <c r="C2311" s="59" t="s">
        <v>982</v>
      </c>
      <c r="D2311" s="59" t="s">
        <v>982</v>
      </c>
      <c r="E2311" s="59" t="s">
        <v>983</v>
      </c>
      <c r="F2311" s="16" t="s">
        <v>50</v>
      </c>
      <c r="G2311" s="16" t="s">
        <v>51</v>
      </c>
      <c r="H2311" s="61" t="s">
        <v>984</v>
      </c>
      <c r="I2311" s="59" t="s">
        <v>156</v>
      </c>
      <c r="J2311" s="47"/>
      <c r="K2311" s="47">
        <v>18</v>
      </c>
      <c r="L2311" s="47" t="s">
        <v>265</v>
      </c>
      <c r="M2311" s="47"/>
      <c r="N2311" s="47" t="s">
        <v>170</v>
      </c>
      <c r="O2311" s="47" t="s">
        <v>86</v>
      </c>
      <c r="P2311" s="47"/>
      <c r="Q2311" s="47"/>
      <c r="R2311" s="47"/>
      <c r="S2311" s="47">
        <v>104</v>
      </c>
      <c r="T2311" s="47">
        <v>95.5</v>
      </c>
      <c r="U2311" s="19">
        <f t="shared" si="155"/>
        <v>0.91826923076923073</v>
      </c>
      <c r="V2311" s="41">
        <f t="shared" si="158"/>
        <v>-8.1730769230769269</v>
      </c>
      <c r="W2311" s="47"/>
      <c r="X2311" s="47" t="s">
        <v>56</v>
      </c>
      <c r="Y2311" s="17"/>
      <c r="Z2311" s="47" t="s">
        <v>56</v>
      </c>
      <c r="AA2311" s="47"/>
      <c r="AB2311" s="47" t="s">
        <v>57</v>
      </c>
      <c r="AC2311" s="47">
        <v>2002</v>
      </c>
      <c r="AD2311" s="47">
        <v>1</v>
      </c>
      <c r="AE2311" s="47">
        <v>12</v>
      </c>
      <c r="AF2311" s="47"/>
      <c r="AG2311" s="47">
        <v>1987</v>
      </c>
      <c r="AH2311" s="14">
        <f t="shared" si="156"/>
        <v>15</v>
      </c>
      <c r="AI2311" s="17">
        <f t="shared" si="157"/>
        <v>17</v>
      </c>
      <c r="AJ2311" s="47"/>
      <c r="AK2311" s="47" t="s">
        <v>56</v>
      </c>
      <c r="AL2311" s="59" t="s">
        <v>986</v>
      </c>
      <c r="AM2311" s="59">
        <v>2007</v>
      </c>
      <c r="AN2311" s="50" t="s">
        <v>160</v>
      </c>
      <c r="AO2311" s="59" t="s">
        <v>56</v>
      </c>
      <c r="AP2311" s="59"/>
      <c r="AQ2311" s="59" t="s">
        <v>56</v>
      </c>
      <c r="AR2311" s="59" t="s">
        <v>58</v>
      </c>
      <c r="AS2311" s="59" t="s">
        <v>62</v>
      </c>
      <c r="AT2311" s="50"/>
      <c r="AU2311" s="64"/>
      <c r="AV2311" s="59"/>
      <c r="AW2311" s="12" t="str">
        <f>B2311&amp;C2311&amp;L2311&amp;M2311&amp;O2311&amp;U2311&amp;AL2311&amp;AM2311</f>
        <v>BelizeHol Chan Marine ReserveLabridaedensity0.918269230769231Brown-Saracino2007</v>
      </c>
    </row>
    <row r="2312" spans="1:16371" ht="14.5" x14ac:dyDescent="0.35">
      <c r="A2312" s="12">
        <v>2311</v>
      </c>
      <c r="B2312" s="12" t="s">
        <v>153</v>
      </c>
      <c r="C2312" s="12" t="s">
        <v>154</v>
      </c>
      <c r="D2312" s="12" t="s">
        <v>154</v>
      </c>
      <c r="E2312" s="12" t="s">
        <v>187</v>
      </c>
      <c r="F2312" s="13" t="s">
        <v>50</v>
      </c>
      <c r="G2312" s="13" t="s">
        <v>51</v>
      </c>
      <c r="H2312" s="13" t="s">
        <v>78</v>
      </c>
      <c r="I2312" s="13" t="s">
        <v>156</v>
      </c>
      <c r="J2312" s="14">
        <v>0.22500000000000001</v>
      </c>
      <c r="K2312" s="23"/>
      <c r="L2312" s="5"/>
      <c r="M2312" s="14" t="s">
        <v>189</v>
      </c>
      <c r="N2312" s="14" t="s">
        <v>98</v>
      </c>
      <c r="O2312" s="17" t="s">
        <v>86</v>
      </c>
      <c r="P2312" s="5"/>
      <c r="Q2312" s="5"/>
      <c r="R2312" s="5"/>
      <c r="S2312" s="5">
        <v>8.1199999999999992</v>
      </c>
      <c r="T2312" s="5">
        <v>3.76</v>
      </c>
      <c r="U2312" s="19">
        <f t="shared" si="155"/>
        <v>0.46305418719211827</v>
      </c>
      <c r="V2312" s="41">
        <f t="shared" si="158"/>
        <v>-53.694581280788171</v>
      </c>
      <c r="W2312" s="5"/>
      <c r="X2312" s="14" t="s">
        <v>56</v>
      </c>
      <c r="Z2312" s="14" t="s">
        <v>56</v>
      </c>
      <c r="AA2312" s="14"/>
      <c r="AB2312" s="14" t="s">
        <v>57</v>
      </c>
      <c r="AC2312" s="14">
        <v>1983</v>
      </c>
      <c r="AD2312" s="14">
        <v>31</v>
      </c>
      <c r="AE2312" s="14"/>
      <c r="AF2312" s="14"/>
      <c r="AG2312" s="14">
        <v>1982</v>
      </c>
      <c r="AH2312" s="5">
        <f t="shared" si="156"/>
        <v>1</v>
      </c>
      <c r="AI2312" s="5">
        <f t="shared" si="157"/>
        <v>32</v>
      </c>
      <c r="AJ2312" s="5"/>
      <c r="AK2312" s="5" t="s">
        <v>58</v>
      </c>
      <c r="AL2312" s="13" t="s">
        <v>159</v>
      </c>
      <c r="AM2312" s="14">
        <v>2017</v>
      </c>
      <c r="AN2312" s="12" t="s">
        <v>190</v>
      </c>
      <c r="AO2312" s="12" t="s">
        <v>56</v>
      </c>
      <c r="AP2312" s="12"/>
      <c r="AQ2312" s="12" t="s">
        <v>56</v>
      </c>
      <c r="AR2312" s="1" t="s">
        <v>58</v>
      </c>
      <c r="AS2312" s="1" t="s">
        <v>163</v>
      </c>
      <c r="AT2312" s="4"/>
      <c r="AU2312" s="48" t="s">
        <v>2850</v>
      </c>
      <c r="AV2312" s="39"/>
      <c r="AW2312" s="12" t="str">
        <f>B2312&amp;C2312&amp;L2312&amp;M2312&amp;O2312&amp;U2312&amp;AL2312&amp;AM2312</f>
        <v>PhilippinesApo Island ReserveObligate hard corallivoresdensity0.463054187192118Russ2017</v>
      </c>
    </row>
    <row r="2313" spans="1:16371" ht="14.5" x14ac:dyDescent="0.35">
      <c r="A2313" s="12">
        <v>2312</v>
      </c>
      <c r="B2313" s="12" t="s">
        <v>153</v>
      </c>
      <c r="C2313" s="12" t="s">
        <v>154</v>
      </c>
      <c r="D2313" s="12" t="s">
        <v>154</v>
      </c>
      <c r="E2313" s="12" t="s">
        <v>187</v>
      </c>
      <c r="F2313" s="13" t="s">
        <v>50</v>
      </c>
      <c r="G2313" s="13" t="s">
        <v>51</v>
      </c>
      <c r="H2313" s="13" t="s">
        <v>78</v>
      </c>
      <c r="I2313" s="13" t="s">
        <v>156</v>
      </c>
      <c r="J2313" s="14">
        <v>0.22500000000000001</v>
      </c>
      <c r="K2313" s="17"/>
      <c r="L2313" s="14" t="s">
        <v>188</v>
      </c>
      <c r="M2313" s="14"/>
      <c r="N2313" s="14" t="s">
        <v>120</v>
      </c>
      <c r="O2313" s="17" t="s">
        <v>55</v>
      </c>
      <c r="P2313" s="14"/>
      <c r="Q2313" s="14"/>
      <c r="R2313" s="14"/>
      <c r="S2313" s="14">
        <v>7.1</v>
      </c>
      <c r="T2313" s="14">
        <v>6</v>
      </c>
      <c r="U2313" s="19">
        <f t="shared" si="155"/>
        <v>0.84507042253521136</v>
      </c>
      <c r="V2313" s="41">
        <f t="shared" si="158"/>
        <v>-15.492957746478863</v>
      </c>
      <c r="W2313" s="17"/>
      <c r="X2313" s="14" t="s">
        <v>56</v>
      </c>
      <c r="Z2313" s="14" t="s">
        <v>56</v>
      </c>
      <c r="AA2313" s="14"/>
      <c r="AB2313" s="14" t="s">
        <v>57</v>
      </c>
      <c r="AC2313" s="14">
        <v>1983</v>
      </c>
      <c r="AD2313" s="14">
        <v>31</v>
      </c>
      <c r="AE2313" s="14"/>
      <c r="AF2313" s="14"/>
      <c r="AG2313" s="14">
        <v>1982</v>
      </c>
      <c r="AH2313" s="5">
        <f t="shared" si="156"/>
        <v>1</v>
      </c>
      <c r="AI2313" s="5">
        <f t="shared" si="157"/>
        <v>32</v>
      </c>
      <c r="AJ2313" s="5"/>
      <c r="AK2313" s="5" t="s">
        <v>58</v>
      </c>
      <c r="AL2313" s="13" t="s">
        <v>159</v>
      </c>
      <c r="AM2313" s="14">
        <v>2017</v>
      </c>
      <c r="AN2313" s="12" t="s">
        <v>190</v>
      </c>
      <c r="AO2313" s="12" t="s">
        <v>56</v>
      </c>
      <c r="AP2313" s="12"/>
      <c r="AQ2313" s="12" t="s">
        <v>56</v>
      </c>
      <c r="AR2313" s="1" t="s">
        <v>58</v>
      </c>
      <c r="AS2313" s="1" t="s">
        <v>163</v>
      </c>
      <c r="AT2313" s="1"/>
      <c r="AU2313" s="48" t="s">
        <v>2850</v>
      </c>
      <c r="AV2313" s="1"/>
      <c r="AW2313" s="12" t="str">
        <f>B2313&amp;C2313&amp;L2313&amp;M2313&amp;O2313&amp;U2313&amp;AL2313&amp;AM2313</f>
        <v>PhilippinesApo Island ReserveChaetodontidaerichness0.845070422535211Russ2017</v>
      </c>
    </row>
    <row r="2314" spans="1:16371" ht="14.5" x14ac:dyDescent="0.35">
      <c r="A2314" s="12">
        <v>2313</v>
      </c>
      <c r="B2314" s="12" t="s">
        <v>153</v>
      </c>
      <c r="C2314" s="12" t="s">
        <v>154</v>
      </c>
      <c r="D2314" s="12" t="s">
        <v>154</v>
      </c>
      <c r="E2314" s="12" t="s">
        <v>187</v>
      </c>
      <c r="F2314" s="13" t="s">
        <v>50</v>
      </c>
      <c r="G2314" s="13" t="s">
        <v>51</v>
      </c>
      <c r="H2314" s="13" t="s">
        <v>78</v>
      </c>
      <c r="I2314" s="13" t="s">
        <v>156</v>
      </c>
      <c r="J2314" s="14">
        <v>0.22500000000000001</v>
      </c>
      <c r="K2314" s="14"/>
      <c r="L2314" s="14"/>
      <c r="M2314" s="14" t="s">
        <v>191</v>
      </c>
      <c r="N2314" s="42" t="s">
        <v>98</v>
      </c>
      <c r="O2314" s="17" t="s">
        <v>101</v>
      </c>
      <c r="P2314" s="14"/>
      <c r="Q2314" s="14"/>
      <c r="R2314" s="14"/>
      <c r="S2314" s="14">
        <v>41.01</v>
      </c>
      <c r="T2314" s="14">
        <v>19.88</v>
      </c>
      <c r="U2314" s="19">
        <f t="shared" si="155"/>
        <v>0.48475981467934648</v>
      </c>
      <c r="V2314" s="41">
        <f t="shared" si="158"/>
        <v>-51.524018532065355</v>
      </c>
      <c r="W2314" s="17"/>
      <c r="X2314" s="14" t="s">
        <v>56</v>
      </c>
      <c r="Z2314" s="14" t="s">
        <v>56</v>
      </c>
      <c r="AA2314" s="14"/>
      <c r="AB2314" s="14" t="s">
        <v>57</v>
      </c>
      <c r="AC2314" s="14">
        <v>1983</v>
      </c>
      <c r="AD2314" s="14">
        <v>31</v>
      </c>
      <c r="AE2314" s="14"/>
      <c r="AF2314" s="14"/>
      <c r="AG2314" s="14">
        <v>1982</v>
      </c>
      <c r="AH2314" s="5">
        <f t="shared" si="156"/>
        <v>1</v>
      </c>
      <c r="AI2314" s="5">
        <f t="shared" si="157"/>
        <v>32</v>
      </c>
      <c r="AJ2314" s="5"/>
      <c r="AK2314" s="5" t="s">
        <v>58</v>
      </c>
      <c r="AL2314" s="13" t="s">
        <v>159</v>
      </c>
      <c r="AM2314" s="14">
        <v>2017</v>
      </c>
      <c r="AN2314" s="12" t="s">
        <v>190</v>
      </c>
      <c r="AO2314" s="12" t="s">
        <v>56</v>
      </c>
      <c r="AP2314" s="12"/>
      <c r="AQ2314" s="12" t="s">
        <v>56</v>
      </c>
      <c r="AR2314" s="1" t="s">
        <v>58</v>
      </c>
      <c r="AS2314" s="1" t="s">
        <v>163</v>
      </c>
      <c r="AT2314" s="1"/>
      <c r="AU2314" s="48" t="s">
        <v>2850</v>
      </c>
      <c r="AV2314" s="1"/>
      <c r="AW2314" s="12" t="str">
        <f>B2314&amp;C2314&amp;L2314&amp;M2314&amp;O2314&amp;U2314&amp;AL2314&amp;AM2314</f>
        <v>PhilippinesApo Island Reservebranching and tabular coralcover0.484759814679346Russ2017</v>
      </c>
    </row>
    <row r="2315" spans="1:16371" ht="14.5" x14ac:dyDescent="0.35">
      <c r="A2315" s="12">
        <v>2314</v>
      </c>
      <c r="B2315" s="12" t="s">
        <v>153</v>
      </c>
      <c r="C2315" s="12" t="s">
        <v>154</v>
      </c>
      <c r="D2315" s="12" t="s">
        <v>154</v>
      </c>
      <c r="E2315" s="12" t="s">
        <v>187</v>
      </c>
      <c r="F2315" s="13" t="s">
        <v>50</v>
      </c>
      <c r="G2315" s="13" t="s">
        <v>51</v>
      </c>
      <c r="H2315" s="13" t="s">
        <v>78</v>
      </c>
      <c r="I2315" s="13" t="s">
        <v>156</v>
      </c>
      <c r="J2315" s="14">
        <v>0.22500000000000001</v>
      </c>
      <c r="K2315" s="14"/>
      <c r="L2315" s="14"/>
      <c r="M2315" s="14" t="s">
        <v>2804</v>
      </c>
      <c r="N2315" s="42" t="s">
        <v>98</v>
      </c>
      <c r="O2315" s="17" t="s">
        <v>86</v>
      </c>
      <c r="P2315" s="14"/>
      <c r="Q2315" s="14"/>
      <c r="R2315" s="14"/>
      <c r="S2315" s="14">
        <v>8.23</v>
      </c>
      <c r="T2315" s="14">
        <v>7.77</v>
      </c>
      <c r="U2315" s="19">
        <f t="shared" si="155"/>
        <v>0.94410692588092338</v>
      </c>
      <c r="V2315" s="41">
        <f t="shared" si="158"/>
        <v>-5.5893074119076624</v>
      </c>
      <c r="W2315" s="17"/>
      <c r="X2315" s="14" t="s">
        <v>56</v>
      </c>
      <c r="Z2315" s="14" t="s">
        <v>56</v>
      </c>
      <c r="AA2315" s="14"/>
      <c r="AB2315" s="14" t="s">
        <v>57</v>
      </c>
      <c r="AC2315" s="14">
        <v>1983</v>
      </c>
      <c r="AD2315" s="14">
        <v>31</v>
      </c>
      <c r="AE2315" s="14"/>
      <c r="AF2315" s="14"/>
      <c r="AG2315" s="14">
        <v>1982</v>
      </c>
      <c r="AH2315" s="5">
        <f t="shared" si="156"/>
        <v>1</v>
      </c>
      <c r="AI2315" s="5">
        <f t="shared" si="157"/>
        <v>32</v>
      </c>
      <c r="AJ2315" s="5"/>
      <c r="AK2315" s="5" t="s">
        <v>58</v>
      </c>
      <c r="AL2315" s="13" t="s">
        <v>159</v>
      </c>
      <c r="AM2315" s="14">
        <v>2017</v>
      </c>
      <c r="AN2315" s="12" t="s">
        <v>190</v>
      </c>
      <c r="AO2315" s="12" t="s">
        <v>56</v>
      </c>
      <c r="AP2315" s="12"/>
      <c r="AQ2315" s="12" t="s">
        <v>56</v>
      </c>
      <c r="AR2315" s="1" t="s">
        <v>58</v>
      </c>
      <c r="AS2315" s="1" t="s">
        <v>163</v>
      </c>
      <c r="AT2315" s="49"/>
      <c r="AU2315" s="48" t="s">
        <v>2850</v>
      </c>
      <c r="AV2315" s="49"/>
      <c r="AW2315" s="12" t="str">
        <f>B2315&amp;C2315&amp;L2315&amp;M2315&amp;O2315&amp;U2315&amp;AL2315&amp;AM2315</f>
        <v>PhilippinesApo Island Reservegeneralist corallivoresdensity0.944106925880923Russ2017</v>
      </c>
      <c r="AX2315" s="82"/>
      <c r="AY2315" s="82"/>
      <c r="AZ2315" s="82"/>
      <c r="BA2315" s="82"/>
      <c r="BB2315" s="82"/>
      <c r="BC2315" s="82"/>
      <c r="BD2315" s="82"/>
      <c r="BE2315" s="82"/>
      <c r="BF2315" s="82"/>
      <c r="BG2315" s="82"/>
      <c r="BH2315" s="82"/>
      <c r="BI2315" s="82"/>
      <c r="BJ2315" s="82"/>
      <c r="BK2315" s="82"/>
      <c r="BL2315" s="82"/>
      <c r="BM2315" s="82"/>
      <c r="BN2315" s="82"/>
      <c r="BO2315" s="82"/>
      <c r="BP2315" s="82"/>
      <c r="BQ2315" s="82"/>
      <c r="BR2315" s="82"/>
      <c r="BS2315" s="82"/>
      <c r="BT2315" s="82"/>
      <c r="BU2315" s="82"/>
      <c r="BV2315" s="82"/>
      <c r="BW2315" s="82"/>
      <c r="BX2315" s="82"/>
      <c r="BY2315" s="82"/>
      <c r="BZ2315" s="82"/>
      <c r="CA2315" s="82"/>
      <c r="CB2315" s="82"/>
      <c r="CC2315" s="82"/>
      <c r="CD2315" s="82"/>
      <c r="CE2315" s="82"/>
      <c r="CF2315" s="82"/>
      <c r="CG2315" s="82"/>
      <c r="CH2315" s="82"/>
      <c r="CI2315" s="82"/>
      <c r="CJ2315" s="82"/>
      <c r="CK2315" s="82"/>
      <c r="CL2315" s="82"/>
      <c r="CM2315" s="82"/>
      <c r="CN2315" s="82"/>
      <c r="CO2315" s="82"/>
      <c r="CP2315" s="82"/>
      <c r="CQ2315" s="82"/>
      <c r="CR2315" s="82"/>
      <c r="CS2315" s="82"/>
      <c r="CT2315" s="82"/>
      <c r="CU2315" s="82"/>
      <c r="CV2315" s="82"/>
      <c r="CW2315" s="82"/>
      <c r="CX2315" s="82"/>
      <c r="CY2315" s="82"/>
      <c r="CZ2315" s="82"/>
      <c r="DA2315" s="82"/>
      <c r="DB2315" s="82"/>
      <c r="DC2315" s="82"/>
      <c r="DD2315" s="82"/>
      <c r="DE2315" s="82"/>
      <c r="DF2315" s="82"/>
      <c r="DG2315" s="82"/>
      <c r="DH2315" s="82"/>
      <c r="DI2315" s="82"/>
      <c r="DJ2315" s="82"/>
      <c r="DK2315" s="82"/>
      <c r="DL2315" s="82"/>
      <c r="DM2315" s="82"/>
      <c r="DN2315" s="82"/>
      <c r="DO2315" s="82"/>
      <c r="DP2315" s="82"/>
      <c r="DQ2315" s="82"/>
      <c r="DR2315" s="82"/>
      <c r="DS2315" s="82"/>
      <c r="DT2315" s="82"/>
      <c r="DU2315" s="82"/>
      <c r="DV2315" s="82"/>
      <c r="DW2315" s="82"/>
      <c r="DX2315" s="82"/>
      <c r="DY2315" s="82"/>
      <c r="DZ2315" s="82"/>
      <c r="EA2315" s="82"/>
      <c r="EB2315" s="82"/>
      <c r="EC2315" s="82"/>
      <c r="ED2315" s="82"/>
      <c r="EE2315" s="82"/>
      <c r="EF2315" s="82"/>
      <c r="EG2315" s="82"/>
      <c r="EH2315" s="82"/>
      <c r="EI2315" s="82"/>
      <c r="EJ2315" s="82"/>
      <c r="EK2315" s="82"/>
      <c r="EL2315" s="82"/>
      <c r="EM2315" s="82"/>
      <c r="EN2315" s="82"/>
      <c r="EO2315" s="82"/>
      <c r="EP2315" s="82"/>
      <c r="EQ2315" s="82"/>
      <c r="ER2315" s="82"/>
      <c r="ES2315" s="82"/>
      <c r="ET2315" s="82"/>
      <c r="EU2315" s="82"/>
      <c r="EV2315" s="82"/>
      <c r="EW2315" s="82"/>
      <c r="EX2315" s="82"/>
      <c r="EY2315" s="82"/>
      <c r="EZ2315" s="82"/>
      <c r="FA2315" s="82"/>
      <c r="FB2315" s="82"/>
      <c r="FC2315" s="82"/>
      <c r="FD2315" s="82"/>
      <c r="FE2315" s="82"/>
      <c r="FF2315" s="82"/>
      <c r="FG2315" s="82"/>
      <c r="FH2315" s="82"/>
      <c r="FI2315" s="82"/>
      <c r="FJ2315" s="82"/>
      <c r="FK2315" s="82"/>
      <c r="FL2315" s="82"/>
      <c r="FM2315" s="82"/>
      <c r="FN2315" s="82"/>
      <c r="FO2315" s="82"/>
      <c r="FP2315" s="82"/>
      <c r="FQ2315" s="82"/>
      <c r="FR2315" s="82"/>
      <c r="FS2315" s="82"/>
      <c r="FT2315" s="82"/>
      <c r="FU2315" s="82"/>
      <c r="FV2315" s="82"/>
      <c r="FW2315" s="82"/>
      <c r="FX2315" s="82"/>
      <c r="FY2315" s="82"/>
      <c r="FZ2315" s="82"/>
      <c r="GA2315" s="82"/>
      <c r="GB2315" s="82"/>
      <c r="GC2315" s="82"/>
      <c r="GD2315" s="82"/>
      <c r="GE2315" s="82"/>
      <c r="GF2315" s="82"/>
      <c r="GG2315" s="82"/>
      <c r="GH2315" s="82"/>
      <c r="GI2315" s="82"/>
      <c r="GJ2315" s="82"/>
      <c r="GK2315" s="82"/>
      <c r="GL2315" s="82"/>
      <c r="GM2315" s="82"/>
      <c r="GN2315" s="82"/>
      <c r="GO2315" s="82"/>
      <c r="GP2315" s="82"/>
      <c r="GQ2315" s="82"/>
      <c r="GR2315" s="82"/>
      <c r="GS2315" s="82"/>
      <c r="GT2315" s="82"/>
      <c r="GU2315" s="82"/>
      <c r="GV2315" s="82"/>
      <c r="GW2315" s="82"/>
      <c r="GX2315" s="82"/>
      <c r="GY2315" s="82"/>
      <c r="GZ2315" s="82"/>
      <c r="HA2315" s="82"/>
      <c r="HB2315" s="82"/>
      <c r="HC2315" s="82"/>
      <c r="HD2315" s="82"/>
      <c r="HE2315" s="82"/>
      <c r="HF2315" s="82"/>
      <c r="HG2315" s="82"/>
      <c r="HH2315" s="82"/>
      <c r="HI2315" s="82"/>
      <c r="HJ2315" s="82"/>
      <c r="HK2315" s="82"/>
      <c r="HL2315" s="82"/>
      <c r="HM2315" s="82"/>
      <c r="HN2315" s="82"/>
      <c r="HO2315" s="82"/>
      <c r="HP2315" s="82"/>
      <c r="HQ2315" s="82"/>
      <c r="HR2315" s="82"/>
      <c r="HS2315" s="82"/>
      <c r="HT2315" s="82"/>
      <c r="HU2315" s="82"/>
      <c r="HV2315" s="82"/>
      <c r="HW2315" s="82"/>
      <c r="HX2315" s="82"/>
      <c r="HY2315" s="82"/>
      <c r="HZ2315" s="82"/>
      <c r="IA2315" s="82"/>
      <c r="IB2315" s="82"/>
      <c r="IC2315" s="82"/>
      <c r="ID2315" s="82"/>
      <c r="IE2315" s="82"/>
      <c r="IF2315" s="82"/>
      <c r="IG2315" s="82"/>
      <c r="IH2315" s="82"/>
      <c r="II2315" s="82"/>
      <c r="IJ2315" s="82"/>
      <c r="IK2315" s="82"/>
      <c r="IL2315" s="82"/>
      <c r="IM2315" s="82"/>
      <c r="IN2315" s="82"/>
      <c r="IO2315" s="82"/>
      <c r="IP2315" s="82"/>
      <c r="IQ2315" s="82"/>
      <c r="IR2315" s="82"/>
      <c r="IS2315" s="82"/>
      <c r="IT2315" s="82"/>
      <c r="IU2315" s="82"/>
      <c r="IV2315" s="82"/>
      <c r="IW2315" s="82"/>
      <c r="IX2315" s="82"/>
      <c r="IY2315" s="82"/>
      <c r="IZ2315" s="82"/>
      <c r="JA2315" s="82"/>
      <c r="JB2315" s="82"/>
      <c r="JC2315" s="82"/>
      <c r="JD2315" s="82"/>
      <c r="JE2315" s="82"/>
      <c r="JF2315" s="82"/>
      <c r="JG2315" s="82"/>
      <c r="JH2315" s="82"/>
      <c r="JI2315" s="82"/>
      <c r="JJ2315" s="82"/>
      <c r="JK2315" s="82"/>
      <c r="JL2315" s="82"/>
      <c r="JM2315" s="82"/>
      <c r="JN2315" s="82"/>
      <c r="JO2315" s="82"/>
      <c r="JP2315" s="82"/>
      <c r="JQ2315" s="82"/>
      <c r="JR2315" s="82"/>
      <c r="JS2315" s="82"/>
      <c r="JT2315" s="82"/>
      <c r="JU2315" s="82"/>
      <c r="JV2315" s="82"/>
      <c r="JW2315" s="82"/>
      <c r="JX2315" s="82"/>
      <c r="JY2315" s="82"/>
      <c r="JZ2315" s="82"/>
      <c r="KA2315" s="82"/>
      <c r="KB2315" s="82"/>
      <c r="KC2315" s="82"/>
      <c r="KD2315" s="82"/>
      <c r="KE2315" s="82"/>
      <c r="KF2315" s="82"/>
      <c r="KG2315" s="82"/>
      <c r="KH2315" s="82"/>
      <c r="KI2315" s="82"/>
      <c r="KJ2315" s="82"/>
      <c r="KK2315" s="82"/>
      <c r="KL2315" s="82"/>
      <c r="KM2315" s="82"/>
      <c r="KN2315" s="82"/>
      <c r="KO2315" s="82"/>
      <c r="KP2315" s="82"/>
      <c r="KQ2315" s="82"/>
      <c r="KR2315" s="82"/>
      <c r="KS2315" s="82"/>
      <c r="KT2315" s="82"/>
      <c r="KU2315" s="82"/>
      <c r="KV2315" s="82"/>
      <c r="KW2315" s="82"/>
      <c r="KX2315" s="82"/>
      <c r="KY2315" s="82"/>
      <c r="KZ2315" s="82"/>
      <c r="LA2315" s="82"/>
      <c r="LB2315" s="82"/>
      <c r="LC2315" s="82"/>
      <c r="LD2315" s="82"/>
      <c r="LE2315" s="82"/>
      <c r="LF2315" s="82"/>
      <c r="LG2315" s="82"/>
      <c r="LH2315" s="82"/>
      <c r="LI2315" s="82"/>
      <c r="LJ2315" s="82"/>
      <c r="LK2315" s="82"/>
      <c r="LL2315" s="82"/>
      <c r="LM2315" s="82"/>
      <c r="LN2315" s="82"/>
      <c r="LO2315" s="82"/>
      <c r="LP2315" s="82"/>
      <c r="LQ2315" s="82"/>
      <c r="LR2315" s="82"/>
      <c r="LS2315" s="82"/>
      <c r="LT2315" s="82"/>
      <c r="LU2315" s="82"/>
      <c r="LV2315" s="82"/>
      <c r="LW2315" s="82"/>
      <c r="LX2315" s="82"/>
      <c r="LY2315" s="82"/>
      <c r="LZ2315" s="82"/>
      <c r="MA2315" s="82"/>
      <c r="MB2315" s="82"/>
      <c r="MC2315" s="82"/>
      <c r="MD2315" s="82"/>
      <c r="ME2315" s="82"/>
      <c r="MF2315" s="82"/>
      <c r="MG2315" s="82"/>
      <c r="MH2315" s="82"/>
      <c r="MI2315" s="82"/>
      <c r="MJ2315" s="82"/>
      <c r="MK2315" s="82"/>
      <c r="ML2315" s="82"/>
      <c r="MM2315" s="82"/>
      <c r="MN2315" s="82"/>
      <c r="MO2315" s="82"/>
      <c r="MP2315" s="82"/>
      <c r="MQ2315" s="82"/>
      <c r="MR2315" s="82"/>
      <c r="MS2315" s="82"/>
      <c r="MT2315" s="82"/>
      <c r="MU2315" s="82"/>
      <c r="MV2315" s="82"/>
      <c r="MW2315" s="82"/>
      <c r="MX2315" s="82"/>
      <c r="MY2315" s="82"/>
      <c r="MZ2315" s="82"/>
      <c r="NA2315" s="82"/>
      <c r="NB2315" s="82"/>
      <c r="NC2315" s="82"/>
      <c r="ND2315" s="82"/>
      <c r="NE2315" s="82"/>
      <c r="NF2315" s="82"/>
      <c r="NG2315" s="82"/>
      <c r="NH2315" s="82"/>
      <c r="NI2315" s="82"/>
      <c r="NJ2315" s="82"/>
      <c r="NK2315" s="82"/>
      <c r="NL2315" s="82"/>
      <c r="NM2315" s="82"/>
      <c r="NN2315" s="82"/>
      <c r="NO2315" s="82"/>
      <c r="NP2315" s="82"/>
      <c r="NQ2315" s="82"/>
      <c r="NR2315" s="82"/>
      <c r="NS2315" s="82"/>
      <c r="NT2315" s="82"/>
      <c r="NU2315" s="82"/>
      <c r="NV2315" s="82"/>
      <c r="NW2315" s="82"/>
      <c r="NX2315" s="82"/>
      <c r="NY2315" s="82"/>
      <c r="NZ2315" s="82"/>
      <c r="OA2315" s="82"/>
      <c r="OB2315" s="82"/>
      <c r="OC2315" s="82"/>
      <c r="OD2315" s="82"/>
      <c r="OE2315" s="82"/>
      <c r="OF2315" s="82"/>
      <c r="OG2315" s="82"/>
      <c r="OH2315" s="82"/>
      <c r="OI2315" s="82"/>
      <c r="OJ2315" s="82"/>
      <c r="OK2315" s="82"/>
      <c r="OL2315" s="82"/>
      <c r="OM2315" s="82"/>
      <c r="ON2315" s="82"/>
      <c r="OO2315" s="82"/>
      <c r="OP2315" s="82"/>
      <c r="OQ2315" s="82"/>
      <c r="OR2315" s="82"/>
      <c r="OS2315" s="82"/>
      <c r="OT2315" s="82"/>
      <c r="OU2315" s="82"/>
      <c r="OV2315" s="82"/>
      <c r="OW2315" s="82"/>
      <c r="OX2315" s="82"/>
      <c r="OY2315" s="82"/>
      <c r="OZ2315" s="82"/>
      <c r="PA2315" s="82"/>
      <c r="PB2315" s="82"/>
      <c r="PC2315" s="82"/>
      <c r="PD2315" s="82"/>
      <c r="PE2315" s="82"/>
      <c r="PF2315" s="82"/>
      <c r="PG2315" s="82"/>
      <c r="PH2315" s="82"/>
      <c r="PI2315" s="82"/>
      <c r="PJ2315" s="82"/>
      <c r="PK2315" s="82"/>
      <c r="PL2315" s="82"/>
      <c r="PM2315" s="82"/>
      <c r="PN2315" s="82"/>
      <c r="PO2315" s="82"/>
      <c r="PP2315" s="82"/>
      <c r="PQ2315" s="82"/>
      <c r="PR2315" s="82"/>
      <c r="PS2315" s="82"/>
      <c r="PT2315" s="82"/>
      <c r="PU2315" s="82"/>
      <c r="PV2315" s="82"/>
      <c r="PW2315" s="82"/>
      <c r="PX2315" s="82"/>
      <c r="PY2315" s="82"/>
      <c r="PZ2315" s="82"/>
      <c r="QA2315" s="82"/>
      <c r="QB2315" s="82"/>
      <c r="QC2315" s="82"/>
      <c r="QD2315" s="82"/>
      <c r="QE2315" s="82"/>
      <c r="QF2315" s="82"/>
      <c r="QG2315" s="82"/>
      <c r="QH2315" s="82"/>
      <c r="QI2315" s="82"/>
      <c r="QJ2315" s="82"/>
      <c r="QK2315" s="82"/>
      <c r="QL2315" s="82"/>
      <c r="QM2315" s="82"/>
      <c r="QN2315" s="82"/>
      <c r="QO2315" s="82"/>
      <c r="QP2315" s="82"/>
      <c r="QQ2315" s="82"/>
      <c r="QR2315" s="82"/>
      <c r="QS2315" s="82"/>
      <c r="QT2315" s="82"/>
      <c r="QU2315" s="82"/>
      <c r="QV2315" s="82"/>
      <c r="QW2315" s="82"/>
      <c r="QX2315" s="82"/>
      <c r="QY2315" s="82"/>
      <c r="QZ2315" s="82"/>
      <c r="RA2315" s="82"/>
      <c r="RB2315" s="82"/>
      <c r="RC2315" s="82"/>
      <c r="RD2315" s="82"/>
      <c r="RE2315" s="82"/>
      <c r="RF2315" s="82"/>
      <c r="RG2315" s="82"/>
      <c r="RH2315" s="82"/>
      <c r="RI2315" s="82"/>
      <c r="RJ2315" s="82"/>
      <c r="RK2315" s="82"/>
      <c r="RL2315" s="82"/>
      <c r="RM2315" s="82"/>
      <c r="RN2315" s="82"/>
      <c r="RO2315" s="82"/>
      <c r="RP2315" s="82"/>
      <c r="RQ2315" s="82"/>
      <c r="RR2315" s="82"/>
      <c r="RS2315" s="82"/>
      <c r="RT2315" s="82"/>
      <c r="RU2315" s="82"/>
      <c r="RV2315" s="82"/>
      <c r="RW2315" s="82"/>
      <c r="RX2315" s="82"/>
      <c r="RY2315" s="82"/>
      <c r="RZ2315" s="82"/>
      <c r="SA2315" s="82"/>
      <c r="SB2315" s="82"/>
      <c r="SC2315" s="82"/>
      <c r="SD2315" s="82"/>
      <c r="SE2315" s="82"/>
      <c r="SF2315" s="82"/>
      <c r="SG2315" s="82"/>
      <c r="SH2315" s="82"/>
      <c r="SI2315" s="82"/>
      <c r="SJ2315" s="82"/>
      <c r="SK2315" s="82"/>
      <c r="SL2315" s="82"/>
      <c r="SM2315" s="82"/>
      <c r="SN2315" s="82"/>
      <c r="SO2315" s="82"/>
      <c r="SP2315" s="82"/>
      <c r="SQ2315" s="82"/>
      <c r="SR2315" s="82"/>
      <c r="SS2315" s="82"/>
      <c r="ST2315" s="82"/>
      <c r="SU2315" s="82"/>
      <c r="SV2315" s="82"/>
      <c r="SW2315" s="82"/>
      <c r="SX2315" s="82"/>
      <c r="SY2315" s="82"/>
      <c r="SZ2315" s="82"/>
      <c r="TA2315" s="82"/>
      <c r="TB2315" s="82"/>
      <c r="TC2315" s="82"/>
      <c r="TD2315" s="82"/>
      <c r="TE2315" s="82"/>
      <c r="TF2315" s="82"/>
      <c r="TG2315" s="82"/>
      <c r="TH2315" s="82"/>
      <c r="TI2315" s="82"/>
      <c r="TJ2315" s="82"/>
      <c r="TK2315" s="82"/>
      <c r="TL2315" s="82"/>
      <c r="TM2315" s="82"/>
      <c r="TN2315" s="82"/>
      <c r="TO2315" s="82"/>
      <c r="TP2315" s="82"/>
      <c r="TQ2315" s="82"/>
      <c r="TR2315" s="82"/>
      <c r="TS2315" s="82"/>
      <c r="TT2315" s="82"/>
      <c r="TU2315" s="82"/>
      <c r="TV2315" s="82"/>
      <c r="TW2315" s="82"/>
      <c r="TX2315" s="82"/>
      <c r="TY2315" s="82"/>
      <c r="TZ2315" s="82"/>
      <c r="UA2315" s="82"/>
      <c r="UB2315" s="82"/>
      <c r="UC2315" s="82"/>
      <c r="UD2315" s="82"/>
      <c r="UE2315" s="82"/>
      <c r="UF2315" s="82"/>
      <c r="UG2315" s="82"/>
      <c r="UH2315" s="82"/>
      <c r="UI2315" s="82"/>
      <c r="UJ2315" s="82"/>
      <c r="UK2315" s="82"/>
      <c r="UL2315" s="82"/>
      <c r="UM2315" s="82"/>
      <c r="UN2315" s="82"/>
      <c r="UO2315" s="82"/>
      <c r="UP2315" s="82"/>
      <c r="UQ2315" s="82"/>
      <c r="UR2315" s="82"/>
      <c r="US2315" s="82"/>
      <c r="UT2315" s="82"/>
      <c r="UU2315" s="82"/>
      <c r="UV2315" s="82"/>
      <c r="UW2315" s="82"/>
      <c r="UX2315" s="82"/>
      <c r="UY2315" s="82"/>
      <c r="UZ2315" s="82"/>
      <c r="VA2315" s="82"/>
      <c r="VB2315" s="82"/>
      <c r="VC2315" s="82"/>
      <c r="VD2315" s="82"/>
      <c r="VE2315" s="82"/>
      <c r="VF2315" s="82"/>
      <c r="VG2315" s="82"/>
      <c r="VH2315" s="82"/>
      <c r="VI2315" s="82"/>
      <c r="VJ2315" s="82"/>
      <c r="VK2315" s="82"/>
      <c r="VL2315" s="82"/>
      <c r="VM2315" s="82"/>
      <c r="VN2315" s="82"/>
      <c r="VO2315" s="82"/>
      <c r="VP2315" s="82"/>
      <c r="VQ2315" s="82"/>
      <c r="VR2315" s="82"/>
      <c r="VS2315" s="82"/>
      <c r="VT2315" s="82"/>
      <c r="VU2315" s="82"/>
      <c r="VV2315" s="82"/>
      <c r="VW2315" s="82"/>
      <c r="VX2315" s="82"/>
      <c r="VY2315" s="82"/>
      <c r="VZ2315" s="82"/>
      <c r="WA2315" s="82"/>
      <c r="WB2315" s="82"/>
      <c r="WC2315" s="82"/>
      <c r="WD2315" s="82"/>
      <c r="WE2315" s="82"/>
      <c r="WF2315" s="82"/>
      <c r="WG2315" s="82"/>
      <c r="WH2315" s="82"/>
      <c r="WI2315" s="82"/>
      <c r="WJ2315" s="82"/>
      <c r="WK2315" s="82"/>
      <c r="WL2315" s="82"/>
      <c r="WM2315" s="82"/>
      <c r="WN2315" s="82"/>
      <c r="WO2315" s="82"/>
      <c r="WP2315" s="82"/>
      <c r="WQ2315" s="82"/>
      <c r="WR2315" s="82"/>
      <c r="WS2315" s="82"/>
      <c r="WT2315" s="82"/>
      <c r="WU2315" s="82"/>
      <c r="WV2315" s="82"/>
      <c r="WW2315" s="82"/>
      <c r="WX2315" s="82"/>
      <c r="WY2315" s="82"/>
      <c r="WZ2315" s="82"/>
      <c r="XA2315" s="82"/>
      <c r="XB2315" s="82"/>
      <c r="XC2315" s="82"/>
      <c r="XD2315" s="82"/>
      <c r="XE2315" s="82"/>
      <c r="XF2315" s="82"/>
      <c r="XG2315" s="82"/>
      <c r="XH2315" s="82"/>
      <c r="XI2315" s="82"/>
      <c r="XJ2315" s="82"/>
      <c r="XK2315" s="82"/>
      <c r="XL2315" s="82"/>
      <c r="XM2315" s="82"/>
      <c r="XN2315" s="82"/>
      <c r="XO2315" s="82"/>
      <c r="XP2315" s="82"/>
      <c r="XQ2315" s="82"/>
      <c r="XR2315" s="82"/>
      <c r="XS2315" s="82"/>
      <c r="XT2315" s="82"/>
      <c r="XU2315" s="82"/>
      <c r="XV2315" s="82"/>
      <c r="XW2315" s="82"/>
      <c r="XX2315" s="82"/>
      <c r="XY2315" s="82"/>
      <c r="XZ2315" s="82"/>
      <c r="YA2315" s="82"/>
      <c r="YB2315" s="82"/>
      <c r="YC2315" s="82"/>
      <c r="YD2315" s="82"/>
      <c r="YE2315" s="82"/>
      <c r="YF2315" s="82"/>
      <c r="YG2315" s="82"/>
      <c r="YH2315" s="82"/>
      <c r="YI2315" s="82"/>
      <c r="YJ2315" s="82"/>
      <c r="YK2315" s="82"/>
      <c r="YL2315" s="82"/>
      <c r="YM2315" s="82"/>
      <c r="YN2315" s="82"/>
      <c r="YO2315" s="82"/>
      <c r="YP2315" s="82"/>
      <c r="YQ2315" s="82"/>
      <c r="YR2315" s="82"/>
      <c r="YS2315" s="82"/>
      <c r="YT2315" s="82"/>
      <c r="YU2315" s="82"/>
      <c r="YV2315" s="82"/>
      <c r="YW2315" s="82"/>
      <c r="YX2315" s="82"/>
      <c r="YY2315" s="82"/>
      <c r="YZ2315" s="82"/>
      <c r="ZA2315" s="82"/>
      <c r="ZB2315" s="82"/>
      <c r="ZC2315" s="82"/>
      <c r="ZD2315" s="82"/>
      <c r="ZE2315" s="82"/>
      <c r="ZF2315" s="82"/>
      <c r="ZG2315" s="82"/>
      <c r="ZH2315" s="82"/>
      <c r="ZI2315" s="82"/>
      <c r="ZJ2315" s="82"/>
      <c r="ZK2315" s="82"/>
      <c r="ZL2315" s="82"/>
      <c r="ZM2315" s="82"/>
      <c r="ZN2315" s="82"/>
      <c r="ZO2315" s="82"/>
      <c r="ZP2315" s="82"/>
      <c r="ZQ2315" s="82"/>
      <c r="ZR2315" s="82"/>
      <c r="ZS2315" s="82"/>
      <c r="ZT2315" s="82"/>
      <c r="ZU2315" s="82"/>
      <c r="ZV2315" s="82"/>
      <c r="ZW2315" s="82"/>
      <c r="ZX2315" s="82"/>
      <c r="ZY2315" s="82"/>
      <c r="ZZ2315" s="82"/>
      <c r="AAA2315" s="82"/>
      <c r="AAB2315" s="82"/>
      <c r="AAC2315" s="82"/>
      <c r="AAD2315" s="82"/>
      <c r="AAE2315" s="82"/>
      <c r="AAF2315" s="82"/>
      <c r="AAG2315" s="82"/>
      <c r="AAH2315" s="82"/>
      <c r="AAI2315" s="82"/>
      <c r="AAJ2315" s="82"/>
      <c r="AAK2315" s="82"/>
      <c r="AAL2315" s="82"/>
      <c r="AAM2315" s="82"/>
      <c r="AAN2315" s="82"/>
      <c r="AAO2315" s="82"/>
      <c r="AAP2315" s="82"/>
      <c r="AAQ2315" s="82"/>
      <c r="AAR2315" s="82"/>
      <c r="AAS2315" s="82"/>
      <c r="AAT2315" s="82"/>
      <c r="AAU2315" s="82"/>
      <c r="AAV2315" s="82"/>
      <c r="AAW2315" s="82"/>
      <c r="AAX2315" s="82"/>
      <c r="AAY2315" s="82"/>
      <c r="AAZ2315" s="82"/>
      <c r="ABA2315" s="82"/>
      <c r="ABB2315" s="82"/>
      <c r="ABC2315" s="82"/>
      <c r="ABD2315" s="82"/>
      <c r="ABE2315" s="82"/>
      <c r="ABF2315" s="82"/>
      <c r="ABG2315" s="82"/>
      <c r="ABH2315" s="82"/>
      <c r="ABI2315" s="82"/>
      <c r="ABJ2315" s="82"/>
      <c r="ABK2315" s="82"/>
      <c r="ABL2315" s="82"/>
      <c r="ABM2315" s="82"/>
      <c r="ABN2315" s="82"/>
      <c r="ABO2315" s="82"/>
      <c r="ABP2315" s="82"/>
      <c r="ABQ2315" s="82"/>
      <c r="ABR2315" s="82"/>
      <c r="ABS2315" s="82"/>
      <c r="ABT2315" s="82"/>
      <c r="ABU2315" s="82"/>
      <c r="ABV2315" s="82"/>
      <c r="ABW2315" s="82"/>
      <c r="ABX2315" s="82"/>
      <c r="ABY2315" s="82"/>
      <c r="ABZ2315" s="82"/>
      <c r="ACA2315" s="82"/>
      <c r="ACB2315" s="82"/>
      <c r="ACC2315" s="82"/>
      <c r="ACD2315" s="82"/>
      <c r="ACE2315" s="82"/>
      <c r="ACF2315" s="82"/>
      <c r="ACG2315" s="82"/>
      <c r="ACH2315" s="82"/>
      <c r="ACI2315" s="82"/>
      <c r="ACJ2315" s="82"/>
      <c r="ACK2315" s="82"/>
      <c r="ACL2315" s="82"/>
      <c r="ACM2315" s="82"/>
      <c r="ACN2315" s="82"/>
      <c r="ACO2315" s="82"/>
      <c r="ACP2315" s="82"/>
      <c r="ACQ2315" s="82"/>
      <c r="ACR2315" s="82"/>
      <c r="ACS2315" s="82"/>
      <c r="ACT2315" s="82"/>
      <c r="ACU2315" s="82"/>
      <c r="ACV2315" s="82"/>
      <c r="ACW2315" s="82"/>
      <c r="ACX2315" s="82"/>
      <c r="ACY2315" s="82"/>
      <c r="ACZ2315" s="82"/>
      <c r="ADA2315" s="82"/>
      <c r="ADB2315" s="82"/>
      <c r="ADC2315" s="82"/>
      <c r="ADD2315" s="82"/>
      <c r="ADE2315" s="82"/>
      <c r="ADF2315" s="82"/>
      <c r="ADG2315" s="82"/>
      <c r="ADH2315" s="82"/>
      <c r="ADI2315" s="82"/>
      <c r="ADJ2315" s="82"/>
      <c r="ADK2315" s="82"/>
      <c r="ADL2315" s="82"/>
      <c r="ADM2315" s="82"/>
      <c r="ADN2315" s="82"/>
      <c r="ADO2315" s="82"/>
      <c r="ADP2315" s="82"/>
      <c r="ADQ2315" s="82"/>
      <c r="ADR2315" s="82"/>
      <c r="ADS2315" s="82"/>
      <c r="ADT2315" s="82"/>
      <c r="ADU2315" s="82"/>
      <c r="ADV2315" s="82"/>
      <c r="ADW2315" s="82"/>
      <c r="ADX2315" s="82"/>
      <c r="ADY2315" s="82"/>
      <c r="ADZ2315" s="82"/>
      <c r="AEA2315" s="82"/>
      <c r="AEB2315" s="82"/>
      <c r="AEC2315" s="82"/>
      <c r="AED2315" s="82"/>
      <c r="AEE2315" s="82"/>
      <c r="AEF2315" s="82"/>
      <c r="AEG2315" s="82"/>
      <c r="AEH2315" s="82"/>
      <c r="AEI2315" s="82"/>
      <c r="AEJ2315" s="82"/>
      <c r="AEK2315" s="82"/>
      <c r="AEL2315" s="82"/>
      <c r="AEM2315" s="82"/>
      <c r="AEN2315" s="82"/>
      <c r="AEO2315" s="82"/>
      <c r="AEP2315" s="82"/>
      <c r="AEQ2315" s="82"/>
      <c r="AER2315" s="82"/>
      <c r="AES2315" s="82"/>
      <c r="AET2315" s="82"/>
      <c r="AEU2315" s="82"/>
      <c r="AEV2315" s="82"/>
      <c r="AEW2315" s="82"/>
      <c r="AEX2315" s="82"/>
      <c r="AEY2315" s="82"/>
      <c r="AEZ2315" s="82"/>
      <c r="AFA2315" s="82"/>
      <c r="AFB2315" s="82"/>
      <c r="AFC2315" s="82"/>
      <c r="AFD2315" s="82"/>
      <c r="AFE2315" s="82"/>
      <c r="AFF2315" s="82"/>
      <c r="AFG2315" s="82"/>
      <c r="AFH2315" s="82"/>
      <c r="AFI2315" s="82"/>
      <c r="AFJ2315" s="82"/>
      <c r="AFK2315" s="82"/>
      <c r="AFL2315" s="82"/>
      <c r="AFM2315" s="82"/>
      <c r="AFN2315" s="82"/>
      <c r="AFO2315" s="82"/>
      <c r="AFP2315" s="82"/>
      <c r="AFQ2315" s="82"/>
      <c r="AFR2315" s="82"/>
      <c r="AFS2315" s="82"/>
      <c r="AFT2315" s="82"/>
      <c r="AFU2315" s="82"/>
      <c r="AFV2315" s="82"/>
      <c r="AFW2315" s="82"/>
      <c r="AFX2315" s="82"/>
      <c r="AFY2315" s="82"/>
      <c r="AFZ2315" s="82"/>
      <c r="AGA2315" s="82"/>
      <c r="AGB2315" s="82"/>
      <c r="AGC2315" s="82"/>
      <c r="AGD2315" s="82"/>
      <c r="AGE2315" s="82"/>
      <c r="AGF2315" s="82"/>
      <c r="AGG2315" s="82"/>
      <c r="AGH2315" s="82"/>
      <c r="AGI2315" s="82"/>
      <c r="AGJ2315" s="82"/>
      <c r="AGK2315" s="82"/>
      <c r="AGL2315" s="82"/>
      <c r="AGM2315" s="82"/>
      <c r="AGN2315" s="82"/>
      <c r="AGO2315" s="82"/>
      <c r="AGP2315" s="82"/>
      <c r="AGQ2315" s="82"/>
      <c r="AGR2315" s="82"/>
      <c r="AGS2315" s="82"/>
      <c r="AGT2315" s="82"/>
      <c r="AGU2315" s="82"/>
      <c r="AGV2315" s="82"/>
      <c r="AGW2315" s="82"/>
      <c r="AGX2315" s="82"/>
      <c r="AGY2315" s="82"/>
      <c r="AGZ2315" s="82"/>
      <c r="AHA2315" s="82"/>
      <c r="AHB2315" s="82"/>
      <c r="AHC2315" s="82"/>
      <c r="AHD2315" s="82"/>
      <c r="AHE2315" s="82"/>
      <c r="AHF2315" s="82"/>
      <c r="AHG2315" s="82"/>
      <c r="AHH2315" s="82"/>
      <c r="AHI2315" s="82"/>
      <c r="AHJ2315" s="82"/>
      <c r="AHK2315" s="82"/>
      <c r="AHL2315" s="82"/>
      <c r="AHM2315" s="82"/>
      <c r="AHN2315" s="82"/>
      <c r="AHO2315" s="82"/>
      <c r="AHP2315" s="82"/>
      <c r="AHQ2315" s="82"/>
      <c r="AHR2315" s="82"/>
      <c r="AHS2315" s="82"/>
      <c r="AHT2315" s="82"/>
      <c r="AHU2315" s="82"/>
      <c r="AHV2315" s="82"/>
      <c r="AHW2315" s="82"/>
      <c r="AHX2315" s="82"/>
      <c r="AHY2315" s="82"/>
      <c r="AHZ2315" s="82"/>
      <c r="AIA2315" s="82"/>
      <c r="AIB2315" s="82"/>
      <c r="AIC2315" s="82"/>
      <c r="AID2315" s="82"/>
      <c r="AIE2315" s="82"/>
      <c r="AIF2315" s="82"/>
      <c r="AIG2315" s="82"/>
      <c r="AIH2315" s="82"/>
      <c r="AII2315" s="82"/>
      <c r="AIJ2315" s="82"/>
      <c r="AIK2315" s="82"/>
      <c r="AIL2315" s="82"/>
      <c r="AIM2315" s="82"/>
      <c r="AIN2315" s="82"/>
      <c r="AIO2315" s="82"/>
      <c r="AIP2315" s="82"/>
      <c r="AIQ2315" s="82"/>
      <c r="AIR2315" s="82"/>
      <c r="AIS2315" s="82"/>
      <c r="AIT2315" s="82"/>
      <c r="AIU2315" s="82"/>
      <c r="AIV2315" s="82"/>
      <c r="AIW2315" s="82"/>
      <c r="AIX2315" s="82"/>
      <c r="AIY2315" s="82"/>
      <c r="AIZ2315" s="82"/>
      <c r="AJA2315" s="82"/>
      <c r="AJB2315" s="82"/>
      <c r="AJC2315" s="82"/>
      <c r="AJD2315" s="82"/>
      <c r="AJE2315" s="82"/>
      <c r="AJF2315" s="82"/>
      <c r="AJG2315" s="82"/>
      <c r="AJH2315" s="82"/>
      <c r="AJI2315" s="82"/>
      <c r="AJJ2315" s="82"/>
      <c r="AJK2315" s="82"/>
      <c r="AJL2315" s="82"/>
      <c r="AJM2315" s="82"/>
      <c r="AJN2315" s="82"/>
      <c r="AJO2315" s="82"/>
      <c r="AJP2315" s="82"/>
      <c r="AJQ2315" s="82"/>
      <c r="AJR2315" s="82"/>
      <c r="AJS2315" s="82"/>
      <c r="AJT2315" s="82"/>
      <c r="AJU2315" s="82"/>
      <c r="AJV2315" s="82"/>
      <c r="AJW2315" s="82"/>
      <c r="AJX2315" s="82"/>
      <c r="AJY2315" s="82"/>
      <c r="AJZ2315" s="82"/>
      <c r="AKA2315" s="82"/>
      <c r="AKB2315" s="82"/>
      <c r="AKC2315" s="82"/>
      <c r="AKD2315" s="82"/>
      <c r="AKE2315" s="82"/>
      <c r="AKF2315" s="82"/>
      <c r="AKG2315" s="82"/>
      <c r="AKH2315" s="82"/>
      <c r="AKI2315" s="82"/>
      <c r="AKJ2315" s="82"/>
      <c r="AKK2315" s="82"/>
      <c r="AKL2315" s="82"/>
      <c r="AKM2315" s="82"/>
      <c r="AKN2315" s="82"/>
      <c r="AKO2315" s="82"/>
      <c r="AKP2315" s="82"/>
      <c r="AKQ2315" s="82"/>
      <c r="AKR2315" s="82"/>
      <c r="AKS2315" s="82"/>
      <c r="AKT2315" s="82"/>
      <c r="AKU2315" s="82"/>
      <c r="AKV2315" s="82"/>
      <c r="AKW2315" s="82"/>
      <c r="AKX2315" s="82"/>
      <c r="AKY2315" s="82"/>
      <c r="AKZ2315" s="82"/>
      <c r="ALA2315" s="82"/>
      <c r="ALB2315" s="82"/>
      <c r="ALC2315" s="82"/>
      <c r="ALD2315" s="82"/>
      <c r="ALE2315" s="82"/>
      <c r="ALF2315" s="82"/>
      <c r="ALG2315" s="82"/>
      <c r="ALH2315" s="82"/>
      <c r="ALI2315" s="82"/>
      <c r="ALJ2315" s="82"/>
      <c r="ALK2315" s="82"/>
      <c r="ALL2315" s="82"/>
      <c r="ALM2315" s="82"/>
      <c r="ALN2315" s="82"/>
      <c r="ALO2315" s="82"/>
      <c r="ALP2315" s="82"/>
      <c r="ALQ2315" s="82"/>
      <c r="ALR2315" s="82"/>
      <c r="ALS2315" s="82"/>
      <c r="ALT2315" s="82"/>
      <c r="ALU2315" s="82"/>
      <c r="ALV2315" s="82"/>
      <c r="ALW2315" s="82"/>
      <c r="ALX2315" s="82"/>
      <c r="ALY2315" s="82"/>
      <c r="ALZ2315" s="82"/>
      <c r="AMA2315" s="82"/>
      <c r="AMB2315" s="82"/>
      <c r="AMC2315" s="82"/>
      <c r="AMD2315" s="82"/>
      <c r="AME2315" s="82"/>
      <c r="AMF2315" s="82"/>
      <c r="AMG2315" s="82"/>
      <c r="AMH2315" s="82"/>
      <c r="AMI2315" s="82"/>
      <c r="AMJ2315" s="82"/>
      <c r="AMK2315" s="82"/>
      <c r="AML2315" s="82"/>
      <c r="AMM2315" s="82"/>
      <c r="AMN2315" s="82"/>
      <c r="AMO2315" s="82"/>
      <c r="AMP2315" s="82"/>
      <c r="AMQ2315" s="82"/>
      <c r="AMR2315" s="82"/>
      <c r="AMS2315" s="82"/>
      <c r="AMT2315" s="82"/>
      <c r="AMU2315" s="82"/>
      <c r="AMV2315" s="82"/>
      <c r="AMW2315" s="82"/>
      <c r="AMX2315" s="82"/>
      <c r="AMY2315" s="82"/>
      <c r="AMZ2315" s="82"/>
      <c r="ANA2315" s="82"/>
      <c r="ANB2315" s="82"/>
      <c r="ANC2315" s="82"/>
      <c r="AND2315" s="82"/>
      <c r="ANE2315" s="82"/>
      <c r="ANF2315" s="82"/>
      <c r="ANG2315" s="82"/>
      <c r="ANH2315" s="82"/>
      <c r="ANI2315" s="82"/>
      <c r="ANJ2315" s="82"/>
      <c r="ANK2315" s="82"/>
      <c r="ANL2315" s="82"/>
      <c r="ANM2315" s="82"/>
      <c r="ANN2315" s="82"/>
      <c r="ANO2315" s="82"/>
      <c r="ANP2315" s="82"/>
      <c r="ANQ2315" s="82"/>
      <c r="ANR2315" s="82"/>
      <c r="ANS2315" s="82"/>
      <c r="ANT2315" s="82"/>
      <c r="ANU2315" s="82"/>
      <c r="ANV2315" s="82"/>
      <c r="ANW2315" s="82"/>
      <c r="ANX2315" s="82"/>
      <c r="ANY2315" s="82"/>
      <c r="ANZ2315" s="82"/>
      <c r="AOA2315" s="82"/>
      <c r="AOB2315" s="82"/>
      <c r="AOC2315" s="82"/>
      <c r="AOD2315" s="82"/>
      <c r="AOE2315" s="82"/>
      <c r="AOF2315" s="82"/>
      <c r="AOG2315" s="82"/>
      <c r="AOH2315" s="82"/>
      <c r="AOI2315" s="82"/>
      <c r="AOJ2315" s="82"/>
      <c r="AOK2315" s="82"/>
      <c r="AOL2315" s="82"/>
      <c r="AOM2315" s="82"/>
      <c r="AON2315" s="82"/>
      <c r="AOO2315" s="82"/>
      <c r="AOP2315" s="82"/>
      <c r="AOQ2315" s="82"/>
      <c r="AOR2315" s="82"/>
      <c r="AOS2315" s="82"/>
      <c r="AOT2315" s="82"/>
      <c r="AOU2315" s="82"/>
      <c r="AOV2315" s="82"/>
      <c r="AOW2315" s="82"/>
      <c r="AOX2315" s="82"/>
      <c r="AOY2315" s="82"/>
      <c r="AOZ2315" s="82"/>
      <c r="APA2315" s="82"/>
      <c r="APB2315" s="82"/>
      <c r="APC2315" s="82"/>
      <c r="APD2315" s="82"/>
      <c r="APE2315" s="82"/>
      <c r="APF2315" s="82"/>
      <c r="APG2315" s="82"/>
      <c r="APH2315" s="82"/>
      <c r="API2315" s="82"/>
      <c r="APJ2315" s="82"/>
      <c r="APK2315" s="82"/>
      <c r="APL2315" s="82"/>
      <c r="APM2315" s="82"/>
      <c r="APN2315" s="82"/>
      <c r="APO2315" s="82"/>
      <c r="APP2315" s="82"/>
      <c r="APQ2315" s="82"/>
      <c r="APR2315" s="82"/>
      <c r="APS2315" s="82"/>
      <c r="APT2315" s="82"/>
      <c r="APU2315" s="82"/>
      <c r="APV2315" s="82"/>
      <c r="APW2315" s="82"/>
      <c r="APX2315" s="82"/>
      <c r="APY2315" s="82"/>
      <c r="APZ2315" s="82"/>
      <c r="AQA2315" s="82"/>
      <c r="AQB2315" s="82"/>
      <c r="AQC2315" s="82"/>
      <c r="AQD2315" s="82"/>
      <c r="AQE2315" s="82"/>
      <c r="AQF2315" s="82"/>
      <c r="AQG2315" s="82"/>
      <c r="AQH2315" s="82"/>
      <c r="AQI2315" s="82"/>
      <c r="AQJ2315" s="82"/>
      <c r="AQK2315" s="82"/>
      <c r="AQL2315" s="82"/>
      <c r="AQM2315" s="82"/>
      <c r="AQN2315" s="82"/>
      <c r="AQO2315" s="82"/>
      <c r="AQP2315" s="82"/>
      <c r="AQQ2315" s="82"/>
      <c r="AQR2315" s="82"/>
      <c r="AQS2315" s="82"/>
      <c r="AQT2315" s="82"/>
      <c r="AQU2315" s="82"/>
      <c r="AQV2315" s="82"/>
      <c r="AQW2315" s="82"/>
      <c r="AQX2315" s="82"/>
      <c r="AQY2315" s="82"/>
      <c r="AQZ2315" s="82"/>
      <c r="ARA2315" s="82"/>
      <c r="ARB2315" s="82"/>
      <c r="ARC2315" s="82"/>
      <c r="ARD2315" s="82"/>
      <c r="ARE2315" s="82"/>
      <c r="ARF2315" s="82"/>
      <c r="ARG2315" s="82"/>
      <c r="ARH2315" s="82"/>
      <c r="ARI2315" s="82"/>
      <c r="ARJ2315" s="82"/>
      <c r="ARK2315" s="82"/>
      <c r="ARL2315" s="82"/>
      <c r="ARM2315" s="82"/>
      <c r="ARN2315" s="82"/>
      <c r="ARO2315" s="82"/>
      <c r="ARP2315" s="82"/>
      <c r="ARQ2315" s="82"/>
      <c r="ARR2315" s="82"/>
      <c r="ARS2315" s="82"/>
      <c r="ART2315" s="82"/>
      <c r="ARU2315" s="82"/>
      <c r="ARV2315" s="82"/>
      <c r="ARW2315" s="82"/>
      <c r="ARX2315" s="82"/>
      <c r="ARY2315" s="82"/>
      <c r="ARZ2315" s="82"/>
      <c r="ASA2315" s="82"/>
      <c r="ASB2315" s="82"/>
      <c r="ASC2315" s="82"/>
      <c r="ASD2315" s="82"/>
      <c r="ASE2315" s="82"/>
      <c r="ASF2315" s="82"/>
      <c r="ASG2315" s="82"/>
      <c r="ASH2315" s="82"/>
      <c r="ASI2315" s="82"/>
      <c r="ASJ2315" s="82"/>
      <c r="ASK2315" s="82"/>
      <c r="ASL2315" s="82"/>
      <c r="ASM2315" s="82"/>
      <c r="ASN2315" s="82"/>
      <c r="ASO2315" s="82"/>
      <c r="ASP2315" s="82"/>
      <c r="ASQ2315" s="82"/>
      <c r="ASR2315" s="82"/>
      <c r="ASS2315" s="82"/>
      <c r="AST2315" s="82"/>
      <c r="ASU2315" s="82"/>
      <c r="ASV2315" s="82"/>
      <c r="ASW2315" s="82"/>
      <c r="ASX2315" s="82"/>
      <c r="ASY2315" s="82"/>
      <c r="ASZ2315" s="82"/>
      <c r="ATA2315" s="82"/>
      <c r="ATB2315" s="82"/>
      <c r="ATC2315" s="82"/>
      <c r="ATD2315" s="82"/>
      <c r="ATE2315" s="82"/>
      <c r="ATF2315" s="82"/>
      <c r="ATG2315" s="82"/>
      <c r="ATH2315" s="82"/>
      <c r="ATI2315" s="82"/>
      <c r="ATJ2315" s="82"/>
      <c r="ATK2315" s="82"/>
      <c r="ATL2315" s="82"/>
      <c r="ATM2315" s="82"/>
      <c r="ATN2315" s="82"/>
      <c r="ATO2315" s="82"/>
      <c r="ATP2315" s="82"/>
      <c r="ATQ2315" s="82"/>
      <c r="ATR2315" s="82"/>
      <c r="ATS2315" s="82"/>
      <c r="ATT2315" s="82"/>
      <c r="ATU2315" s="82"/>
      <c r="ATV2315" s="82"/>
      <c r="ATW2315" s="82"/>
      <c r="ATX2315" s="82"/>
      <c r="ATY2315" s="82"/>
      <c r="ATZ2315" s="82"/>
      <c r="AUA2315" s="82"/>
      <c r="AUB2315" s="82"/>
      <c r="AUC2315" s="82"/>
      <c r="AUD2315" s="82"/>
      <c r="AUE2315" s="82"/>
      <c r="AUF2315" s="82"/>
      <c r="AUG2315" s="82"/>
      <c r="AUH2315" s="82"/>
      <c r="AUI2315" s="82"/>
      <c r="AUJ2315" s="82"/>
      <c r="AUK2315" s="82"/>
      <c r="AUL2315" s="82"/>
      <c r="AUM2315" s="82"/>
      <c r="AUN2315" s="82"/>
      <c r="AUO2315" s="82"/>
      <c r="AUP2315" s="82"/>
      <c r="AUQ2315" s="82"/>
      <c r="AUR2315" s="82"/>
      <c r="AUS2315" s="82"/>
      <c r="AUT2315" s="82"/>
      <c r="AUU2315" s="82"/>
      <c r="AUV2315" s="82"/>
      <c r="AUW2315" s="82"/>
      <c r="AUX2315" s="82"/>
      <c r="AUY2315" s="82"/>
      <c r="AUZ2315" s="82"/>
      <c r="AVA2315" s="82"/>
      <c r="AVB2315" s="82"/>
      <c r="AVC2315" s="82"/>
      <c r="AVD2315" s="82"/>
      <c r="AVE2315" s="82"/>
      <c r="AVF2315" s="82"/>
      <c r="AVG2315" s="82"/>
      <c r="AVH2315" s="82"/>
      <c r="AVI2315" s="82"/>
      <c r="AVJ2315" s="82"/>
      <c r="AVK2315" s="82"/>
      <c r="AVL2315" s="82"/>
      <c r="AVM2315" s="82"/>
      <c r="AVN2315" s="82"/>
      <c r="AVO2315" s="82"/>
      <c r="AVP2315" s="82"/>
      <c r="AVQ2315" s="82"/>
      <c r="AVR2315" s="82"/>
      <c r="AVS2315" s="82"/>
      <c r="AVT2315" s="82"/>
      <c r="AVU2315" s="82"/>
      <c r="AVV2315" s="82"/>
      <c r="AVW2315" s="82"/>
      <c r="AVX2315" s="82"/>
      <c r="AVY2315" s="82"/>
      <c r="AVZ2315" s="82"/>
      <c r="AWA2315" s="82"/>
      <c r="AWB2315" s="82"/>
      <c r="AWC2315" s="82"/>
      <c r="AWD2315" s="82"/>
      <c r="AWE2315" s="82"/>
      <c r="AWF2315" s="82"/>
      <c r="AWG2315" s="82"/>
      <c r="AWH2315" s="82"/>
      <c r="AWI2315" s="82"/>
      <c r="AWJ2315" s="82"/>
      <c r="AWK2315" s="82"/>
      <c r="AWL2315" s="82"/>
      <c r="AWM2315" s="82"/>
      <c r="AWN2315" s="82"/>
      <c r="AWO2315" s="82"/>
      <c r="AWP2315" s="82"/>
      <c r="AWQ2315" s="82"/>
      <c r="AWR2315" s="82"/>
      <c r="AWS2315" s="82"/>
      <c r="AWT2315" s="82"/>
      <c r="AWU2315" s="82"/>
      <c r="AWV2315" s="82"/>
      <c r="AWW2315" s="82"/>
      <c r="AWX2315" s="82"/>
      <c r="AWY2315" s="82"/>
      <c r="AWZ2315" s="82"/>
      <c r="AXA2315" s="82"/>
      <c r="AXB2315" s="82"/>
      <c r="AXC2315" s="82"/>
      <c r="AXD2315" s="82"/>
      <c r="AXE2315" s="82"/>
      <c r="AXF2315" s="82"/>
      <c r="AXG2315" s="82"/>
      <c r="AXH2315" s="82"/>
      <c r="AXI2315" s="82"/>
      <c r="AXJ2315" s="82"/>
      <c r="AXK2315" s="82"/>
      <c r="AXL2315" s="82"/>
      <c r="AXM2315" s="82"/>
      <c r="AXN2315" s="82"/>
      <c r="AXO2315" s="82"/>
      <c r="AXP2315" s="82"/>
      <c r="AXQ2315" s="82"/>
      <c r="AXR2315" s="82"/>
      <c r="AXS2315" s="82"/>
      <c r="AXT2315" s="82"/>
      <c r="AXU2315" s="82"/>
      <c r="AXV2315" s="82"/>
      <c r="AXW2315" s="82"/>
      <c r="AXX2315" s="82"/>
      <c r="AXY2315" s="82"/>
      <c r="AXZ2315" s="82"/>
      <c r="AYA2315" s="82"/>
      <c r="AYB2315" s="82"/>
      <c r="AYC2315" s="82"/>
      <c r="AYD2315" s="82"/>
      <c r="AYE2315" s="82"/>
      <c r="AYF2315" s="82"/>
      <c r="AYG2315" s="82"/>
      <c r="AYH2315" s="82"/>
      <c r="AYI2315" s="82"/>
      <c r="AYJ2315" s="82"/>
      <c r="AYK2315" s="82"/>
      <c r="AYL2315" s="82"/>
      <c r="AYM2315" s="82"/>
      <c r="AYN2315" s="82"/>
      <c r="AYO2315" s="82"/>
      <c r="AYP2315" s="82"/>
      <c r="AYQ2315" s="82"/>
      <c r="AYR2315" s="82"/>
      <c r="AYS2315" s="82"/>
      <c r="AYT2315" s="82"/>
      <c r="AYU2315" s="82"/>
      <c r="AYV2315" s="82"/>
      <c r="AYW2315" s="82"/>
      <c r="AYX2315" s="82"/>
      <c r="AYY2315" s="82"/>
      <c r="AYZ2315" s="82"/>
      <c r="AZA2315" s="82"/>
      <c r="AZB2315" s="82"/>
      <c r="AZC2315" s="82"/>
      <c r="AZD2315" s="82"/>
      <c r="AZE2315" s="82"/>
      <c r="AZF2315" s="82"/>
      <c r="AZG2315" s="82"/>
      <c r="AZH2315" s="82"/>
      <c r="AZI2315" s="82"/>
      <c r="AZJ2315" s="82"/>
      <c r="AZK2315" s="82"/>
      <c r="AZL2315" s="82"/>
      <c r="AZM2315" s="82"/>
      <c r="AZN2315" s="82"/>
      <c r="AZO2315" s="82"/>
      <c r="AZP2315" s="82"/>
      <c r="AZQ2315" s="82"/>
      <c r="AZR2315" s="82"/>
      <c r="AZS2315" s="82"/>
      <c r="AZT2315" s="82"/>
      <c r="AZU2315" s="82"/>
      <c r="AZV2315" s="82"/>
      <c r="AZW2315" s="82"/>
      <c r="AZX2315" s="82"/>
      <c r="AZY2315" s="82"/>
      <c r="AZZ2315" s="82"/>
      <c r="BAA2315" s="82"/>
      <c r="BAB2315" s="82"/>
      <c r="BAC2315" s="82"/>
      <c r="BAD2315" s="82"/>
      <c r="BAE2315" s="82"/>
      <c r="BAF2315" s="82"/>
      <c r="BAG2315" s="82"/>
      <c r="BAH2315" s="82"/>
      <c r="BAI2315" s="82"/>
      <c r="BAJ2315" s="82"/>
      <c r="BAK2315" s="82"/>
      <c r="BAL2315" s="82"/>
      <c r="BAM2315" s="82"/>
      <c r="BAN2315" s="82"/>
      <c r="BAO2315" s="82"/>
      <c r="BAP2315" s="82"/>
      <c r="BAQ2315" s="82"/>
      <c r="BAR2315" s="82"/>
      <c r="BAS2315" s="82"/>
      <c r="BAT2315" s="82"/>
      <c r="BAU2315" s="82"/>
      <c r="BAV2315" s="82"/>
      <c r="BAW2315" s="82"/>
      <c r="BAX2315" s="82"/>
      <c r="BAY2315" s="82"/>
      <c r="BAZ2315" s="82"/>
      <c r="BBA2315" s="82"/>
      <c r="BBB2315" s="82"/>
      <c r="BBC2315" s="82"/>
      <c r="BBD2315" s="82"/>
      <c r="BBE2315" s="82"/>
      <c r="BBF2315" s="82"/>
      <c r="BBG2315" s="82"/>
      <c r="BBH2315" s="82"/>
      <c r="BBI2315" s="82"/>
      <c r="BBJ2315" s="82"/>
      <c r="BBK2315" s="82"/>
      <c r="BBL2315" s="82"/>
      <c r="BBM2315" s="82"/>
      <c r="BBN2315" s="82"/>
      <c r="BBO2315" s="82"/>
      <c r="BBP2315" s="82"/>
      <c r="BBQ2315" s="82"/>
      <c r="BBR2315" s="82"/>
      <c r="BBS2315" s="82"/>
      <c r="BBT2315" s="82"/>
      <c r="BBU2315" s="82"/>
      <c r="BBV2315" s="82"/>
      <c r="BBW2315" s="82"/>
      <c r="BBX2315" s="82"/>
      <c r="BBY2315" s="82"/>
      <c r="BBZ2315" s="82"/>
      <c r="BCA2315" s="82"/>
      <c r="BCB2315" s="82"/>
      <c r="BCC2315" s="82"/>
      <c r="BCD2315" s="82"/>
      <c r="BCE2315" s="82"/>
      <c r="BCF2315" s="82"/>
      <c r="BCG2315" s="82"/>
      <c r="BCH2315" s="82"/>
      <c r="BCI2315" s="82"/>
      <c r="BCJ2315" s="82"/>
      <c r="BCK2315" s="82"/>
      <c r="BCL2315" s="82"/>
      <c r="BCM2315" s="82"/>
      <c r="BCN2315" s="82"/>
      <c r="BCO2315" s="82"/>
      <c r="BCP2315" s="82"/>
      <c r="BCQ2315" s="82"/>
      <c r="BCR2315" s="82"/>
      <c r="BCS2315" s="82"/>
      <c r="BCT2315" s="82"/>
      <c r="BCU2315" s="82"/>
      <c r="BCV2315" s="82"/>
      <c r="BCW2315" s="82"/>
      <c r="BCX2315" s="82"/>
      <c r="BCY2315" s="82"/>
      <c r="BCZ2315" s="82"/>
      <c r="BDA2315" s="82"/>
      <c r="BDB2315" s="82"/>
      <c r="BDC2315" s="82"/>
      <c r="BDD2315" s="82"/>
      <c r="BDE2315" s="82"/>
      <c r="BDF2315" s="82"/>
      <c r="BDG2315" s="82"/>
      <c r="BDH2315" s="82"/>
      <c r="BDI2315" s="82"/>
      <c r="BDJ2315" s="82"/>
      <c r="BDK2315" s="82"/>
      <c r="BDL2315" s="82"/>
      <c r="BDM2315" s="82"/>
      <c r="BDN2315" s="82"/>
      <c r="BDO2315" s="82"/>
      <c r="BDP2315" s="82"/>
      <c r="BDQ2315" s="82"/>
      <c r="BDR2315" s="82"/>
      <c r="BDS2315" s="82"/>
      <c r="BDT2315" s="82"/>
      <c r="BDU2315" s="82"/>
      <c r="BDV2315" s="82"/>
      <c r="BDW2315" s="82"/>
      <c r="BDX2315" s="82"/>
      <c r="BDY2315" s="82"/>
      <c r="BDZ2315" s="82"/>
      <c r="BEA2315" s="82"/>
      <c r="BEB2315" s="82"/>
      <c r="BEC2315" s="82"/>
      <c r="BED2315" s="82"/>
      <c r="BEE2315" s="82"/>
      <c r="BEF2315" s="82"/>
      <c r="BEG2315" s="82"/>
      <c r="BEH2315" s="82"/>
      <c r="BEI2315" s="82"/>
      <c r="BEJ2315" s="82"/>
      <c r="BEK2315" s="82"/>
      <c r="BEL2315" s="82"/>
      <c r="BEM2315" s="82"/>
      <c r="BEN2315" s="82"/>
      <c r="BEO2315" s="82"/>
      <c r="BEP2315" s="82"/>
      <c r="BEQ2315" s="82"/>
      <c r="BER2315" s="82"/>
      <c r="BES2315" s="82"/>
      <c r="BET2315" s="82"/>
      <c r="BEU2315" s="82"/>
      <c r="BEV2315" s="82"/>
      <c r="BEW2315" s="82"/>
      <c r="BEX2315" s="82"/>
      <c r="BEY2315" s="82"/>
      <c r="BEZ2315" s="82"/>
      <c r="BFA2315" s="82"/>
      <c r="BFB2315" s="82"/>
      <c r="BFC2315" s="82"/>
      <c r="BFD2315" s="82"/>
      <c r="BFE2315" s="82"/>
      <c r="BFF2315" s="82"/>
      <c r="BFG2315" s="82"/>
      <c r="BFH2315" s="82"/>
      <c r="BFI2315" s="82"/>
      <c r="BFJ2315" s="82"/>
      <c r="BFK2315" s="82"/>
      <c r="BFL2315" s="82"/>
      <c r="BFM2315" s="82"/>
      <c r="BFN2315" s="82"/>
      <c r="BFO2315" s="82"/>
      <c r="BFP2315" s="82"/>
      <c r="BFQ2315" s="82"/>
      <c r="BFR2315" s="82"/>
      <c r="BFS2315" s="82"/>
      <c r="BFT2315" s="82"/>
      <c r="BFU2315" s="82"/>
      <c r="BFV2315" s="82"/>
      <c r="BFW2315" s="82"/>
      <c r="BFX2315" s="82"/>
      <c r="BFY2315" s="82"/>
      <c r="BFZ2315" s="82"/>
      <c r="BGA2315" s="82"/>
      <c r="BGB2315" s="82"/>
      <c r="BGC2315" s="82"/>
      <c r="BGD2315" s="82"/>
      <c r="BGE2315" s="82"/>
      <c r="BGF2315" s="82"/>
      <c r="BGG2315" s="82"/>
      <c r="BGH2315" s="82"/>
      <c r="BGI2315" s="82"/>
      <c r="BGJ2315" s="82"/>
      <c r="BGK2315" s="82"/>
      <c r="BGL2315" s="82"/>
      <c r="BGM2315" s="82"/>
      <c r="BGN2315" s="82"/>
      <c r="BGO2315" s="82"/>
      <c r="BGP2315" s="82"/>
      <c r="BGQ2315" s="82"/>
      <c r="BGR2315" s="82"/>
      <c r="BGS2315" s="82"/>
      <c r="BGT2315" s="82"/>
      <c r="BGU2315" s="82"/>
      <c r="BGV2315" s="82"/>
      <c r="BGW2315" s="82"/>
      <c r="BGX2315" s="82"/>
      <c r="BGY2315" s="82"/>
      <c r="BGZ2315" s="82"/>
      <c r="BHA2315" s="82"/>
      <c r="BHB2315" s="82"/>
      <c r="BHC2315" s="82"/>
      <c r="BHD2315" s="82"/>
      <c r="BHE2315" s="82"/>
      <c r="BHF2315" s="82"/>
      <c r="BHG2315" s="82"/>
      <c r="BHH2315" s="82"/>
      <c r="BHI2315" s="82"/>
      <c r="BHJ2315" s="82"/>
      <c r="BHK2315" s="82"/>
      <c r="BHL2315" s="82"/>
      <c r="BHM2315" s="82"/>
      <c r="BHN2315" s="82"/>
      <c r="BHO2315" s="82"/>
      <c r="BHP2315" s="82"/>
      <c r="BHQ2315" s="82"/>
      <c r="BHR2315" s="82"/>
      <c r="BHS2315" s="82"/>
      <c r="BHT2315" s="82"/>
      <c r="BHU2315" s="82"/>
      <c r="BHV2315" s="82"/>
      <c r="BHW2315" s="82"/>
      <c r="BHX2315" s="82"/>
      <c r="BHY2315" s="82"/>
      <c r="BHZ2315" s="82"/>
      <c r="BIA2315" s="82"/>
      <c r="BIB2315" s="82"/>
      <c r="BIC2315" s="82"/>
      <c r="BID2315" s="82"/>
      <c r="BIE2315" s="82"/>
      <c r="BIF2315" s="82"/>
      <c r="BIG2315" s="82"/>
      <c r="BIH2315" s="82"/>
      <c r="BII2315" s="82"/>
      <c r="BIJ2315" s="82"/>
      <c r="BIK2315" s="82"/>
      <c r="BIL2315" s="82"/>
      <c r="BIM2315" s="82"/>
      <c r="BIN2315" s="82"/>
      <c r="BIO2315" s="82"/>
      <c r="BIP2315" s="82"/>
      <c r="BIQ2315" s="82"/>
      <c r="BIR2315" s="82"/>
      <c r="BIS2315" s="82"/>
      <c r="BIT2315" s="82"/>
      <c r="BIU2315" s="82"/>
      <c r="BIV2315" s="82"/>
      <c r="BIW2315" s="82"/>
      <c r="BIX2315" s="82"/>
      <c r="BIY2315" s="82"/>
      <c r="BIZ2315" s="82"/>
      <c r="BJA2315" s="82"/>
      <c r="BJB2315" s="82"/>
      <c r="BJC2315" s="82"/>
      <c r="BJD2315" s="82"/>
      <c r="BJE2315" s="82"/>
      <c r="BJF2315" s="82"/>
      <c r="BJG2315" s="82"/>
      <c r="BJH2315" s="82"/>
      <c r="BJI2315" s="82"/>
      <c r="BJJ2315" s="82"/>
      <c r="BJK2315" s="82"/>
      <c r="BJL2315" s="82"/>
      <c r="BJM2315" s="82"/>
      <c r="BJN2315" s="82"/>
      <c r="BJO2315" s="82"/>
      <c r="BJP2315" s="82"/>
      <c r="BJQ2315" s="82"/>
      <c r="BJR2315" s="82"/>
      <c r="BJS2315" s="82"/>
      <c r="BJT2315" s="82"/>
      <c r="BJU2315" s="82"/>
      <c r="BJV2315" s="82"/>
      <c r="BJW2315" s="82"/>
      <c r="BJX2315" s="82"/>
      <c r="BJY2315" s="82"/>
      <c r="BJZ2315" s="82"/>
      <c r="BKA2315" s="82"/>
      <c r="BKB2315" s="82"/>
      <c r="BKC2315" s="82"/>
      <c r="BKD2315" s="82"/>
      <c r="BKE2315" s="82"/>
      <c r="BKF2315" s="82"/>
      <c r="BKG2315" s="82"/>
      <c r="BKH2315" s="82"/>
      <c r="BKI2315" s="82"/>
      <c r="BKJ2315" s="82"/>
      <c r="BKK2315" s="82"/>
      <c r="BKL2315" s="82"/>
      <c r="BKM2315" s="82"/>
      <c r="BKN2315" s="82"/>
      <c r="BKO2315" s="82"/>
      <c r="BKP2315" s="82"/>
      <c r="BKQ2315" s="82"/>
      <c r="BKR2315" s="82"/>
      <c r="BKS2315" s="82"/>
      <c r="BKT2315" s="82"/>
      <c r="BKU2315" s="82"/>
      <c r="BKV2315" s="82"/>
      <c r="BKW2315" s="82"/>
      <c r="BKX2315" s="82"/>
      <c r="BKY2315" s="82"/>
      <c r="BKZ2315" s="82"/>
      <c r="BLA2315" s="82"/>
      <c r="BLB2315" s="82"/>
      <c r="BLC2315" s="82"/>
      <c r="BLD2315" s="82"/>
      <c r="BLE2315" s="82"/>
      <c r="BLF2315" s="82"/>
      <c r="BLG2315" s="82"/>
      <c r="BLH2315" s="82"/>
      <c r="BLI2315" s="82"/>
      <c r="BLJ2315" s="82"/>
      <c r="BLK2315" s="82"/>
      <c r="BLL2315" s="82"/>
      <c r="BLM2315" s="82"/>
      <c r="BLN2315" s="82"/>
      <c r="BLO2315" s="82"/>
      <c r="BLP2315" s="82"/>
      <c r="BLQ2315" s="82"/>
      <c r="BLR2315" s="82"/>
      <c r="BLS2315" s="82"/>
      <c r="BLT2315" s="82"/>
      <c r="BLU2315" s="82"/>
      <c r="BLV2315" s="82"/>
      <c r="BLW2315" s="82"/>
      <c r="BLX2315" s="82"/>
      <c r="BLY2315" s="82"/>
      <c r="BLZ2315" s="82"/>
      <c r="BMA2315" s="82"/>
      <c r="BMB2315" s="82"/>
      <c r="BMC2315" s="82"/>
      <c r="BMD2315" s="82"/>
      <c r="BME2315" s="82"/>
      <c r="BMF2315" s="82"/>
      <c r="BMG2315" s="82"/>
      <c r="BMH2315" s="82"/>
      <c r="BMI2315" s="82"/>
      <c r="BMJ2315" s="82"/>
      <c r="BMK2315" s="82"/>
      <c r="BML2315" s="82"/>
      <c r="BMM2315" s="82"/>
      <c r="BMN2315" s="82"/>
      <c r="BMO2315" s="82"/>
      <c r="BMP2315" s="82"/>
      <c r="BMQ2315" s="82"/>
      <c r="BMR2315" s="82"/>
      <c r="BMS2315" s="82"/>
      <c r="BMT2315" s="82"/>
      <c r="BMU2315" s="82"/>
      <c r="BMV2315" s="82"/>
      <c r="BMW2315" s="82"/>
      <c r="BMX2315" s="82"/>
      <c r="BMY2315" s="82"/>
      <c r="BMZ2315" s="82"/>
      <c r="BNA2315" s="82"/>
      <c r="BNB2315" s="82"/>
      <c r="BNC2315" s="82"/>
      <c r="BND2315" s="82"/>
      <c r="BNE2315" s="82"/>
      <c r="BNF2315" s="82"/>
      <c r="BNG2315" s="82"/>
      <c r="BNH2315" s="82"/>
      <c r="BNI2315" s="82"/>
      <c r="BNJ2315" s="82"/>
      <c r="BNK2315" s="82"/>
      <c r="BNL2315" s="82"/>
      <c r="BNM2315" s="82"/>
      <c r="BNN2315" s="82"/>
      <c r="BNO2315" s="82"/>
      <c r="BNP2315" s="82"/>
      <c r="BNQ2315" s="82"/>
      <c r="BNR2315" s="82"/>
      <c r="BNS2315" s="82"/>
      <c r="BNT2315" s="82"/>
      <c r="BNU2315" s="82"/>
      <c r="BNV2315" s="82"/>
      <c r="BNW2315" s="82"/>
      <c r="BNX2315" s="82"/>
      <c r="BNY2315" s="82"/>
      <c r="BNZ2315" s="82"/>
      <c r="BOA2315" s="82"/>
      <c r="BOB2315" s="82"/>
      <c r="BOC2315" s="82"/>
      <c r="BOD2315" s="82"/>
      <c r="BOE2315" s="82"/>
      <c r="BOF2315" s="82"/>
      <c r="BOG2315" s="82"/>
      <c r="BOH2315" s="82"/>
      <c r="BOI2315" s="82"/>
      <c r="BOJ2315" s="82"/>
      <c r="BOK2315" s="82"/>
      <c r="BOL2315" s="82"/>
      <c r="BOM2315" s="82"/>
      <c r="BON2315" s="82"/>
      <c r="BOO2315" s="82"/>
      <c r="BOP2315" s="82"/>
      <c r="BOQ2315" s="82"/>
      <c r="BOR2315" s="82"/>
      <c r="BOS2315" s="82"/>
      <c r="BOT2315" s="82"/>
      <c r="BOU2315" s="82"/>
      <c r="BOV2315" s="82"/>
      <c r="BOW2315" s="82"/>
      <c r="BOX2315" s="82"/>
      <c r="BOY2315" s="82"/>
      <c r="BOZ2315" s="82"/>
      <c r="BPA2315" s="82"/>
      <c r="BPB2315" s="82"/>
      <c r="BPC2315" s="82"/>
      <c r="BPD2315" s="82"/>
      <c r="BPE2315" s="82"/>
      <c r="BPF2315" s="82"/>
      <c r="BPG2315" s="82"/>
      <c r="BPH2315" s="82"/>
      <c r="BPI2315" s="82"/>
      <c r="BPJ2315" s="82"/>
      <c r="BPK2315" s="82"/>
      <c r="BPL2315" s="82"/>
      <c r="BPM2315" s="82"/>
      <c r="BPN2315" s="82"/>
      <c r="BPO2315" s="82"/>
      <c r="BPP2315" s="82"/>
      <c r="BPQ2315" s="82"/>
      <c r="BPR2315" s="82"/>
      <c r="BPS2315" s="82"/>
      <c r="BPT2315" s="82"/>
      <c r="BPU2315" s="82"/>
      <c r="BPV2315" s="82"/>
      <c r="BPW2315" s="82"/>
      <c r="BPX2315" s="82"/>
      <c r="BPY2315" s="82"/>
      <c r="BPZ2315" s="82"/>
      <c r="BQA2315" s="82"/>
      <c r="BQB2315" s="82"/>
      <c r="BQC2315" s="82"/>
      <c r="BQD2315" s="82"/>
      <c r="BQE2315" s="82"/>
      <c r="BQF2315" s="82"/>
      <c r="BQG2315" s="82"/>
      <c r="BQH2315" s="82"/>
      <c r="BQI2315" s="82"/>
      <c r="BQJ2315" s="82"/>
      <c r="BQK2315" s="82"/>
      <c r="BQL2315" s="82"/>
      <c r="BQM2315" s="82"/>
      <c r="BQN2315" s="82"/>
      <c r="BQO2315" s="82"/>
      <c r="BQP2315" s="82"/>
      <c r="BQQ2315" s="82"/>
      <c r="BQR2315" s="82"/>
      <c r="BQS2315" s="82"/>
      <c r="BQT2315" s="82"/>
      <c r="BQU2315" s="82"/>
      <c r="BQV2315" s="82"/>
      <c r="BQW2315" s="82"/>
      <c r="BQX2315" s="82"/>
      <c r="BQY2315" s="82"/>
      <c r="BQZ2315" s="82"/>
      <c r="BRA2315" s="82"/>
      <c r="BRB2315" s="82"/>
      <c r="BRC2315" s="82"/>
      <c r="BRD2315" s="82"/>
      <c r="BRE2315" s="82"/>
      <c r="BRF2315" s="82"/>
      <c r="BRG2315" s="82"/>
      <c r="BRH2315" s="82"/>
      <c r="BRI2315" s="82"/>
      <c r="BRJ2315" s="82"/>
      <c r="BRK2315" s="82"/>
      <c r="BRL2315" s="82"/>
      <c r="BRM2315" s="82"/>
      <c r="BRN2315" s="82"/>
      <c r="BRO2315" s="82"/>
      <c r="BRP2315" s="82"/>
      <c r="BRQ2315" s="82"/>
      <c r="BRR2315" s="82"/>
      <c r="BRS2315" s="82"/>
      <c r="BRT2315" s="82"/>
      <c r="BRU2315" s="82"/>
      <c r="BRV2315" s="82"/>
      <c r="BRW2315" s="82"/>
      <c r="BRX2315" s="82"/>
      <c r="BRY2315" s="82"/>
      <c r="BRZ2315" s="82"/>
      <c r="BSA2315" s="82"/>
      <c r="BSB2315" s="82"/>
      <c r="BSC2315" s="82"/>
      <c r="BSD2315" s="82"/>
      <c r="BSE2315" s="82"/>
      <c r="BSF2315" s="82"/>
      <c r="BSG2315" s="82"/>
      <c r="BSH2315" s="82"/>
      <c r="BSI2315" s="82"/>
      <c r="BSJ2315" s="82"/>
      <c r="BSK2315" s="82"/>
      <c r="BSL2315" s="82"/>
      <c r="BSM2315" s="82"/>
      <c r="BSN2315" s="82"/>
      <c r="BSO2315" s="82"/>
      <c r="BSP2315" s="82"/>
      <c r="BSQ2315" s="82"/>
      <c r="BSR2315" s="82"/>
      <c r="BSS2315" s="82"/>
      <c r="BST2315" s="82"/>
      <c r="BSU2315" s="82"/>
      <c r="BSV2315" s="82"/>
      <c r="BSW2315" s="82"/>
      <c r="BSX2315" s="82"/>
      <c r="BSY2315" s="82"/>
      <c r="BSZ2315" s="82"/>
      <c r="BTA2315" s="82"/>
      <c r="BTB2315" s="82"/>
      <c r="BTC2315" s="82"/>
      <c r="BTD2315" s="82"/>
      <c r="BTE2315" s="82"/>
      <c r="BTF2315" s="82"/>
      <c r="BTG2315" s="82"/>
      <c r="BTH2315" s="82"/>
      <c r="BTI2315" s="82"/>
      <c r="BTJ2315" s="82"/>
      <c r="BTK2315" s="82"/>
      <c r="BTL2315" s="82"/>
      <c r="BTM2315" s="82"/>
      <c r="BTN2315" s="82"/>
      <c r="BTO2315" s="82"/>
      <c r="BTP2315" s="82"/>
      <c r="BTQ2315" s="82"/>
      <c r="BTR2315" s="82"/>
      <c r="BTS2315" s="82"/>
      <c r="BTT2315" s="82"/>
      <c r="BTU2315" s="82"/>
      <c r="BTV2315" s="82"/>
      <c r="BTW2315" s="82"/>
      <c r="BTX2315" s="82"/>
      <c r="BTY2315" s="82"/>
      <c r="BTZ2315" s="82"/>
      <c r="BUA2315" s="82"/>
      <c r="BUB2315" s="82"/>
      <c r="BUC2315" s="82"/>
      <c r="BUD2315" s="82"/>
      <c r="BUE2315" s="82"/>
      <c r="BUF2315" s="82"/>
      <c r="BUG2315" s="82"/>
      <c r="BUH2315" s="82"/>
      <c r="BUI2315" s="82"/>
      <c r="BUJ2315" s="82"/>
      <c r="BUK2315" s="82"/>
      <c r="BUL2315" s="82"/>
      <c r="BUM2315" s="82"/>
      <c r="BUN2315" s="82"/>
      <c r="BUO2315" s="82"/>
      <c r="BUP2315" s="82"/>
      <c r="BUQ2315" s="82"/>
      <c r="BUR2315" s="82"/>
      <c r="BUS2315" s="82"/>
      <c r="BUT2315" s="82"/>
      <c r="BUU2315" s="82"/>
      <c r="BUV2315" s="82"/>
      <c r="BUW2315" s="82"/>
      <c r="BUX2315" s="82"/>
      <c r="BUY2315" s="82"/>
      <c r="BUZ2315" s="82"/>
      <c r="BVA2315" s="82"/>
      <c r="BVB2315" s="82"/>
      <c r="BVC2315" s="82"/>
      <c r="BVD2315" s="82"/>
      <c r="BVE2315" s="82"/>
      <c r="BVF2315" s="82"/>
      <c r="BVG2315" s="82"/>
      <c r="BVH2315" s="82"/>
      <c r="BVI2315" s="82"/>
      <c r="BVJ2315" s="82"/>
      <c r="BVK2315" s="82"/>
      <c r="BVL2315" s="82"/>
      <c r="BVM2315" s="82"/>
      <c r="BVN2315" s="82"/>
      <c r="BVO2315" s="82"/>
      <c r="BVP2315" s="82"/>
      <c r="BVQ2315" s="82"/>
      <c r="BVR2315" s="82"/>
      <c r="BVS2315" s="82"/>
      <c r="BVT2315" s="82"/>
      <c r="BVU2315" s="82"/>
      <c r="BVV2315" s="82"/>
      <c r="BVW2315" s="82"/>
      <c r="BVX2315" s="82"/>
      <c r="BVY2315" s="82"/>
      <c r="BVZ2315" s="82"/>
      <c r="BWA2315" s="82"/>
      <c r="BWB2315" s="82"/>
      <c r="BWC2315" s="82"/>
      <c r="BWD2315" s="82"/>
      <c r="BWE2315" s="82"/>
      <c r="BWF2315" s="82"/>
      <c r="BWG2315" s="82"/>
      <c r="BWH2315" s="82"/>
      <c r="BWI2315" s="82"/>
      <c r="BWJ2315" s="82"/>
      <c r="BWK2315" s="82"/>
      <c r="BWL2315" s="82"/>
      <c r="BWM2315" s="82"/>
      <c r="BWN2315" s="82"/>
      <c r="BWO2315" s="82"/>
      <c r="BWP2315" s="82"/>
      <c r="BWQ2315" s="82"/>
      <c r="BWR2315" s="82"/>
      <c r="BWS2315" s="82"/>
      <c r="BWT2315" s="82"/>
      <c r="BWU2315" s="82"/>
      <c r="BWV2315" s="82"/>
      <c r="BWW2315" s="82"/>
      <c r="BWX2315" s="82"/>
      <c r="BWY2315" s="82"/>
      <c r="BWZ2315" s="82"/>
      <c r="BXA2315" s="82"/>
      <c r="BXB2315" s="82"/>
      <c r="BXC2315" s="82"/>
      <c r="BXD2315" s="82"/>
      <c r="BXE2315" s="82"/>
      <c r="BXF2315" s="82"/>
      <c r="BXG2315" s="82"/>
      <c r="BXH2315" s="82"/>
      <c r="BXI2315" s="82"/>
      <c r="BXJ2315" s="82"/>
      <c r="BXK2315" s="82"/>
      <c r="BXL2315" s="82"/>
      <c r="BXM2315" s="82"/>
      <c r="BXN2315" s="82"/>
      <c r="BXO2315" s="82"/>
      <c r="BXP2315" s="82"/>
      <c r="BXQ2315" s="82"/>
      <c r="BXR2315" s="82"/>
      <c r="BXS2315" s="82"/>
      <c r="BXT2315" s="82"/>
      <c r="BXU2315" s="82"/>
      <c r="BXV2315" s="82"/>
      <c r="BXW2315" s="82"/>
      <c r="BXX2315" s="82"/>
      <c r="BXY2315" s="82"/>
      <c r="BXZ2315" s="82"/>
      <c r="BYA2315" s="82"/>
      <c r="BYB2315" s="82"/>
      <c r="BYC2315" s="82"/>
      <c r="BYD2315" s="82"/>
      <c r="BYE2315" s="82"/>
      <c r="BYF2315" s="82"/>
      <c r="BYG2315" s="82"/>
      <c r="BYH2315" s="82"/>
      <c r="BYI2315" s="82"/>
      <c r="BYJ2315" s="82"/>
      <c r="BYK2315" s="82"/>
      <c r="BYL2315" s="82"/>
      <c r="BYM2315" s="82"/>
      <c r="BYN2315" s="82"/>
      <c r="BYO2315" s="82"/>
      <c r="BYP2315" s="82"/>
      <c r="BYQ2315" s="82"/>
      <c r="BYR2315" s="82"/>
      <c r="BYS2315" s="82"/>
      <c r="BYT2315" s="82"/>
      <c r="BYU2315" s="82"/>
      <c r="BYV2315" s="82"/>
      <c r="BYW2315" s="82"/>
      <c r="BYX2315" s="82"/>
      <c r="BYY2315" s="82"/>
      <c r="BYZ2315" s="82"/>
      <c r="BZA2315" s="82"/>
      <c r="BZB2315" s="82"/>
      <c r="BZC2315" s="82"/>
      <c r="BZD2315" s="82"/>
      <c r="BZE2315" s="82"/>
      <c r="BZF2315" s="82"/>
      <c r="BZG2315" s="82"/>
      <c r="BZH2315" s="82"/>
      <c r="BZI2315" s="82"/>
      <c r="BZJ2315" s="82"/>
      <c r="BZK2315" s="82"/>
      <c r="BZL2315" s="82"/>
      <c r="BZM2315" s="82"/>
      <c r="BZN2315" s="82"/>
      <c r="BZO2315" s="82"/>
      <c r="BZP2315" s="82"/>
      <c r="BZQ2315" s="82"/>
      <c r="BZR2315" s="82"/>
      <c r="BZS2315" s="82"/>
      <c r="BZT2315" s="82"/>
      <c r="BZU2315" s="82"/>
      <c r="BZV2315" s="82"/>
      <c r="BZW2315" s="82"/>
      <c r="BZX2315" s="82"/>
      <c r="BZY2315" s="82"/>
      <c r="BZZ2315" s="82"/>
      <c r="CAA2315" s="82"/>
      <c r="CAB2315" s="82"/>
      <c r="CAC2315" s="82"/>
      <c r="CAD2315" s="82"/>
      <c r="CAE2315" s="82"/>
      <c r="CAF2315" s="82"/>
      <c r="CAG2315" s="82"/>
      <c r="CAH2315" s="82"/>
      <c r="CAI2315" s="82"/>
      <c r="CAJ2315" s="82"/>
      <c r="CAK2315" s="82"/>
      <c r="CAL2315" s="82"/>
      <c r="CAM2315" s="82"/>
      <c r="CAN2315" s="82"/>
      <c r="CAO2315" s="82"/>
      <c r="CAP2315" s="82"/>
      <c r="CAQ2315" s="82"/>
      <c r="CAR2315" s="82"/>
      <c r="CAS2315" s="82"/>
      <c r="CAT2315" s="82"/>
      <c r="CAU2315" s="82"/>
      <c r="CAV2315" s="82"/>
      <c r="CAW2315" s="82"/>
      <c r="CAX2315" s="82"/>
      <c r="CAY2315" s="82"/>
      <c r="CAZ2315" s="82"/>
      <c r="CBA2315" s="82"/>
      <c r="CBB2315" s="82"/>
      <c r="CBC2315" s="82"/>
      <c r="CBD2315" s="82"/>
      <c r="CBE2315" s="82"/>
      <c r="CBF2315" s="82"/>
      <c r="CBG2315" s="82"/>
      <c r="CBH2315" s="82"/>
      <c r="CBI2315" s="82"/>
      <c r="CBJ2315" s="82"/>
      <c r="CBK2315" s="82"/>
      <c r="CBL2315" s="82"/>
      <c r="CBM2315" s="82"/>
      <c r="CBN2315" s="82"/>
      <c r="CBO2315" s="82"/>
      <c r="CBP2315" s="82"/>
      <c r="CBQ2315" s="82"/>
      <c r="CBR2315" s="82"/>
      <c r="CBS2315" s="82"/>
      <c r="CBT2315" s="82"/>
      <c r="CBU2315" s="82"/>
      <c r="CBV2315" s="82"/>
      <c r="CBW2315" s="82"/>
      <c r="CBX2315" s="82"/>
      <c r="CBY2315" s="82"/>
      <c r="CBZ2315" s="82"/>
      <c r="CCA2315" s="82"/>
      <c r="CCB2315" s="82"/>
      <c r="CCC2315" s="82"/>
      <c r="CCD2315" s="82"/>
      <c r="CCE2315" s="82"/>
      <c r="CCF2315" s="82"/>
      <c r="CCG2315" s="82"/>
      <c r="CCH2315" s="82"/>
      <c r="CCI2315" s="82"/>
      <c r="CCJ2315" s="82"/>
      <c r="CCK2315" s="82"/>
      <c r="CCL2315" s="82"/>
      <c r="CCM2315" s="82"/>
      <c r="CCN2315" s="82"/>
      <c r="CCO2315" s="82"/>
      <c r="CCP2315" s="82"/>
      <c r="CCQ2315" s="82"/>
      <c r="CCR2315" s="82"/>
      <c r="CCS2315" s="82"/>
      <c r="CCT2315" s="82"/>
      <c r="CCU2315" s="82"/>
      <c r="CCV2315" s="82"/>
      <c r="CCW2315" s="82"/>
      <c r="CCX2315" s="82"/>
      <c r="CCY2315" s="82"/>
      <c r="CCZ2315" s="82"/>
      <c r="CDA2315" s="82"/>
      <c r="CDB2315" s="82"/>
      <c r="CDC2315" s="82"/>
      <c r="CDD2315" s="82"/>
      <c r="CDE2315" s="82"/>
      <c r="CDF2315" s="82"/>
      <c r="CDG2315" s="82"/>
      <c r="CDH2315" s="82"/>
      <c r="CDI2315" s="82"/>
      <c r="CDJ2315" s="82"/>
      <c r="CDK2315" s="82"/>
      <c r="CDL2315" s="82"/>
      <c r="CDM2315" s="82"/>
      <c r="CDN2315" s="82"/>
      <c r="CDO2315" s="82"/>
      <c r="CDP2315" s="82"/>
      <c r="CDQ2315" s="82"/>
      <c r="CDR2315" s="82"/>
      <c r="CDS2315" s="82"/>
      <c r="CDT2315" s="82"/>
      <c r="CDU2315" s="82"/>
      <c r="CDV2315" s="82"/>
      <c r="CDW2315" s="82"/>
      <c r="CDX2315" s="82"/>
      <c r="CDY2315" s="82"/>
      <c r="CDZ2315" s="82"/>
      <c r="CEA2315" s="82"/>
      <c r="CEB2315" s="82"/>
      <c r="CEC2315" s="82"/>
      <c r="CED2315" s="82"/>
      <c r="CEE2315" s="82"/>
      <c r="CEF2315" s="82"/>
      <c r="CEG2315" s="82"/>
      <c r="CEH2315" s="82"/>
      <c r="CEI2315" s="82"/>
      <c r="CEJ2315" s="82"/>
      <c r="CEK2315" s="82"/>
      <c r="CEL2315" s="82"/>
      <c r="CEM2315" s="82"/>
      <c r="CEN2315" s="82"/>
      <c r="CEO2315" s="82"/>
      <c r="CEP2315" s="82"/>
      <c r="CEQ2315" s="82"/>
      <c r="CER2315" s="82"/>
      <c r="CES2315" s="82"/>
      <c r="CET2315" s="82"/>
      <c r="CEU2315" s="82"/>
      <c r="CEV2315" s="82"/>
      <c r="CEW2315" s="82"/>
      <c r="CEX2315" s="82"/>
      <c r="CEY2315" s="82"/>
      <c r="CEZ2315" s="82"/>
      <c r="CFA2315" s="82"/>
      <c r="CFB2315" s="82"/>
      <c r="CFC2315" s="82"/>
      <c r="CFD2315" s="82"/>
      <c r="CFE2315" s="82"/>
      <c r="CFF2315" s="82"/>
      <c r="CFG2315" s="82"/>
      <c r="CFH2315" s="82"/>
      <c r="CFI2315" s="82"/>
      <c r="CFJ2315" s="82"/>
      <c r="CFK2315" s="82"/>
      <c r="CFL2315" s="82"/>
      <c r="CFM2315" s="82"/>
      <c r="CFN2315" s="82"/>
      <c r="CFO2315" s="82"/>
      <c r="CFP2315" s="82"/>
      <c r="CFQ2315" s="82"/>
      <c r="CFR2315" s="82"/>
      <c r="CFS2315" s="82"/>
      <c r="CFT2315" s="82"/>
      <c r="CFU2315" s="82"/>
      <c r="CFV2315" s="82"/>
      <c r="CFW2315" s="82"/>
      <c r="CFX2315" s="82"/>
      <c r="CFY2315" s="82"/>
      <c r="CFZ2315" s="82"/>
      <c r="CGA2315" s="82"/>
      <c r="CGB2315" s="82"/>
      <c r="CGC2315" s="82"/>
      <c r="CGD2315" s="82"/>
      <c r="CGE2315" s="82"/>
      <c r="CGF2315" s="82"/>
      <c r="CGG2315" s="82"/>
      <c r="CGH2315" s="82"/>
      <c r="CGI2315" s="82"/>
      <c r="CGJ2315" s="82"/>
      <c r="CGK2315" s="82"/>
      <c r="CGL2315" s="82"/>
      <c r="CGM2315" s="82"/>
      <c r="CGN2315" s="82"/>
      <c r="CGO2315" s="82"/>
      <c r="CGP2315" s="82"/>
      <c r="CGQ2315" s="82"/>
      <c r="CGR2315" s="82"/>
      <c r="CGS2315" s="82"/>
      <c r="CGT2315" s="82"/>
      <c r="CGU2315" s="82"/>
      <c r="CGV2315" s="82"/>
      <c r="CGW2315" s="82"/>
      <c r="CGX2315" s="82"/>
      <c r="CGY2315" s="82"/>
      <c r="CGZ2315" s="82"/>
      <c r="CHA2315" s="82"/>
      <c r="CHB2315" s="82"/>
      <c r="CHC2315" s="82"/>
      <c r="CHD2315" s="82"/>
      <c r="CHE2315" s="82"/>
      <c r="CHF2315" s="82"/>
      <c r="CHG2315" s="82"/>
      <c r="CHH2315" s="82"/>
      <c r="CHI2315" s="82"/>
      <c r="CHJ2315" s="82"/>
      <c r="CHK2315" s="82"/>
      <c r="CHL2315" s="82"/>
      <c r="CHM2315" s="82"/>
      <c r="CHN2315" s="82"/>
      <c r="CHO2315" s="82"/>
      <c r="CHP2315" s="82"/>
      <c r="CHQ2315" s="82"/>
      <c r="CHR2315" s="82"/>
      <c r="CHS2315" s="82"/>
      <c r="CHT2315" s="82"/>
      <c r="CHU2315" s="82"/>
      <c r="CHV2315" s="82"/>
      <c r="CHW2315" s="82"/>
      <c r="CHX2315" s="82"/>
      <c r="CHY2315" s="82"/>
      <c r="CHZ2315" s="82"/>
      <c r="CIA2315" s="82"/>
      <c r="CIB2315" s="82"/>
      <c r="CIC2315" s="82"/>
      <c r="CID2315" s="82"/>
      <c r="CIE2315" s="82"/>
      <c r="CIF2315" s="82"/>
      <c r="CIG2315" s="82"/>
      <c r="CIH2315" s="82"/>
      <c r="CII2315" s="82"/>
      <c r="CIJ2315" s="82"/>
      <c r="CIK2315" s="82"/>
      <c r="CIL2315" s="82"/>
      <c r="CIM2315" s="82"/>
      <c r="CIN2315" s="82"/>
      <c r="CIO2315" s="82"/>
      <c r="CIP2315" s="82"/>
      <c r="CIQ2315" s="82"/>
      <c r="CIR2315" s="82"/>
      <c r="CIS2315" s="82"/>
      <c r="CIT2315" s="82"/>
      <c r="CIU2315" s="82"/>
      <c r="CIV2315" s="82"/>
      <c r="CIW2315" s="82"/>
      <c r="CIX2315" s="82"/>
      <c r="CIY2315" s="82"/>
      <c r="CIZ2315" s="82"/>
      <c r="CJA2315" s="82"/>
      <c r="CJB2315" s="82"/>
      <c r="CJC2315" s="82"/>
      <c r="CJD2315" s="82"/>
      <c r="CJE2315" s="82"/>
      <c r="CJF2315" s="82"/>
      <c r="CJG2315" s="82"/>
      <c r="CJH2315" s="82"/>
      <c r="CJI2315" s="82"/>
      <c r="CJJ2315" s="82"/>
      <c r="CJK2315" s="82"/>
      <c r="CJL2315" s="82"/>
      <c r="CJM2315" s="82"/>
      <c r="CJN2315" s="82"/>
      <c r="CJO2315" s="82"/>
      <c r="CJP2315" s="82"/>
      <c r="CJQ2315" s="82"/>
      <c r="CJR2315" s="82"/>
      <c r="CJS2315" s="82"/>
      <c r="CJT2315" s="82"/>
      <c r="CJU2315" s="82"/>
      <c r="CJV2315" s="82"/>
      <c r="CJW2315" s="82"/>
      <c r="CJX2315" s="82"/>
      <c r="CJY2315" s="82"/>
      <c r="CJZ2315" s="82"/>
      <c r="CKA2315" s="82"/>
      <c r="CKB2315" s="82"/>
      <c r="CKC2315" s="82"/>
      <c r="CKD2315" s="82"/>
      <c r="CKE2315" s="82"/>
      <c r="CKF2315" s="82"/>
      <c r="CKG2315" s="82"/>
      <c r="CKH2315" s="82"/>
      <c r="CKI2315" s="82"/>
      <c r="CKJ2315" s="82"/>
      <c r="CKK2315" s="82"/>
      <c r="CKL2315" s="82"/>
      <c r="CKM2315" s="82"/>
      <c r="CKN2315" s="82"/>
      <c r="CKO2315" s="82"/>
      <c r="CKP2315" s="82"/>
      <c r="CKQ2315" s="82"/>
      <c r="CKR2315" s="82"/>
      <c r="CKS2315" s="82"/>
      <c r="CKT2315" s="82"/>
      <c r="CKU2315" s="82"/>
      <c r="CKV2315" s="82"/>
      <c r="CKW2315" s="82"/>
      <c r="CKX2315" s="82"/>
      <c r="CKY2315" s="82"/>
      <c r="CKZ2315" s="82"/>
      <c r="CLA2315" s="82"/>
      <c r="CLB2315" s="82"/>
      <c r="CLC2315" s="82"/>
      <c r="CLD2315" s="82"/>
      <c r="CLE2315" s="82"/>
      <c r="CLF2315" s="82"/>
      <c r="CLG2315" s="82"/>
      <c r="CLH2315" s="82"/>
      <c r="CLI2315" s="82"/>
      <c r="CLJ2315" s="82"/>
      <c r="CLK2315" s="82"/>
      <c r="CLL2315" s="82"/>
      <c r="CLM2315" s="82"/>
      <c r="CLN2315" s="82"/>
      <c r="CLO2315" s="82"/>
      <c r="CLP2315" s="82"/>
      <c r="CLQ2315" s="82"/>
      <c r="CLR2315" s="82"/>
      <c r="CLS2315" s="82"/>
      <c r="CLT2315" s="82"/>
      <c r="CLU2315" s="82"/>
      <c r="CLV2315" s="82"/>
      <c r="CLW2315" s="82"/>
      <c r="CLX2315" s="82"/>
      <c r="CLY2315" s="82"/>
      <c r="CLZ2315" s="82"/>
      <c r="CMA2315" s="82"/>
      <c r="CMB2315" s="82"/>
      <c r="CMC2315" s="82"/>
      <c r="CMD2315" s="82"/>
      <c r="CME2315" s="82"/>
      <c r="CMF2315" s="82"/>
      <c r="CMG2315" s="82"/>
      <c r="CMH2315" s="82"/>
      <c r="CMI2315" s="82"/>
      <c r="CMJ2315" s="82"/>
      <c r="CMK2315" s="82"/>
      <c r="CML2315" s="82"/>
      <c r="CMM2315" s="82"/>
      <c r="CMN2315" s="82"/>
      <c r="CMO2315" s="82"/>
      <c r="CMP2315" s="82"/>
      <c r="CMQ2315" s="82"/>
      <c r="CMR2315" s="82"/>
      <c r="CMS2315" s="82"/>
      <c r="CMT2315" s="82"/>
      <c r="CMU2315" s="82"/>
      <c r="CMV2315" s="82"/>
      <c r="CMW2315" s="82"/>
      <c r="CMX2315" s="82"/>
      <c r="CMY2315" s="82"/>
      <c r="CMZ2315" s="82"/>
      <c r="CNA2315" s="82"/>
      <c r="CNB2315" s="82"/>
      <c r="CNC2315" s="82"/>
      <c r="CND2315" s="82"/>
      <c r="CNE2315" s="82"/>
      <c r="CNF2315" s="82"/>
      <c r="CNG2315" s="82"/>
      <c r="CNH2315" s="82"/>
      <c r="CNI2315" s="82"/>
      <c r="CNJ2315" s="82"/>
      <c r="CNK2315" s="82"/>
      <c r="CNL2315" s="82"/>
      <c r="CNM2315" s="82"/>
      <c r="CNN2315" s="82"/>
      <c r="CNO2315" s="82"/>
      <c r="CNP2315" s="82"/>
      <c r="CNQ2315" s="82"/>
      <c r="CNR2315" s="82"/>
      <c r="CNS2315" s="82"/>
      <c r="CNT2315" s="82"/>
      <c r="CNU2315" s="82"/>
      <c r="CNV2315" s="82"/>
      <c r="CNW2315" s="82"/>
      <c r="CNX2315" s="82"/>
      <c r="CNY2315" s="82"/>
      <c r="CNZ2315" s="82"/>
      <c r="COA2315" s="82"/>
      <c r="COB2315" s="82"/>
      <c r="COC2315" s="82"/>
      <c r="COD2315" s="82"/>
      <c r="COE2315" s="82"/>
      <c r="COF2315" s="82"/>
      <c r="COG2315" s="82"/>
      <c r="COH2315" s="82"/>
      <c r="COI2315" s="82"/>
      <c r="COJ2315" s="82"/>
      <c r="COK2315" s="82"/>
      <c r="COL2315" s="82"/>
      <c r="COM2315" s="82"/>
      <c r="CON2315" s="82"/>
      <c r="COO2315" s="82"/>
      <c r="COP2315" s="82"/>
      <c r="COQ2315" s="82"/>
      <c r="COR2315" s="82"/>
      <c r="COS2315" s="82"/>
      <c r="COT2315" s="82"/>
      <c r="COU2315" s="82"/>
      <c r="COV2315" s="82"/>
      <c r="COW2315" s="82"/>
      <c r="COX2315" s="82"/>
      <c r="COY2315" s="82"/>
      <c r="COZ2315" s="82"/>
      <c r="CPA2315" s="82"/>
      <c r="CPB2315" s="82"/>
      <c r="CPC2315" s="82"/>
      <c r="CPD2315" s="82"/>
      <c r="CPE2315" s="82"/>
      <c r="CPF2315" s="82"/>
      <c r="CPG2315" s="82"/>
      <c r="CPH2315" s="82"/>
      <c r="CPI2315" s="82"/>
      <c r="CPJ2315" s="82"/>
      <c r="CPK2315" s="82"/>
      <c r="CPL2315" s="82"/>
      <c r="CPM2315" s="82"/>
      <c r="CPN2315" s="82"/>
      <c r="CPO2315" s="82"/>
      <c r="CPP2315" s="82"/>
      <c r="CPQ2315" s="82"/>
      <c r="CPR2315" s="82"/>
      <c r="CPS2315" s="82"/>
      <c r="CPT2315" s="82"/>
      <c r="CPU2315" s="82"/>
      <c r="CPV2315" s="82"/>
      <c r="CPW2315" s="82"/>
      <c r="CPX2315" s="82"/>
      <c r="CPY2315" s="82"/>
      <c r="CPZ2315" s="82"/>
      <c r="CQA2315" s="82"/>
      <c r="CQB2315" s="82"/>
      <c r="CQC2315" s="82"/>
      <c r="CQD2315" s="82"/>
      <c r="CQE2315" s="82"/>
      <c r="CQF2315" s="82"/>
      <c r="CQG2315" s="82"/>
      <c r="CQH2315" s="82"/>
      <c r="CQI2315" s="82"/>
      <c r="CQJ2315" s="82"/>
      <c r="CQK2315" s="82"/>
      <c r="CQL2315" s="82"/>
      <c r="CQM2315" s="82"/>
      <c r="CQN2315" s="82"/>
      <c r="CQO2315" s="82"/>
      <c r="CQP2315" s="82"/>
      <c r="CQQ2315" s="82"/>
      <c r="CQR2315" s="82"/>
      <c r="CQS2315" s="82"/>
      <c r="CQT2315" s="82"/>
      <c r="CQU2315" s="82"/>
      <c r="CQV2315" s="82"/>
      <c r="CQW2315" s="82"/>
      <c r="CQX2315" s="82"/>
      <c r="CQY2315" s="82"/>
      <c r="CQZ2315" s="82"/>
      <c r="CRA2315" s="82"/>
      <c r="CRB2315" s="82"/>
      <c r="CRC2315" s="82"/>
      <c r="CRD2315" s="82"/>
      <c r="CRE2315" s="82"/>
      <c r="CRF2315" s="82"/>
      <c r="CRG2315" s="82"/>
      <c r="CRH2315" s="82"/>
      <c r="CRI2315" s="82"/>
      <c r="CRJ2315" s="82"/>
      <c r="CRK2315" s="82"/>
      <c r="CRL2315" s="82"/>
      <c r="CRM2315" s="82"/>
      <c r="CRN2315" s="82"/>
      <c r="CRO2315" s="82"/>
      <c r="CRP2315" s="82"/>
      <c r="CRQ2315" s="82"/>
      <c r="CRR2315" s="82"/>
      <c r="CRS2315" s="82"/>
      <c r="CRT2315" s="82"/>
      <c r="CRU2315" s="82"/>
      <c r="CRV2315" s="82"/>
      <c r="CRW2315" s="82"/>
      <c r="CRX2315" s="82"/>
      <c r="CRY2315" s="82"/>
      <c r="CRZ2315" s="82"/>
      <c r="CSA2315" s="82"/>
      <c r="CSB2315" s="82"/>
      <c r="CSC2315" s="82"/>
      <c r="CSD2315" s="82"/>
      <c r="CSE2315" s="82"/>
      <c r="CSF2315" s="82"/>
      <c r="CSG2315" s="82"/>
      <c r="CSH2315" s="82"/>
      <c r="CSI2315" s="82"/>
      <c r="CSJ2315" s="82"/>
      <c r="CSK2315" s="82"/>
      <c r="CSL2315" s="82"/>
      <c r="CSM2315" s="82"/>
      <c r="CSN2315" s="82"/>
      <c r="CSO2315" s="82"/>
      <c r="CSP2315" s="82"/>
      <c r="CSQ2315" s="82"/>
      <c r="CSR2315" s="82"/>
      <c r="CSS2315" s="82"/>
      <c r="CST2315" s="82"/>
      <c r="CSU2315" s="82"/>
      <c r="CSV2315" s="82"/>
      <c r="CSW2315" s="82"/>
      <c r="CSX2315" s="82"/>
      <c r="CSY2315" s="82"/>
      <c r="CSZ2315" s="82"/>
      <c r="CTA2315" s="82"/>
      <c r="CTB2315" s="82"/>
      <c r="CTC2315" s="82"/>
      <c r="CTD2315" s="82"/>
      <c r="CTE2315" s="82"/>
      <c r="CTF2315" s="82"/>
      <c r="CTG2315" s="82"/>
      <c r="CTH2315" s="82"/>
      <c r="CTI2315" s="82"/>
      <c r="CTJ2315" s="82"/>
      <c r="CTK2315" s="82"/>
      <c r="CTL2315" s="82"/>
      <c r="CTM2315" s="82"/>
      <c r="CTN2315" s="82"/>
      <c r="CTO2315" s="82"/>
      <c r="CTP2315" s="82"/>
      <c r="CTQ2315" s="82"/>
      <c r="CTR2315" s="82"/>
      <c r="CTS2315" s="82"/>
      <c r="CTT2315" s="82"/>
      <c r="CTU2315" s="82"/>
      <c r="CTV2315" s="82"/>
      <c r="CTW2315" s="82"/>
      <c r="CTX2315" s="82"/>
      <c r="CTY2315" s="82"/>
      <c r="CTZ2315" s="82"/>
      <c r="CUA2315" s="82"/>
      <c r="CUB2315" s="82"/>
      <c r="CUC2315" s="82"/>
      <c r="CUD2315" s="82"/>
      <c r="CUE2315" s="82"/>
      <c r="CUF2315" s="82"/>
      <c r="CUG2315" s="82"/>
      <c r="CUH2315" s="82"/>
      <c r="CUI2315" s="82"/>
      <c r="CUJ2315" s="82"/>
      <c r="CUK2315" s="82"/>
      <c r="CUL2315" s="82"/>
      <c r="CUM2315" s="82"/>
      <c r="CUN2315" s="82"/>
      <c r="CUO2315" s="82"/>
      <c r="CUP2315" s="82"/>
      <c r="CUQ2315" s="82"/>
      <c r="CUR2315" s="82"/>
      <c r="CUS2315" s="82"/>
      <c r="CUT2315" s="82"/>
      <c r="CUU2315" s="82"/>
      <c r="CUV2315" s="82"/>
      <c r="CUW2315" s="82"/>
      <c r="CUX2315" s="82"/>
      <c r="CUY2315" s="82"/>
      <c r="CUZ2315" s="82"/>
      <c r="CVA2315" s="82"/>
      <c r="CVB2315" s="82"/>
      <c r="CVC2315" s="82"/>
      <c r="CVD2315" s="82"/>
      <c r="CVE2315" s="82"/>
      <c r="CVF2315" s="82"/>
      <c r="CVG2315" s="82"/>
      <c r="CVH2315" s="82"/>
      <c r="CVI2315" s="82"/>
      <c r="CVJ2315" s="82"/>
      <c r="CVK2315" s="82"/>
      <c r="CVL2315" s="82"/>
      <c r="CVM2315" s="82"/>
      <c r="CVN2315" s="82"/>
      <c r="CVO2315" s="82"/>
      <c r="CVP2315" s="82"/>
      <c r="CVQ2315" s="82"/>
      <c r="CVR2315" s="82"/>
      <c r="CVS2315" s="82"/>
      <c r="CVT2315" s="82"/>
      <c r="CVU2315" s="82"/>
      <c r="CVV2315" s="82"/>
      <c r="CVW2315" s="82"/>
      <c r="CVX2315" s="82"/>
      <c r="CVY2315" s="82"/>
      <c r="CVZ2315" s="82"/>
      <c r="CWA2315" s="82"/>
      <c r="CWB2315" s="82"/>
      <c r="CWC2315" s="82"/>
      <c r="CWD2315" s="82"/>
      <c r="CWE2315" s="82"/>
      <c r="CWF2315" s="82"/>
      <c r="CWG2315" s="82"/>
      <c r="CWH2315" s="82"/>
      <c r="CWI2315" s="82"/>
      <c r="CWJ2315" s="82"/>
      <c r="CWK2315" s="82"/>
      <c r="CWL2315" s="82"/>
      <c r="CWM2315" s="82"/>
      <c r="CWN2315" s="82"/>
      <c r="CWO2315" s="82"/>
      <c r="CWP2315" s="82"/>
      <c r="CWQ2315" s="82"/>
      <c r="CWR2315" s="82"/>
      <c r="CWS2315" s="82"/>
      <c r="CWT2315" s="82"/>
      <c r="CWU2315" s="82"/>
      <c r="CWV2315" s="82"/>
      <c r="CWW2315" s="82"/>
      <c r="CWX2315" s="82"/>
      <c r="CWY2315" s="82"/>
      <c r="CWZ2315" s="82"/>
      <c r="CXA2315" s="82"/>
      <c r="CXB2315" s="82"/>
      <c r="CXC2315" s="82"/>
      <c r="CXD2315" s="82"/>
      <c r="CXE2315" s="82"/>
      <c r="CXF2315" s="82"/>
      <c r="CXG2315" s="82"/>
      <c r="CXH2315" s="82"/>
      <c r="CXI2315" s="82"/>
      <c r="CXJ2315" s="82"/>
      <c r="CXK2315" s="82"/>
      <c r="CXL2315" s="82"/>
      <c r="CXM2315" s="82"/>
      <c r="CXN2315" s="82"/>
      <c r="CXO2315" s="82"/>
      <c r="CXP2315" s="82"/>
      <c r="CXQ2315" s="82"/>
      <c r="CXR2315" s="82"/>
      <c r="CXS2315" s="82"/>
      <c r="CXT2315" s="82"/>
      <c r="CXU2315" s="82"/>
      <c r="CXV2315" s="82"/>
      <c r="CXW2315" s="82"/>
      <c r="CXX2315" s="82"/>
      <c r="CXY2315" s="82"/>
      <c r="CXZ2315" s="82"/>
      <c r="CYA2315" s="82"/>
      <c r="CYB2315" s="82"/>
      <c r="CYC2315" s="82"/>
      <c r="CYD2315" s="82"/>
      <c r="CYE2315" s="82"/>
      <c r="CYF2315" s="82"/>
      <c r="CYG2315" s="82"/>
      <c r="CYH2315" s="82"/>
      <c r="CYI2315" s="82"/>
      <c r="CYJ2315" s="82"/>
      <c r="CYK2315" s="82"/>
      <c r="CYL2315" s="82"/>
      <c r="CYM2315" s="82"/>
      <c r="CYN2315" s="82"/>
      <c r="CYO2315" s="82"/>
      <c r="CYP2315" s="82"/>
      <c r="CYQ2315" s="82"/>
      <c r="CYR2315" s="82"/>
      <c r="CYS2315" s="82"/>
      <c r="CYT2315" s="82"/>
      <c r="CYU2315" s="82"/>
      <c r="CYV2315" s="82"/>
      <c r="CYW2315" s="82"/>
      <c r="CYX2315" s="82"/>
      <c r="CYY2315" s="82"/>
      <c r="CYZ2315" s="82"/>
      <c r="CZA2315" s="82"/>
      <c r="CZB2315" s="82"/>
      <c r="CZC2315" s="82"/>
      <c r="CZD2315" s="82"/>
      <c r="CZE2315" s="82"/>
      <c r="CZF2315" s="82"/>
      <c r="CZG2315" s="82"/>
      <c r="CZH2315" s="82"/>
      <c r="CZI2315" s="82"/>
      <c r="CZJ2315" s="82"/>
      <c r="CZK2315" s="82"/>
      <c r="CZL2315" s="82"/>
      <c r="CZM2315" s="82"/>
      <c r="CZN2315" s="82"/>
      <c r="CZO2315" s="82"/>
      <c r="CZP2315" s="82"/>
      <c r="CZQ2315" s="82"/>
      <c r="CZR2315" s="82"/>
      <c r="CZS2315" s="82"/>
      <c r="CZT2315" s="82"/>
      <c r="CZU2315" s="82"/>
      <c r="CZV2315" s="82"/>
      <c r="CZW2315" s="82"/>
      <c r="CZX2315" s="82"/>
      <c r="CZY2315" s="82"/>
      <c r="CZZ2315" s="82"/>
      <c r="DAA2315" s="82"/>
      <c r="DAB2315" s="82"/>
      <c r="DAC2315" s="82"/>
      <c r="DAD2315" s="82"/>
      <c r="DAE2315" s="82"/>
      <c r="DAF2315" s="82"/>
      <c r="DAG2315" s="82"/>
      <c r="DAH2315" s="82"/>
      <c r="DAI2315" s="82"/>
      <c r="DAJ2315" s="82"/>
      <c r="DAK2315" s="82"/>
      <c r="DAL2315" s="82"/>
      <c r="DAM2315" s="82"/>
      <c r="DAN2315" s="82"/>
      <c r="DAO2315" s="82"/>
      <c r="DAP2315" s="82"/>
      <c r="DAQ2315" s="82"/>
      <c r="DAR2315" s="82"/>
      <c r="DAS2315" s="82"/>
      <c r="DAT2315" s="82"/>
      <c r="DAU2315" s="82"/>
      <c r="DAV2315" s="82"/>
      <c r="DAW2315" s="82"/>
      <c r="DAX2315" s="82"/>
      <c r="DAY2315" s="82"/>
      <c r="DAZ2315" s="82"/>
      <c r="DBA2315" s="82"/>
      <c r="DBB2315" s="82"/>
      <c r="DBC2315" s="82"/>
      <c r="DBD2315" s="82"/>
      <c r="DBE2315" s="82"/>
      <c r="DBF2315" s="82"/>
      <c r="DBG2315" s="82"/>
      <c r="DBH2315" s="82"/>
      <c r="DBI2315" s="82"/>
      <c r="DBJ2315" s="82"/>
      <c r="DBK2315" s="82"/>
      <c r="DBL2315" s="82"/>
      <c r="DBM2315" s="82"/>
      <c r="DBN2315" s="82"/>
      <c r="DBO2315" s="82"/>
      <c r="DBP2315" s="82"/>
      <c r="DBQ2315" s="82"/>
      <c r="DBR2315" s="82"/>
      <c r="DBS2315" s="82"/>
      <c r="DBT2315" s="82"/>
      <c r="DBU2315" s="82"/>
      <c r="DBV2315" s="82"/>
      <c r="DBW2315" s="82"/>
      <c r="DBX2315" s="82"/>
      <c r="DBY2315" s="82"/>
      <c r="DBZ2315" s="82"/>
      <c r="DCA2315" s="82"/>
      <c r="DCB2315" s="82"/>
      <c r="DCC2315" s="82"/>
      <c r="DCD2315" s="82"/>
      <c r="DCE2315" s="82"/>
      <c r="DCF2315" s="82"/>
      <c r="DCG2315" s="82"/>
      <c r="DCH2315" s="82"/>
      <c r="DCI2315" s="82"/>
      <c r="DCJ2315" s="82"/>
      <c r="DCK2315" s="82"/>
      <c r="DCL2315" s="82"/>
      <c r="DCM2315" s="82"/>
      <c r="DCN2315" s="82"/>
      <c r="DCO2315" s="82"/>
      <c r="DCP2315" s="82"/>
      <c r="DCQ2315" s="82"/>
      <c r="DCR2315" s="82"/>
      <c r="DCS2315" s="82"/>
      <c r="DCT2315" s="82"/>
      <c r="DCU2315" s="82"/>
      <c r="DCV2315" s="82"/>
      <c r="DCW2315" s="82"/>
      <c r="DCX2315" s="82"/>
      <c r="DCY2315" s="82"/>
      <c r="DCZ2315" s="82"/>
      <c r="DDA2315" s="82"/>
      <c r="DDB2315" s="82"/>
      <c r="DDC2315" s="82"/>
      <c r="DDD2315" s="82"/>
      <c r="DDE2315" s="82"/>
      <c r="DDF2315" s="82"/>
      <c r="DDG2315" s="82"/>
      <c r="DDH2315" s="82"/>
      <c r="DDI2315" s="82"/>
      <c r="DDJ2315" s="82"/>
      <c r="DDK2315" s="82"/>
      <c r="DDL2315" s="82"/>
      <c r="DDM2315" s="82"/>
      <c r="DDN2315" s="82"/>
      <c r="DDO2315" s="82"/>
      <c r="DDP2315" s="82"/>
      <c r="DDQ2315" s="82"/>
      <c r="DDR2315" s="82"/>
      <c r="DDS2315" s="82"/>
      <c r="DDT2315" s="82"/>
      <c r="DDU2315" s="82"/>
      <c r="DDV2315" s="82"/>
      <c r="DDW2315" s="82"/>
      <c r="DDX2315" s="82"/>
      <c r="DDY2315" s="82"/>
      <c r="DDZ2315" s="82"/>
      <c r="DEA2315" s="82"/>
      <c r="DEB2315" s="82"/>
      <c r="DEC2315" s="82"/>
      <c r="DED2315" s="82"/>
      <c r="DEE2315" s="82"/>
      <c r="DEF2315" s="82"/>
      <c r="DEG2315" s="82"/>
      <c r="DEH2315" s="82"/>
      <c r="DEI2315" s="82"/>
      <c r="DEJ2315" s="82"/>
      <c r="DEK2315" s="82"/>
      <c r="DEL2315" s="82"/>
      <c r="DEM2315" s="82"/>
      <c r="DEN2315" s="82"/>
      <c r="DEO2315" s="82"/>
      <c r="DEP2315" s="82"/>
      <c r="DEQ2315" s="82"/>
      <c r="DER2315" s="82"/>
      <c r="DES2315" s="82"/>
      <c r="DET2315" s="82"/>
      <c r="DEU2315" s="82"/>
      <c r="DEV2315" s="82"/>
      <c r="DEW2315" s="82"/>
      <c r="DEX2315" s="82"/>
      <c r="DEY2315" s="82"/>
      <c r="DEZ2315" s="82"/>
      <c r="DFA2315" s="82"/>
      <c r="DFB2315" s="82"/>
      <c r="DFC2315" s="82"/>
      <c r="DFD2315" s="82"/>
      <c r="DFE2315" s="82"/>
      <c r="DFF2315" s="82"/>
      <c r="DFG2315" s="82"/>
      <c r="DFH2315" s="82"/>
      <c r="DFI2315" s="82"/>
      <c r="DFJ2315" s="82"/>
      <c r="DFK2315" s="82"/>
      <c r="DFL2315" s="82"/>
      <c r="DFM2315" s="82"/>
      <c r="DFN2315" s="82"/>
      <c r="DFO2315" s="82"/>
      <c r="DFP2315" s="82"/>
      <c r="DFQ2315" s="82"/>
      <c r="DFR2315" s="82"/>
      <c r="DFS2315" s="82"/>
      <c r="DFT2315" s="82"/>
      <c r="DFU2315" s="82"/>
      <c r="DFV2315" s="82"/>
      <c r="DFW2315" s="82"/>
      <c r="DFX2315" s="82"/>
      <c r="DFY2315" s="82"/>
      <c r="DFZ2315" s="82"/>
      <c r="DGA2315" s="82"/>
      <c r="DGB2315" s="82"/>
      <c r="DGC2315" s="82"/>
      <c r="DGD2315" s="82"/>
      <c r="DGE2315" s="82"/>
      <c r="DGF2315" s="82"/>
      <c r="DGG2315" s="82"/>
      <c r="DGH2315" s="82"/>
      <c r="DGI2315" s="82"/>
      <c r="DGJ2315" s="82"/>
      <c r="DGK2315" s="82"/>
      <c r="DGL2315" s="82"/>
      <c r="DGM2315" s="82"/>
      <c r="DGN2315" s="82"/>
      <c r="DGO2315" s="82"/>
      <c r="DGP2315" s="82"/>
      <c r="DGQ2315" s="82"/>
      <c r="DGR2315" s="82"/>
      <c r="DGS2315" s="82"/>
      <c r="DGT2315" s="82"/>
      <c r="DGU2315" s="82"/>
      <c r="DGV2315" s="82"/>
      <c r="DGW2315" s="82"/>
      <c r="DGX2315" s="82"/>
      <c r="DGY2315" s="82"/>
      <c r="DGZ2315" s="82"/>
      <c r="DHA2315" s="82"/>
      <c r="DHB2315" s="82"/>
      <c r="DHC2315" s="82"/>
      <c r="DHD2315" s="82"/>
      <c r="DHE2315" s="82"/>
      <c r="DHF2315" s="82"/>
      <c r="DHG2315" s="82"/>
      <c r="DHH2315" s="82"/>
      <c r="DHI2315" s="82"/>
      <c r="DHJ2315" s="82"/>
      <c r="DHK2315" s="82"/>
      <c r="DHL2315" s="82"/>
      <c r="DHM2315" s="82"/>
      <c r="DHN2315" s="82"/>
      <c r="DHO2315" s="82"/>
      <c r="DHP2315" s="82"/>
      <c r="DHQ2315" s="82"/>
      <c r="DHR2315" s="82"/>
      <c r="DHS2315" s="82"/>
      <c r="DHT2315" s="82"/>
      <c r="DHU2315" s="82"/>
      <c r="DHV2315" s="82"/>
      <c r="DHW2315" s="82"/>
      <c r="DHX2315" s="82"/>
      <c r="DHY2315" s="82"/>
      <c r="DHZ2315" s="82"/>
      <c r="DIA2315" s="82"/>
      <c r="DIB2315" s="82"/>
      <c r="DIC2315" s="82"/>
      <c r="DID2315" s="82"/>
      <c r="DIE2315" s="82"/>
      <c r="DIF2315" s="82"/>
      <c r="DIG2315" s="82"/>
      <c r="DIH2315" s="82"/>
      <c r="DII2315" s="82"/>
      <c r="DIJ2315" s="82"/>
      <c r="DIK2315" s="82"/>
      <c r="DIL2315" s="82"/>
      <c r="DIM2315" s="82"/>
      <c r="DIN2315" s="82"/>
      <c r="DIO2315" s="82"/>
      <c r="DIP2315" s="82"/>
      <c r="DIQ2315" s="82"/>
      <c r="DIR2315" s="82"/>
      <c r="DIS2315" s="82"/>
      <c r="DIT2315" s="82"/>
      <c r="DIU2315" s="82"/>
      <c r="DIV2315" s="82"/>
      <c r="DIW2315" s="82"/>
      <c r="DIX2315" s="82"/>
      <c r="DIY2315" s="82"/>
      <c r="DIZ2315" s="82"/>
      <c r="DJA2315" s="82"/>
      <c r="DJB2315" s="82"/>
      <c r="DJC2315" s="82"/>
      <c r="DJD2315" s="82"/>
      <c r="DJE2315" s="82"/>
      <c r="DJF2315" s="82"/>
      <c r="DJG2315" s="82"/>
      <c r="DJH2315" s="82"/>
      <c r="DJI2315" s="82"/>
      <c r="DJJ2315" s="82"/>
      <c r="DJK2315" s="82"/>
      <c r="DJL2315" s="82"/>
      <c r="DJM2315" s="82"/>
      <c r="DJN2315" s="82"/>
      <c r="DJO2315" s="82"/>
      <c r="DJP2315" s="82"/>
      <c r="DJQ2315" s="82"/>
      <c r="DJR2315" s="82"/>
      <c r="DJS2315" s="82"/>
      <c r="DJT2315" s="82"/>
      <c r="DJU2315" s="82"/>
      <c r="DJV2315" s="82"/>
      <c r="DJW2315" s="82"/>
      <c r="DJX2315" s="82"/>
      <c r="DJY2315" s="82"/>
      <c r="DJZ2315" s="82"/>
      <c r="DKA2315" s="82"/>
      <c r="DKB2315" s="82"/>
      <c r="DKC2315" s="82"/>
      <c r="DKD2315" s="82"/>
      <c r="DKE2315" s="82"/>
      <c r="DKF2315" s="82"/>
      <c r="DKG2315" s="82"/>
      <c r="DKH2315" s="82"/>
      <c r="DKI2315" s="82"/>
      <c r="DKJ2315" s="82"/>
      <c r="DKK2315" s="82"/>
      <c r="DKL2315" s="82"/>
      <c r="DKM2315" s="82"/>
      <c r="DKN2315" s="82"/>
      <c r="DKO2315" s="82"/>
      <c r="DKP2315" s="82"/>
      <c r="DKQ2315" s="82"/>
      <c r="DKR2315" s="82"/>
      <c r="DKS2315" s="82"/>
      <c r="DKT2315" s="82"/>
      <c r="DKU2315" s="82"/>
      <c r="DKV2315" s="82"/>
      <c r="DKW2315" s="82"/>
      <c r="DKX2315" s="82"/>
      <c r="DKY2315" s="82"/>
      <c r="DKZ2315" s="82"/>
      <c r="DLA2315" s="82"/>
      <c r="DLB2315" s="82"/>
      <c r="DLC2315" s="82"/>
      <c r="DLD2315" s="82"/>
      <c r="DLE2315" s="82"/>
      <c r="DLF2315" s="82"/>
      <c r="DLG2315" s="82"/>
      <c r="DLH2315" s="82"/>
      <c r="DLI2315" s="82"/>
      <c r="DLJ2315" s="82"/>
      <c r="DLK2315" s="82"/>
      <c r="DLL2315" s="82"/>
      <c r="DLM2315" s="82"/>
      <c r="DLN2315" s="82"/>
      <c r="DLO2315" s="82"/>
      <c r="DLP2315" s="82"/>
      <c r="DLQ2315" s="82"/>
      <c r="DLR2315" s="82"/>
      <c r="DLS2315" s="82"/>
      <c r="DLT2315" s="82"/>
      <c r="DLU2315" s="82"/>
      <c r="DLV2315" s="82"/>
      <c r="DLW2315" s="82"/>
      <c r="DLX2315" s="82"/>
      <c r="DLY2315" s="82"/>
      <c r="DLZ2315" s="82"/>
      <c r="DMA2315" s="82"/>
      <c r="DMB2315" s="82"/>
      <c r="DMC2315" s="82"/>
      <c r="DMD2315" s="82"/>
      <c r="DME2315" s="82"/>
      <c r="DMF2315" s="82"/>
      <c r="DMG2315" s="82"/>
      <c r="DMH2315" s="82"/>
      <c r="DMI2315" s="82"/>
      <c r="DMJ2315" s="82"/>
      <c r="DMK2315" s="82"/>
      <c r="DML2315" s="82"/>
      <c r="DMM2315" s="82"/>
      <c r="DMN2315" s="82"/>
      <c r="DMO2315" s="82"/>
      <c r="DMP2315" s="82"/>
      <c r="DMQ2315" s="82"/>
      <c r="DMR2315" s="82"/>
      <c r="DMS2315" s="82"/>
      <c r="DMT2315" s="82"/>
      <c r="DMU2315" s="82"/>
      <c r="DMV2315" s="82"/>
      <c r="DMW2315" s="82"/>
      <c r="DMX2315" s="82"/>
      <c r="DMY2315" s="82"/>
      <c r="DMZ2315" s="82"/>
      <c r="DNA2315" s="82"/>
      <c r="DNB2315" s="82"/>
      <c r="DNC2315" s="82"/>
      <c r="DND2315" s="82"/>
      <c r="DNE2315" s="82"/>
      <c r="DNF2315" s="82"/>
      <c r="DNG2315" s="82"/>
      <c r="DNH2315" s="82"/>
      <c r="DNI2315" s="82"/>
      <c r="DNJ2315" s="82"/>
      <c r="DNK2315" s="82"/>
      <c r="DNL2315" s="82"/>
      <c r="DNM2315" s="82"/>
      <c r="DNN2315" s="82"/>
      <c r="DNO2315" s="82"/>
      <c r="DNP2315" s="82"/>
      <c r="DNQ2315" s="82"/>
      <c r="DNR2315" s="82"/>
      <c r="DNS2315" s="82"/>
      <c r="DNT2315" s="82"/>
      <c r="DNU2315" s="82"/>
      <c r="DNV2315" s="82"/>
      <c r="DNW2315" s="82"/>
      <c r="DNX2315" s="82"/>
      <c r="DNY2315" s="82"/>
      <c r="DNZ2315" s="82"/>
      <c r="DOA2315" s="82"/>
      <c r="DOB2315" s="82"/>
      <c r="DOC2315" s="82"/>
      <c r="DOD2315" s="82"/>
      <c r="DOE2315" s="82"/>
      <c r="DOF2315" s="82"/>
      <c r="DOG2315" s="82"/>
      <c r="DOH2315" s="82"/>
      <c r="DOI2315" s="82"/>
      <c r="DOJ2315" s="82"/>
      <c r="DOK2315" s="82"/>
      <c r="DOL2315" s="82"/>
      <c r="DOM2315" s="82"/>
      <c r="DON2315" s="82"/>
      <c r="DOO2315" s="82"/>
      <c r="DOP2315" s="82"/>
      <c r="DOQ2315" s="82"/>
      <c r="DOR2315" s="82"/>
      <c r="DOS2315" s="82"/>
      <c r="DOT2315" s="82"/>
      <c r="DOU2315" s="82"/>
      <c r="DOV2315" s="82"/>
      <c r="DOW2315" s="82"/>
      <c r="DOX2315" s="82"/>
      <c r="DOY2315" s="82"/>
      <c r="DOZ2315" s="82"/>
      <c r="DPA2315" s="82"/>
      <c r="DPB2315" s="82"/>
      <c r="DPC2315" s="82"/>
      <c r="DPD2315" s="82"/>
      <c r="DPE2315" s="82"/>
      <c r="DPF2315" s="82"/>
      <c r="DPG2315" s="82"/>
      <c r="DPH2315" s="82"/>
      <c r="DPI2315" s="82"/>
      <c r="DPJ2315" s="82"/>
      <c r="DPK2315" s="82"/>
      <c r="DPL2315" s="82"/>
      <c r="DPM2315" s="82"/>
      <c r="DPN2315" s="82"/>
      <c r="DPO2315" s="82"/>
      <c r="DPP2315" s="82"/>
      <c r="DPQ2315" s="82"/>
      <c r="DPR2315" s="82"/>
      <c r="DPS2315" s="82"/>
      <c r="DPT2315" s="82"/>
      <c r="DPU2315" s="82"/>
      <c r="DPV2315" s="82"/>
      <c r="DPW2315" s="82"/>
      <c r="DPX2315" s="82"/>
      <c r="DPY2315" s="82"/>
      <c r="DPZ2315" s="82"/>
      <c r="DQA2315" s="82"/>
      <c r="DQB2315" s="82"/>
      <c r="DQC2315" s="82"/>
      <c r="DQD2315" s="82"/>
      <c r="DQE2315" s="82"/>
      <c r="DQF2315" s="82"/>
      <c r="DQG2315" s="82"/>
      <c r="DQH2315" s="82"/>
      <c r="DQI2315" s="82"/>
      <c r="DQJ2315" s="82"/>
      <c r="DQK2315" s="82"/>
      <c r="DQL2315" s="82"/>
      <c r="DQM2315" s="82"/>
      <c r="DQN2315" s="82"/>
      <c r="DQO2315" s="82"/>
      <c r="DQP2315" s="82"/>
      <c r="DQQ2315" s="82"/>
      <c r="DQR2315" s="82"/>
      <c r="DQS2315" s="82"/>
      <c r="DQT2315" s="82"/>
      <c r="DQU2315" s="82"/>
      <c r="DQV2315" s="82"/>
      <c r="DQW2315" s="82"/>
      <c r="DQX2315" s="82"/>
      <c r="DQY2315" s="82"/>
      <c r="DQZ2315" s="82"/>
      <c r="DRA2315" s="82"/>
      <c r="DRB2315" s="82"/>
      <c r="DRC2315" s="82"/>
      <c r="DRD2315" s="82"/>
      <c r="DRE2315" s="82"/>
      <c r="DRF2315" s="82"/>
      <c r="DRG2315" s="82"/>
      <c r="DRH2315" s="82"/>
      <c r="DRI2315" s="82"/>
      <c r="DRJ2315" s="82"/>
      <c r="DRK2315" s="82"/>
      <c r="DRL2315" s="82"/>
      <c r="DRM2315" s="82"/>
      <c r="DRN2315" s="82"/>
      <c r="DRO2315" s="82"/>
      <c r="DRP2315" s="82"/>
      <c r="DRQ2315" s="82"/>
      <c r="DRR2315" s="82"/>
      <c r="DRS2315" s="82"/>
      <c r="DRT2315" s="82"/>
      <c r="DRU2315" s="82"/>
      <c r="DRV2315" s="82"/>
      <c r="DRW2315" s="82"/>
      <c r="DRX2315" s="82"/>
      <c r="DRY2315" s="82"/>
      <c r="DRZ2315" s="82"/>
      <c r="DSA2315" s="82"/>
      <c r="DSB2315" s="82"/>
      <c r="DSC2315" s="82"/>
      <c r="DSD2315" s="82"/>
      <c r="DSE2315" s="82"/>
      <c r="DSF2315" s="82"/>
      <c r="DSG2315" s="82"/>
      <c r="DSH2315" s="82"/>
      <c r="DSI2315" s="82"/>
      <c r="DSJ2315" s="82"/>
      <c r="DSK2315" s="82"/>
      <c r="DSL2315" s="82"/>
      <c r="DSM2315" s="82"/>
      <c r="DSN2315" s="82"/>
      <c r="DSO2315" s="82"/>
      <c r="DSP2315" s="82"/>
      <c r="DSQ2315" s="82"/>
      <c r="DSR2315" s="82"/>
      <c r="DSS2315" s="82"/>
      <c r="DST2315" s="82"/>
      <c r="DSU2315" s="82"/>
      <c r="DSV2315" s="82"/>
      <c r="DSW2315" s="82"/>
      <c r="DSX2315" s="82"/>
      <c r="DSY2315" s="82"/>
      <c r="DSZ2315" s="82"/>
      <c r="DTA2315" s="82"/>
      <c r="DTB2315" s="82"/>
      <c r="DTC2315" s="82"/>
      <c r="DTD2315" s="82"/>
      <c r="DTE2315" s="82"/>
      <c r="DTF2315" s="82"/>
      <c r="DTG2315" s="82"/>
      <c r="DTH2315" s="82"/>
      <c r="DTI2315" s="82"/>
      <c r="DTJ2315" s="82"/>
      <c r="DTK2315" s="82"/>
      <c r="DTL2315" s="82"/>
      <c r="DTM2315" s="82"/>
      <c r="DTN2315" s="82"/>
      <c r="DTO2315" s="82"/>
      <c r="DTP2315" s="82"/>
      <c r="DTQ2315" s="82"/>
      <c r="DTR2315" s="82"/>
      <c r="DTS2315" s="82"/>
      <c r="DTT2315" s="82"/>
      <c r="DTU2315" s="82"/>
      <c r="DTV2315" s="82"/>
      <c r="DTW2315" s="82"/>
      <c r="DTX2315" s="82"/>
      <c r="DTY2315" s="82"/>
      <c r="DTZ2315" s="82"/>
      <c r="DUA2315" s="82"/>
      <c r="DUB2315" s="82"/>
      <c r="DUC2315" s="82"/>
      <c r="DUD2315" s="82"/>
      <c r="DUE2315" s="82"/>
      <c r="DUF2315" s="82"/>
      <c r="DUG2315" s="82"/>
      <c r="DUH2315" s="82"/>
      <c r="DUI2315" s="82"/>
      <c r="DUJ2315" s="82"/>
      <c r="DUK2315" s="82"/>
      <c r="DUL2315" s="82"/>
      <c r="DUM2315" s="82"/>
      <c r="DUN2315" s="82"/>
      <c r="DUO2315" s="82"/>
      <c r="DUP2315" s="82"/>
      <c r="DUQ2315" s="82"/>
      <c r="DUR2315" s="82"/>
      <c r="DUS2315" s="82"/>
      <c r="DUT2315" s="82"/>
      <c r="DUU2315" s="82"/>
      <c r="DUV2315" s="82"/>
      <c r="DUW2315" s="82"/>
      <c r="DUX2315" s="82"/>
      <c r="DUY2315" s="82"/>
      <c r="DUZ2315" s="82"/>
      <c r="DVA2315" s="82"/>
      <c r="DVB2315" s="82"/>
      <c r="DVC2315" s="82"/>
      <c r="DVD2315" s="82"/>
      <c r="DVE2315" s="82"/>
      <c r="DVF2315" s="82"/>
      <c r="DVG2315" s="82"/>
      <c r="DVH2315" s="82"/>
      <c r="DVI2315" s="82"/>
      <c r="DVJ2315" s="82"/>
      <c r="DVK2315" s="82"/>
      <c r="DVL2315" s="82"/>
      <c r="DVM2315" s="82"/>
      <c r="DVN2315" s="82"/>
      <c r="DVO2315" s="82"/>
      <c r="DVP2315" s="82"/>
      <c r="DVQ2315" s="82"/>
      <c r="DVR2315" s="82"/>
      <c r="DVS2315" s="82"/>
      <c r="DVT2315" s="82"/>
      <c r="DVU2315" s="82"/>
      <c r="DVV2315" s="82"/>
      <c r="DVW2315" s="82"/>
      <c r="DVX2315" s="82"/>
      <c r="DVY2315" s="82"/>
      <c r="DVZ2315" s="82"/>
      <c r="DWA2315" s="82"/>
      <c r="DWB2315" s="82"/>
      <c r="DWC2315" s="82"/>
      <c r="DWD2315" s="82"/>
      <c r="DWE2315" s="82"/>
      <c r="DWF2315" s="82"/>
      <c r="DWG2315" s="82"/>
      <c r="DWH2315" s="82"/>
      <c r="DWI2315" s="82"/>
      <c r="DWJ2315" s="82"/>
      <c r="DWK2315" s="82"/>
      <c r="DWL2315" s="82"/>
      <c r="DWM2315" s="82"/>
      <c r="DWN2315" s="82"/>
      <c r="DWO2315" s="82"/>
      <c r="DWP2315" s="82"/>
      <c r="DWQ2315" s="82"/>
      <c r="DWR2315" s="82"/>
      <c r="DWS2315" s="82"/>
      <c r="DWT2315" s="82"/>
      <c r="DWU2315" s="82"/>
      <c r="DWV2315" s="82"/>
      <c r="DWW2315" s="82"/>
      <c r="DWX2315" s="82"/>
      <c r="DWY2315" s="82"/>
      <c r="DWZ2315" s="82"/>
      <c r="DXA2315" s="82"/>
      <c r="DXB2315" s="82"/>
      <c r="DXC2315" s="82"/>
      <c r="DXD2315" s="82"/>
      <c r="DXE2315" s="82"/>
      <c r="DXF2315" s="82"/>
      <c r="DXG2315" s="82"/>
      <c r="DXH2315" s="82"/>
      <c r="DXI2315" s="82"/>
      <c r="DXJ2315" s="82"/>
      <c r="DXK2315" s="82"/>
      <c r="DXL2315" s="82"/>
      <c r="DXM2315" s="82"/>
      <c r="DXN2315" s="82"/>
      <c r="DXO2315" s="82"/>
      <c r="DXP2315" s="82"/>
      <c r="DXQ2315" s="82"/>
      <c r="DXR2315" s="82"/>
      <c r="DXS2315" s="82"/>
      <c r="DXT2315" s="82"/>
      <c r="DXU2315" s="82"/>
      <c r="DXV2315" s="82"/>
      <c r="DXW2315" s="82"/>
      <c r="DXX2315" s="82"/>
      <c r="DXY2315" s="82"/>
      <c r="DXZ2315" s="82"/>
      <c r="DYA2315" s="82"/>
      <c r="DYB2315" s="82"/>
      <c r="DYC2315" s="82"/>
      <c r="DYD2315" s="82"/>
      <c r="DYE2315" s="82"/>
      <c r="DYF2315" s="82"/>
      <c r="DYG2315" s="82"/>
      <c r="DYH2315" s="82"/>
      <c r="DYI2315" s="82"/>
      <c r="DYJ2315" s="82"/>
      <c r="DYK2315" s="82"/>
      <c r="DYL2315" s="82"/>
      <c r="DYM2315" s="82"/>
      <c r="DYN2315" s="82"/>
      <c r="DYO2315" s="82"/>
      <c r="DYP2315" s="82"/>
      <c r="DYQ2315" s="82"/>
      <c r="DYR2315" s="82"/>
      <c r="DYS2315" s="82"/>
      <c r="DYT2315" s="82"/>
      <c r="DYU2315" s="82"/>
      <c r="DYV2315" s="82"/>
      <c r="DYW2315" s="82"/>
      <c r="DYX2315" s="82"/>
      <c r="DYY2315" s="82"/>
      <c r="DYZ2315" s="82"/>
      <c r="DZA2315" s="82"/>
      <c r="DZB2315" s="82"/>
      <c r="DZC2315" s="82"/>
      <c r="DZD2315" s="82"/>
      <c r="DZE2315" s="82"/>
      <c r="DZF2315" s="82"/>
      <c r="DZG2315" s="82"/>
      <c r="DZH2315" s="82"/>
      <c r="DZI2315" s="82"/>
      <c r="DZJ2315" s="82"/>
      <c r="DZK2315" s="82"/>
      <c r="DZL2315" s="82"/>
      <c r="DZM2315" s="82"/>
      <c r="DZN2315" s="82"/>
      <c r="DZO2315" s="82"/>
      <c r="DZP2315" s="82"/>
      <c r="DZQ2315" s="82"/>
      <c r="DZR2315" s="82"/>
      <c r="DZS2315" s="82"/>
      <c r="DZT2315" s="82"/>
      <c r="DZU2315" s="82"/>
      <c r="DZV2315" s="82"/>
      <c r="DZW2315" s="82"/>
      <c r="DZX2315" s="82"/>
      <c r="DZY2315" s="82"/>
      <c r="DZZ2315" s="82"/>
      <c r="EAA2315" s="82"/>
      <c r="EAB2315" s="82"/>
      <c r="EAC2315" s="82"/>
      <c r="EAD2315" s="82"/>
      <c r="EAE2315" s="82"/>
      <c r="EAF2315" s="82"/>
      <c r="EAG2315" s="82"/>
      <c r="EAH2315" s="82"/>
      <c r="EAI2315" s="82"/>
      <c r="EAJ2315" s="82"/>
      <c r="EAK2315" s="82"/>
      <c r="EAL2315" s="82"/>
      <c r="EAM2315" s="82"/>
      <c r="EAN2315" s="82"/>
      <c r="EAO2315" s="82"/>
      <c r="EAP2315" s="82"/>
      <c r="EAQ2315" s="82"/>
      <c r="EAR2315" s="82"/>
      <c r="EAS2315" s="82"/>
      <c r="EAT2315" s="82"/>
      <c r="EAU2315" s="82"/>
      <c r="EAV2315" s="82"/>
      <c r="EAW2315" s="82"/>
      <c r="EAX2315" s="82"/>
      <c r="EAY2315" s="82"/>
      <c r="EAZ2315" s="82"/>
      <c r="EBA2315" s="82"/>
      <c r="EBB2315" s="82"/>
      <c r="EBC2315" s="82"/>
      <c r="EBD2315" s="82"/>
      <c r="EBE2315" s="82"/>
      <c r="EBF2315" s="82"/>
      <c r="EBG2315" s="82"/>
      <c r="EBH2315" s="82"/>
      <c r="EBI2315" s="82"/>
      <c r="EBJ2315" s="82"/>
      <c r="EBK2315" s="82"/>
      <c r="EBL2315" s="82"/>
      <c r="EBM2315" s="82"/>
      <c r="EBN2315" s="82"/>
      <c r="EBO2315" s="82"/>
      <c r="EBP2315" s="82"/>
      <c r="EBQ2315" s="82"/>
      <c r="EBR2315" s="82"/>
      <c r="EBS2315" s="82"/>
      <c r="EBT2315" s="82"/>
      <c r="EBU2315" s="82"/>
      <c r="EBV2315" s="82"/>
      <c r="EBW2315" s="82"/>
      <c r="EBX2315" s="82"/>
      <c r="EBY2315" s="82"/>
      <c r="EBZ2315" s="82"/>
      <c r="ECA2315" s="82"/>
      <c r="ECB2315" s="82"/>
      <c r="ECC2315" s="82"/>
      <c r="ECD2315" s="82"/>
      <c r="ECE2315" s="82"/>
      <c r="ECF2315" s="82"/>
      <c r="ECG2315" s="82"/>
      <c r="ECH2315" s="82"/>
      <c r="ECI2315" s="82"/>
      <c r="ECJ2315" s="82"/>
      <c r="ECK2315" s="82"/>
      <c r="ECL2315" s="82"/>
      <c r="ECM2315" s="82"/>
      <c r="ECN2315" s="82"/>
      <c r="ECO2315" s="82"/>
      <c r="ECP2315" s="82"/>
      <c r="ECQ2315" s="82"/>
      <c r="ECR2315" s="82"/>
      <c r="ECS2315" s="82"/>
      <c r="ECT2315" s="82"/>
      <c r="ECU2315" s="82"/>
      <c r="ECV2315" s="82"/>
      <c r="ECW2315" s="82"/>
      <c r="ECX2315" s="82"/>
      <c r="ECY2315" s="82"/>
      <c r="ECZ2315" s="82"/>
      <c r="EDA2315" s="82"/>
      <c r="EDB2315" s="82"/>
      <c r="EDC2315" s="82"/>
      <c r="EDD2315" s="82"/>
      <c r="EDE2315" s="82"/>
      <c r="EDF2315" s="82"/>
      <c r="EDG2315" s="82"/>
      <c r="EDH2315" s="82"/>
      <c r="EDI2315" s="82"/>
      <c r="EDJ2315" s="82"/>
      <c r="EDK2315" s="82"/>
      <c r="EDL2315" s="82"/>
      <c r="EDM2315" s="82"/>
      <c r="EDN2315" s="82"/>
      <c r="EDO2315" s="82"/>
      <c r="EDP2315" s="82"/>
      <c r="EDQ2315" s="82"/>
      <c r="EDR2315" s="82"/>
      <c r="EDS2315" s="82"/>
      <c r="EDT2315" s="82"/>
      <c r="EDU2315" s="82"/>
      <c r="EDV2315" s="82"/>
      <c r="EDW2315" s="82"/>
      <c r="EDX2315" s="82"/>
      <c r="EDY2315" s="82"/>
      <c r="EDZ2315" s="82"/>
      <c r="EEA2315" s="82"/>
      <c r="EEB2315" s="82"/>
      <c r="EEC2315" s="82"/>
      <c r="EED2315" s="82"/>
      <c r="EEE2315" s="82"/>
      <c r="EEF2315" s="82"/>
      <c r="EEG2315" s="82"/>
      <c r="EEH2315" s="82"/>
      <c r="EEI2315" s="82"/>
      <c r="EEJ2315" s="82"/>
      <c r="EEK2315" s="82"/>
      <c r="EEL2315" s="82"/>
      <c r="EEM2315" s="82"/>
      <c r="EEN2315" s="82"/>
      <c r="EEO2315" s="82"/>
      <c r="EEP2315" s="82"/>
      <c r="EEQ2315" s="82"/>
      <c r="EER2315" s="82"/>
      <c r="EES2315" s="82"/>
      <c r="EET2315" s="82"/>
      <c r="EEU2315" s="82"/>
      <c r="EEV2315" s="82"/>
      <c r="EEW2315" s="82"/>
      <c r="EEX2315" s="82"/>
      <c r="EEY2315" s="82"/>
      <c r="EEZ2315" s="82"/>
      <c r="EFA2315" s="82"/>
      <c r="EFB2315" s="82"/>
      <c r="EFC2315" s="82"/>
      <c r="EFD2315" s="82"/>
      <c r="EFE2315" s="82"/>
      <c r="EFF2315" s="82"/>
      <c r="EFG2315" s="82"/>
      <c r="EFH2315" s="82"/>
      <c r="EFI2315" s="82"/>
      <c r="EFJ2315" s="82"/>
      <c r="EFK2315" s="82"/>
      <c r="EFL2315" s="82"/>
      <c r="EFM2315" s="82"/>
      <c r="EFN2315" s="82"/>
      <c r="EFO2315" s="82"/>
      <c r="EFP2315" s="82"/>
      <c r="EFQ2315" s="82"/>
      <c r="EFR2315" s="82"/>
      <c r="EFS2315" s="82"/>
      <c r="EFT2315" s="82"/>
      <c r="EFU2315" s="82"/>
      <c r="EFV2315" s="82"/>
      <c r="EFW2315" s="82"/>
      <c r="EFX2315" s="82"/>
      <c r="EFY2315" s="82"/>
      <c r="EFZ2315" s="82"/>
      <c r="EGA2315" s="82"/>
      <c r="EGB2315" s="82"/>
      <c r="EGC2315" s="82"/>
      <c r="EGD2315" s="82"/>
      <c r="EGE2315" s="82"/>
      <c r="EGF2315" s="82"/>
      <c r="EGG2315" s="82"/>
      <c r="EGH2315" s="82"/>
      <c r="EGI2315" s="82"/>
      <c r="EGJ2315" s="82"/>
      <c r="EGK2315" s="82"/>
      <c r="EGL2315" s="82"/>
      <c r="EGM2315" s="82"/>
      <c r="EGN2315" s="82"/>
      <c r="EGO2315" s="82"/>
      <c r="EGP2315" s="82"/>
      <c r="EGQ2315" s="82"/>
      <c r="EGR2315" s="82"/>
      <c r="EGS2315" s="82"/>
      <c r="EGT2315" s="82"/>
      <c r="EGU2315" s="82"/>
      <c r="EGV2315" s="82"/>
      <c r="EGW2315" s="82"/>
      <c r="EGX2315" s="82"/>
      <c r="EGY2315" s="82"/>
      <c r="EGZ2315" s="82"/>
      <c r="EHA2315" s="82"/>
      <c r="EHB2315" s="82"/>
      <c r="EHC2315" s="82"/>
      <c r="EHD2315" s="82"/>
      <c r="EHE2315" s="82"/>
      <c r="EHF2315" s="82"/>
      <c r="EHG2315" s="82"/>
      <c r="EHH2315" s="82"/>
      <c r="EHI2315" s="82"/>
      <c r="EHJ2315" s="82"/>
      <c r="EHK2315" s="82"/>
      <c r="EHL2315" s="82"/>
      <c r="EHM2315" s="82"/>
      <c r="EHN2315" s="82"/>
      <c r="EHO2315" s="82"/>
      <c r="EHP2315" s="82"/>
      <c r="EHQ2315" s="82"/>
      <c r="EHR2315" s="82"/>
      <c r="EHS2315" s="82"/>
      <c r="EHT2315" s="82"/>
      <c r="EHU2315" s="82"/>
      <c r="EHV2315" s="82"/>
      <c r="EHW2315" s="82"/>
      <c r="EHX2315" s="82"/>
      <c r="EHY2315" s="82"/>
      <c r="EHZ2315" s="82"/>
      <c r="EIA2315" s="82"/>
      <c r="EIB2315" s="82"/>
      <c r="EIC2315" s="82"/>
      <c r="EID2315" s="82"/>
      <c r="EIE2315" s="82"/>
      <c r="EIF2315" s="82"/>
      <c r="EIG2315" s="82"/>
      <c r="EIH2315" s="82"/>
      <c r="EII2315" s="82"/>
      <c r="EIJ2315" s="82"/>
      <c r="EIK2315" s="82"/>
      <c r="EIL2315" s="82"/>
      <c r="EIM2315" s="82"/>
      <c r="EIN2315" s="82"/>
      <c r="EIO2315" s="82"/>
      <c r="EIP2315" s="82"/>
      <c r="EIQ2315" s="82"/>
      <c r="EIR2315" s="82"/>
      <c r="EIS2315" s="82"/>
      <c r="EIT2315" s="82"/>
      <c r="EIU2315" s="82"/>
      <c r="EIV2315" s="82"/>
      <c r="EIW2315" s="82"/>
      <c r="EIX2315" s="82"/>
      <c r="EIY2315" s="82"/>
      <c r="EIZ2315" s="82"/>
      <c r="EJA2315" s="82"/>
      <c r="EJB2315" s="82"/>
      <c r="EJC2315" s="82"/>
      <c r="EJD2315" s="82"/>
      <c r="EJE2315" s="82"/>
      <c r="EJF2315" s="82"/>
      <c r="EJG2315" s="82"/>
      <c r="EJH2315" s="82"/>
      <c r="EJI2315" s="82"/>
      <c r="EJJ2315" s="82"/>
      <c r="EJK2315" s="82"/>
      <c r="EJL2315" s="82"/>
      <c r="EJM2315" s="82"/>
      <c r="EJN2315" s="82"/>
      <c r="EJO2315" s="82"/>
      <c r="EJP2315" s="82"/>
      <c r="EJQ2315" s="82"/>
      <c r="EJR2315" s="82"/>
      <c r="EJS2315" s="82"/>
      <c r="EJT2315" s="82"/>
      <c r="EJU2315" s="82"/>
      <c r="EJV2315" s="82"/>
      <c r="EJW2315" s="82"/>
      <c r="EJX2315" s="82"/>
      <c r="EJY2315" s="82"/>
      <c r="EJZ2315" s="82"/>
      <c r="EKA2315" s="82"/>
      <c r="EKB2315" s="82"/>
      <c r="EKC2315" s="82"/>
      <c r="EKD2315" s="82"/>
      <c r="EKE2315" s="82"/>
      <c r="EKF2315" s="82"/>
      <c r="EKG2315" s="82"/>
      <c r="EKH2315" s="82"/>
      <c r="EKI2315" s="82"/>
      <c r="EKJ2315" s="82"/>
      <c r="EKK2315" s="82"/>
      <c r="EKL2315" s="82"/>
      <c r="EKM2315" s="82"/>
      <c r="EKN2315" s="82"/>
      <c r="EKO2315" s="82"/>
      <c r="EKP2315" s="82"/>
      <c r="EKQ2315" s="82"/>
      <c r="EKR2315" s="82"/>
      <c r="EKS2315" s="82"/>
      <c r="EKT2315" s="82"/>
      <c r="EKU2315" s="82"/>
      <c r="EKV2315" s="82"/>
      <c r="EKW2315" s="82"/>
      <c r="EKX2315" s="82"/>
      <c r="EKY2315" s="82"/>
      <c r="EKZ2315" s="82"/>
      <c r="ELA2315" s="82"/>
      <c r="ELB2315" s="82"/>
      <c r="ELC2315" s="82"/>
      <c r="ELD2315" s="82"/>
      <c r="ELE2315" s="82"/>
      <c r="ELF2315" s="82"/>
      <c r="ELG2315" s="82"/>
      <c r="ELH2315" s="82"/>
      <c r="ELI2315" s="82"/>
      <c r="ELJ2315" s="82"/>
      <c r="ELK2315" s="82"/>
      <c r="ELL2315" s="82"/>
      <c r="ELM2315" s="82"/>
      <c r="ELN2315" s="82"/>
      <c r="ELO2315" s="82"/>
      <c r="ELP2315" s="82"/>
      <c r="ELQ2315" s="82"/>
      <c r="ELR2315" s="82"/>
      <c r="ELS2315" s="82"/>
      <c r="ELT2315" s="82"/>
      <c r="ELU2315" s="82"/>
      <c r="ELV2315" s="82"/>
      <c r="ELW2315" s="82"/>
      <c r="ELX2315" s="82"/>
      <c r="ELY2315" s="82"/>
      <c r="ELZ2315" s="82"/>
      <c r="EMA2315" s="82"/>
      <c r="EMB2315" s="82"/>
      <c r="EMC2315" s="82"/>
      <c r="EMD2315" s="82"/>
      <c r="EME2315" s="82"/>
      <c r="EMF2315" s="82"/>
      <c r="EMG2315" s="82"/>
      <c r="EMH2315" s="82"/>
      <c r="EMI2315" s="82"/>
      <c r="EMJ2315" s="82"/>
      <c r="EMK2315" s="82"/>
      <c r="EML2315" s="82"/>
      <c r="EMM2315" s="82"/>
      <c r="EMN2315" s="82"/>
      <c r="EMO2315" s="82"/>
      <c r="EMP2315" s="82"/>
      <c r="EMQ2315" s="82"/>
      <c r="EMR2315" s="82"/>
      <c r="EMS2315" s="82"/>
      <c r="EMT2315" s="82"/>
      <c r="EMU2315" s="82"/>
      <c r="EMV2315" s="82"/>
      <c r="EMW2315" s="82"/>
      <c r="EMX2315" s="82"/>
      <c r="EMY2315" s="82"/>
      <c r="EMZ2315" s="82"/>
      <c r="ENA2315" s="82"/>
      <c r="ENB2315" s="82"/>
      <c r="ENC2315" s="82"/>
      <c r="END2315" s="82"/>
      <c r="ENE2315" s="82"/>
      <c r="ENF2315" s="82"/>
      <c r="ENG2315" s="82"/>
      <c r="ENH2315" s="82"/>
      <c r="ENI2315" s="82"/>
      <c r="ENJ2315" s="82"/>
      <c r="ENK2315" s="82"/>
      <c r="ENL2315" s="82"/>
      <c r="ENM2315" s="82"/>
      <c r="ENN2315" s="82"/>
      <c r="ENO2315" s="82"/>
      <c r="ENP2315" s="82"/>
      <c r="ENQ2315" s="82"/>
      <c r="ENR2315" s="82"/>
      <c r="ENS2315" s="82"/>
      <c r="ENT2315" s="82"/>
      <c r="ENU2315" s="82"/>
      <c r="ENV2315" s="82"/>
      <c r="ENW2315" s="82"/>
      <c r="ENX2315" s="82"/>
      <c r="ENY2315" s="82"/>
      <c r="ENZ2315" s="82"/>
      <c r="EOA2315" s="82"/>
      <c r="EOB2315" s="82"/>
      <c r="EOC2315" s="82"/>
      <c r="EOD2315" s="82"/>
      <c r="EOE2315" s="82"/>
      <c r="EOF2315" s="82"/>
      <c r="EOG2315" s="82"/>
      <c r="EOH2315" s="82"/>
      <c r="EOI2315" s="82"/>
      <c r="EOJ2315" s="82"/>
      <c r="EOK2315" s="82"/>
      <c r="EOL2315" s="82"/>
      <c r="EOM2315" s="82"/>
      <c r="EON2315" s="82"/>
      <c r="EOO2315" s="82"/>
      <c r="EOP2315" s="82"/>
      <c r="EOQ2315" s="82"/>
      <c r="EOR2315" s="82"/>
      <c r="EOS2315" s="82"/>
      <c r="EOT2315" s="82"/>
      <c r="EOU2315" s="82"/>
      <c r="EOV2315" s="82"/>
      <c r="EOW2315" s="82"/>
      <c r="EOX2315" s="82"/>
      <c r="EOY2315" s="82"/>
      <c r="EOZ2315" s="82"/>
      <c r="EPA2315" s="82"/>
      <c r="EPB2315" s="82"/>
      <c r="EPC2315" s="82"/>
      <c r="EPD2315" s="82"/>
      <c r="EPE2315" s="82"/>
      <c r="EPF2315" s="82"/>
      <c r="EPG2315" s="82"/>
      <c r="EPH2315" s="82"/>
      <c r="EPI2315" s="82"/>
      <c r="EPJ2315" s="82"/>
      <c r="EPK2315" s="82"/>
      <c r="EPL2315" s="82"/>
      <c r="EPM2315" s="82"/>
      <c r="EPN2315" s="82"/>
      <c r="EPO2315" s="82"/>
      <c r="EPP2315" s="82"/>
      <c r="EPQ2315" s="82"/>
      <c r="EPR2315" s="82"/>
      <c r="EPS2315" s="82"/>
      <c r="EPT2315" s="82"/>
      <c r="EPU2315" s="82"/>
      <c r="EPV2315" s="82"/>
      <c r="EPW2315" s="82"/>
      <c r="EPX2315" s="82"/>
      <c r="EPY2315" s="82"/>
      <c r="EPZ2315" s="82"/>
      <c r="EQA2315" s="82"/>
      <c r="EQB2315" s="82"/>
      <c r="EQC2315" s="82"/>
      <c r="EQD2315" s="82"/>
      <c r="EQE2315" s="82"/>
      <c r="EQF2315" s="82"/>
      <c r="EQG2315" s="82"/>
      <c r="EQH2315" s="82"/>
      <c r="EQI2315" s="82"/>
      <c r="EQJ2315" s="82"/>
      <c r="EQK2315" s="82"/>
      <c r="EQL2315" s="82"/>
      <c r="EQM2315" s="82"/>
      <c r="EQN2315" s="82"/>
      <c r="EQO2315" s="82"/>
      <c r="EQP2315" s="82"/>
      <c r="EQQ2315" s="82"/>
      <c r="EQR2315" s="82"/>
      <c r="EQS2315" s="82"/>
      <c r="EQT2315" s="82"/>
      <c r="EQU2315" s="82"/>
      <c r="EQV2315" s="82"/>
      <c r="EQW2315" s="82"/>
      <c r="EQX2315" s="82"/>
      <c r="EQY2315" s="82"/>
      <c r="EQZ2315" s="82"/>
      <c r="ERA2315" s="82"/>
      <c r="ERB2315" s="82"/>
      <c r="ERC2315" s="82"/>
      <c r="ERD2315" s="82"/>
      <c r="ERE2315" s="82"/>
      <c r="ERF2315" s="82"/>
      <c r="ERG2315" s="82"/>
      <c r="ERH2315" s="82"/>
      <c r="ERI2315" s="82"/>
      <c r="ERJ2315" s="82"/>
      <c r="ERK2315" s="82"/>
      <c r="ERL2315" s="82"/>
      <c r="ERM2315" s="82"/>
      <c r="ERN2315" s="82"/>
      <c r="ERO2315" s="82"/>
      <c r="ERP2315" s="82"/>
      <c r="ERQ2315" s="82"/>
      <c r="ERR2315" s="82"/>
      <c r="ERS2315" s="82"/>
      <c r="ERT2315" s="82"/>
      <c r="ERU2315" s="82"/>
      <c r="ERV2315" s="82"/>
      <c r="ERW2315" s="82"/>
      <c r="ERX2315" s="82"/>
      <c r="ERY2315" s="82"/>
      <c r="ERZ2315" s="82"/>
      <c r="ESA2315" s="82"/>
      <c r="ESB2315" s="82"/>
      <c r="ESC2315" s="82"/>
      <c r="ESD2315" s="82"/>
      <c r="ESE2315" s="82"/>
      <c r="ESF2315" s="82"/>
      <c r="ESG2315" s="82"/>
      <c r="ESH2315" s="82"/>
      <c r="ESI2315" s="82"/>
      <c r="ESJ2315" s="82"/>
      <c r="ESK2315" s="82"/>
      <c r="ESL2315" s="82"/>
      <c r="ESM2315" s="82"/>
      <c r="ESN2315" s="82"/>
      <c r="ESO2315" s="82"/>
      <c r="ESP2315" s="82"/>
      <c r="ESQ2315" s="82"/>
      <c r="ESR2315" s="82"/>
      <c r="ESS2315" s="82"/>
      <c r="EST2315" s="82"/>
      <c r="ESU2315" s="82"/>
      <c r="ESV2315" s="82"/>
      <c r="ESW2315" s="82"/>
      <c r="ESX2315" s="82"/>
      <c r="ESY2315" s="82"/>
      <c r="ESZ2315" s="82"/>
      <c r="ETA2315" s="82"/>
      <c r="ETB2315" s="82"/>
      <c r="ETC2315" s="82"/>
      <c r="ETD2315" s="82"/>
      <c r="ETE2315" s="82"/>
      <c r="ETF2315" s="82"/>
      <c r="ETG2315" s="82"/>
      <c r="ETH2315" s="82"/>
      <c r="ETI2315" s="82"/>
      <c r="ETJ2315" s="82"/>
      <c r="ETK2315" s="82"/>
      <c r="ETL2315" s="82"/>
      <c r="ETM2315" s="82"/>
      <c r="ETN2315" s="82"/>
      <c r="ETO2315" s="82"/>
      <c r="ETP2315" s="82"/>
      <c r="ETQ2315" s="82"/>
      <c r="ETR2315" s="82"/>
      <c r="ETS2315" s="82"/>
      <c r="ETT2315" s="82"/>
      <c r="ETU2315" s="82"/>
      <c r="ETV2315" s="82"/>
      <c r="ETW2315" s="82"/>
      <c r="ETX2315" s="82"/>
      <c r="ETY2315" s="82"/>
      <c r="ETZ2315" s="82"/>
      <c r="EUA2315" s="82"/>
      <c r="EUB2315" s="82"/>
      <c r="EUC2315" s="82"/>
      <c r="EUD2315" s="82"/>
      <c r="EUE2315" s="82"/>
      <c r="EUF2315" s="82"/>
      <c r="EUG2315" s="82"/>
      <c r="EUH2315" s="82"/>
      <c r="EUI2315" s="82"/>
      <c r="EUJ2315" s="82"/>
      <c r="EUK2315" s="82"/>
      <c r="EUL2315" s="82"/>
      <c r="EUM2315" s="82"/>
      <c r="EUN2315" s="82"/>
      <c r="EUO2315" s="82"/>
      <c r="EUP2315" s="82"/>
      <c r="EUQ2315" s="82"/>
      <c r="EUR2315" s="82"/>
      <c r="EUS2315" s="82"/>
      <c r="EUT2315" s="82"/>
      <c r="EUU2315" s="82"/>
      <c r="EUV2315" s="82"/>
      <c r="EUW2315" s="82"/>
      <c r="EUX2315" s="82"/>
      <c r="EUY2315" s="82"/>
      <c r="EUZ2315" s="82"/>
      <c r="EVA2315" s="82"/>
      <c r="EVB2315" s="82"/>
      <c r="EVC2315" s="82"/>
      <c r="EVD2315" s="82"/>
      <c r="EVE2315" s="82"/>
      <c r="EVF2315" s="82"/>
      <c r="EVG2315" s="82"/>
      <c r="EVH2315" s="82"/>
      <c r="EVI2315" s="82"/>
      <c r="EVJ2315" s="82"/>
      <c r="EVK2315" s="82"/>
      <c r="EVL2315" s="82"/>
      <c r="EVM2315" s="82"/>
      <c r="EVN2315" s="82"/>
      <c r="EVO2315" s="82"/>
      <c r="EVP2315" s="82"/>
      <c r="EVQ2315" s="82"/>
      <c r="EVR2315" s="82"/>
      <c r="EVS2315" s="82"/>
      <c r="EVT2315" s="82"/>
      <c r="EVU2315" s="82"/>
      <c r="EVV2315" s="82"/>
      <c r="EVW2315" s="82"/>
      <c r="EVX2315" s="82"/>
      <c r="EVY2315" s="82"/>
      <c r="EVZ2315" s="82"/>
      <c r="EWA2315" s="82"/>
      <c r="EWB2315" s="82"/>
      <c r="EWC2315" s="82"/>
      <c r="EWD2315" s="82"/>
      <c r="EWE2315" s="82"/>
      <c r="EWF2315" s="82"/>
      <c r="EWG2315" s="82"/>
      <c r="EWH2315" s="82"/>
      <c r="EWI2315" s="82"/>
      <c r="EWJ2315" s="82"/>
      <c r="EWK2315" s="82"/>
      <c r="EWL2315" s="82"/>
      <c r="EWM2315" s="82"/>
      <c r="EWN2315" s="82"/>
      <c r="EWO2315" s="82"/>
      <c r="EWP2315" s="82"/>
      <c r="EWQ2315" s="82"/>
      <c r="EWR2315" s="82"/>
      <c r="EWS2315" s="82"/>
      <c r="EWT2315" s="82"/>
      <c r="EWU2315" s="82"/>
      <c r="EWV2315" s="82"/>
      <c r="EWW2315" s="82"/>
      <c r="EWX2315" s="82"/>
      <c r="EWY2315" s="82"/>
      <c r="EWZ2315" s="82"/>
      <c r="EXA2315" s="82"/>
      <c r="EXB2315" s="82"/>
      <c r="EXC2315" s="82"/>
      <c r="EXD2315" s="82"/>
      <c r="EXE2315" s="82"/>
      <c r="EXF2315" s="82"/>
      <c r="EXG2315" s="82"/>
      <c r="EXH2315" s="82"/>
      <c r="EXI2315" s="82"/>
      <c r="EXJ2315" s="82"/>
      <c r="EXK2315" s="82"/>
      <c r="EXL2315" s="82"/>
      <c r="EXM2315" s="82"/>
      <c r="EXN2315" s="82"/>
      <c r="EXO2315" s="82"/>
      <c r="EXP2315" s="82"/>
      <c r="EXQ2315" s="82"/>
      <c r="EXR2315" s="82"/>
      <c r="EXS2315" s="82"/>
      <c r="EXT2315" s="82"/>
      <c r="EXU2315" s="82"/>
      <c r="EXV2315" s="82"/>
      <c r="EXW2315" s="82"/>
      <c r="EXX2315" s="82"/>
      <c r="EXY2315" s="82"/>
      <c r="EXZ2315" s="82"/>
      <c r="EYA2315" s="82"/>
      <c r="EYB2315" s="82"/>
      <c r="EYC2315" s="82"/>
      <c r="EYD2315" s="82"/>
      <c r="EYE2315" s="82"/>
      <c r="EYF2315" s="82"/>
      <c r="EYG2315" s="82"/>
      <c r="EYH2315" s="82"/>
      <c r="EYI2315" s="82"/>
      <c r="EYJ2315" s="82"/>
      <c r="EYK2315" s="82"/>
      <c r="EYL2315" s="82"/>
      <c r="EYM2315" s="82"/>
      <c r="EYN2315" s="82"/>
      <c r="EYO2315" s="82"/>
      <c r="EYP2315" s="82"/>
      <c r="EYQ2315" s="82"/>
      <c r="EYR2315" s="82"/>
      <c r="EYS2315" s="82"/>
      <c r="EYT2315" s="82"/>
      <c r="EYU2315" s="82"/>
      <c r="EYV2315" s="82"/>
      <c r="EYW2315" s="82"/>
      <c r="EYX2315" s="82"/>
      <c r="EYY2315" s="82"/>
      <c r="EYZ2315" s="82"/>
      <c r="EZA2315" s="82"/>
      <c r="EZB2315" s="82"/>
      <c r="EZC2315" s="82"/>
      <c r="EZD2315" s="82"/>
      <c r="EZE2315" s="82"/>
      <c r="EZF2315" s="82"/>
      <c r="EZG2315" s="82"/>
      <c r="EZH2315" s="82"/>
      <c r="EZI2315" s="82"/>
      <c r="EZJ2315" s="82"/>
      <c r="EZK2315" s="82"/>
      <c r="EZL2315" s="82"/>
      <c r="EZM2315" s="82"/>
      <c r="EZN2315" s="82"/>
      <c r="EZO2315" s="82"/>
      <c r="EZP2315" s="82"/>
      <c r="EZQ2315" s="82"/>
      <c r="EZR2315" s="82"/>
      <c r="EZS2315" s="82"/>
      <c r="EZT2315" s="82"/>
      <c r="EZU2315" s="82"/>
      <c r="EZV2315" s="82"/>
      <c r="EZW2315" s="82"/>
      <c r="EZX2315" s="82"/>
      <c r="EZY2315" s="82"/>
      <c r="EZZ2315" s="82"/>
      <c r="FAA2315" s="82"/>
      <c r="FAB2315" s="82"/>
      <c r="FAC2315" s="82"/>
      <c r="FAD2315" s="82"/>
      <c r="FAE2315" s="82"/>
      <c r="FAF2315" s="82"/>
      <c r="FAG2315" s="82"/>
      <c r="FAH2315" s="82"/>
      <c r="FAI2315" s="82"/>
      <c r="FAJ2315" s="82"/>
      <c r="FAK2315" s="82"/>
      <c r="FAL2315" s="82"/>
      <c r="FAM2315" s="82"/>
      <c r="FAN2315" s="82"/>
      <c r="FAO2315" s="82"/>
      <c r="FAP2315" s="82"/>
      <c r="FAQ2315" s="82"/>
      <c r="FAR2315" s="82"/>
      <c r="FAS2315" s="82"/>
      <c r="FAT2315" s="82"/>
      <c r="FAU2315" s="82"/>
      <c r="FAV2315" s="82"/>
      <c r="FAW2315" s="82"/>
      <c r="FAX2315" s="82"/>
      <c r="FAY2315" s="82"/>
      <c r="FAZ2315" s="82"/>
      <c r="FBA2315" s="82"/>
      <c r="FBB2315" s="82"/>
      <c r="FBC2315" s="82"/>
      <c r="FBD2315" s="82"/>
      <c r="FBE2315" s="82"/>
      <c r="FBF2315" s="82"/>
      <c r="FBG2315" s="82"/>
      <c r="FBH2315" s="82"/>
      <c r="FBI2315" s="82"/>
      <c r="FBJ2315" s="82"/>
      <c r="FBK2315" s="82"/>
      <c r="FBL2315" s="82"/>
      <c r="FBM2315" s="82"/>
      <c r="FBN2315" s="82"/>
      <c r="FBO2315" s="82"/>
      <c r="FBP2315" s="82"/>
      <c r="FBQ2315" s="82"/>
      <c r="FBR2315" s="82"/>
      <c r="FBS2315" s="82"/>
      <c r="FBT2315" s="82"/>
      <c r="FBU2315" s="82"/>
      <c r="FBV2315" s="82"/>
      <c r="FBW2315" s="82"/>
      <c r="FBX2315" s="82"/>
      <c r="FBY2315" s="82"/>
      <c r="FBZ2315" s="82"/>
      <c r="FCA2315" s="82"/>
      <c r="FCB2315" s="82"/>
      <c r="FCC2315" s="82"/>
      <c r="FCD2315" s="82"/>
      <c r="FCE2315" s="82"/>
      <c r="FCF2315" s="82"/>
      <c r="FCG2315" s="82"/>
      <c r="FCH2315" s="82"/>
      <c r="FCI2315" s="82"/>
      <c r="FCJ2315" s="82"/>
      <c r="FCK2315" s="82"/>
      <c r="FCL2315" s="82"/>
      <c r="FCM2315" s="82"/>
      <c r="FCN2315" s="82"/>
      <c r="FCO2315" s="82"/>
      <c r="FCP2315" s="82"/>
      <c r="FCQ2315" s="82"/>
      <c r="FCR2315" s="82"/>
      <c r="FCS2315" s="82"/>
      <c r="FCT2315" s="82"/>
      <c r="FCU2315" s="82"/>
      <c r="FCV2315" s="82"/>
      <c r="FCW2315" s="82"/>
      <c r="FCX2315" s="82"/>
      <c r="FCY2315" s="82"/>
      <c r="FCZ2315" s="82"/>
      <c r="FDA2315" s="82"/>
      <c r="FDB2315" s="82"/>
      <c r="FDC2315" s="82"/>
      <c r="FDD2315" s="82"/>
      <c r="FDE2315" s="82"/>
      <c r="FDF2315" s="82"/>
      <c r="FDG2315" s="82"/>
      <c r="FDH2315" s="82"/>
      <c r="FDI2315" s="82"/>
      <c r="FDJ2315" s="82"/>
      <c r="FDK2315" s="82"/>
      <c r="FDL2315" s="82"/>
      <c r="FDM2315" s="82"/>
      <c r="FDN2315" s="82"/>
      <c r="FDO2315" s="82"/>
      <c r="FDP2315" s="82"/>
      <c r="FDQ2315" s="82"/>
      <c r="FDR2315" s="82"/>
      <c r="FDS2315" s="82"/>
      <c r="FDT2315" s="82"/>
      <c r="FDU2315" s="82"/>
      <c r="FDV2315" s="82"/>
      <c r="FDW2315" s="82"/>
      <c r="FDX2315" s="82"/>
      <c r="FDY2315" s="82"/>
      <c r="FDZ2315" s="82"/>
      <c r="FEA2315" s="82"/>
      <c r="FEB2315" s="82"/>
      <c r="FEC2315" s="82"/>
      <c r="FED2315" s="82"/>
      <c r="FEE2315" s="82"/>
      <c r="FEF2315" s="82"/>
      <c r="FEG2315" s="82"/>
      <c r="FEH2315" s="82"/>
      <c r="FEI2315" s="82"/>
      <c r="FEJ2315" s="82"/>
      <c r="FEK2315" s="82"/>
      <c r="FEL2315" s="82"/>
      <c r="FEM2315" s="82"/>
      <c r="FEN2315" s="82"/>
      <c r="FEO2315" s="82"/>
      <c r="FEP2315" s="82"/>
      <c r="FEQ2315" s="82"/>
      <c r="FER2315" s="82"/>
      <c r="FES2315" s="82"/>
      <c r="FET2315" s="82"/>
      <c r="FEU2315" s="82"/>
      <c r="FEV2315" s="82"/>
      <c r="FEW2315" s="82"/>
      <c r="FEX2315" s="82"/>
      <c r="FEY2315" s="82"/>
      <c r="FEZ2315" s="82"/>
      <c r="FFA2315" s="82"/>
      <c r="FFB2315" s="82"/>
      <c r="FFC2315" s="82"/>
      <c r="FFD2315" s="82"/>
      <c r="FFE2315" s="82"/>
      <c r="FFF2315" s="82"/>
      <c r="FFG2315" s="82"/>
      <c r="FFH2315" s="82"/>
      <c r="FFI2315" s="82"/>
      <c r="FFJ2315" s="82"/>
      <c r="FFK2315" s="82"/>
      <c r="FFL2315" s="82"/>
      <c r="FFM2315" s="82"/>
      <c r="FFN2315" s="82"/>
      <c r="FFO2315" s="82"/>
      <c r="FFP2315" s="82"/>
      <c r="FFQ2315" s="82"/>
      <c r="FFR2315" s="82"/>
      <c r="FFS2315" s="82"/>
      <c r="FFT2315" s="82"/>
      <c r="FFU2315" s="82"/>
      <c r="FFV2315" s="82"/>
      <c r="FFW2315" s="82"/>
      <c r="FFX2315" s="82"/>
      <c r="FFY2315" s="82"/>
      <c r="FFZ2315" s="82"/>
      <c r="FGA2315" s="82"/>
      <c r="FGB2315" s="82"/>
      <c r="FGC2315" s="82"/>
      <c r="FGD2315" s="82"/>
      <c r="FGE2315" s="82"/>
      <c r="FGF2315" s="82"/>
      <c r="FGG2315" s="82"/>
      <c r="FGH2315" s="82"/>
      <c r="FGI2315" s="82"/>
      <c r="FGJ2315" s="82"/>
      <c r="FGK2315" s="82"/>
      <c r="FGL2315" s="82"/>
      <c r="FGM2315" s="82"/>
      <c r="FGN2315" s="82"/>
      <c r="FGO2315" s="82"/>
      <c r="FGP2315" s="82"/>
      <c r="FGQ2315" s="82"/>
      <c r="FGR2315" s="82"/>
      <c r="FGS2315" s="82"/>
      <c r="FGT2315" s="82"/>
      <c r="FGU2315" s="82"/>
      <c r="FGV2315" s="82"/>
      <c r="FGW2315" s="82"/>
      <c r="FGX2315" s="82"/>
      <c r="FGY2315" s="82"/>
      <c r="FGZ2315" s="82"/>
      <c r="FHA2315" s="82"/>
      <c r="FHB2315" s="82"/>
      <c r="FHC2315" s="82"/>
      <c r="FHD2315" s="82"/>
      <c r="FHE2315" s="82"/>
      <c r="FHF2315" s="82"/>
      <c r="FHG2315" s="82"/>
      <c r="FHH2315" s="82"/>
      <c r="FHI2315" s="82"/>
      <c r="FHJ2315" s="82"/>
      <c r="FHK2315" s="82"/>
      <c r="FHL2315" s="82"/>
      <c r="FHM2315" s="82"/>
      <c r="FHN2315" s="82"/>
      <c r="FHO2315" s="82"/>
      <c r="FHP2315" s="82"/>
      <c r="FHQ2315" s="82"/>
      <c r="FHR2315" s="82"/>
      <c r="FHS2315" s="82"/>
      <c r="FHT2315" s="82"/>
      <c r="FHU2315" s="82"/>
      <c r="FHV2315" s="82"/>
      <c r="FHW2315" s="82"/>
      <c r="FHX2315" s="82"/>
      <c r="FHY2315" s="82"/>
      <c r="FHZ2315" s="82"/>
      <c r="FIA2315" s="82"/>
      <c r="FIB2315" s="82"/>
      <c r="FIC2315" s="82"/>
      <c r="FID2315" s="82"/>
      <c r="FIE2315" s="82"/>
      <c r="FIF2315" s="82"/>
      <c r="FIG2315" s="82"/>
      <c r="FIH2315" s="82"/>
      <c r="FII2315" s="82"/>
      <c r="FIJ2315" s="82"/>
      <c r="FIK2315" s="82"/>
      <c r="FIL2315" s="82"/>
      <c r="FIM2315" s="82"/>
      <c r="FIN2315" s="82"/>
      <c r="FIO2315" s="82"/>
      <c r="FIP2315" s="82"/>
      <c r="FIQ2315" s="82"/>
      <c r="FIR2315" s="82"/>
      <c r="FIS2315" s="82"/>
      <c r="FIT2315" s="82"/>
      <c r="FIU2315" s="82"/>
      <c r="FIV2315" s="82"/>
      <c r="FIW2315" s="82"/>
      <c r="FIX2315" s="82"/>
      <c r="FIY2315" s="82"/>
      <c r="FIZ2315" s="82"/>
      <c r="FJA2315" s="82"/>
      <c r="FJB2315" s="82"/>
      <c r="FJC2315" s="82"/>
      <c r="FJD2315" s="82"/>
      <c r="FJE2315" s="82"/>
      <c r="FJF2315" s="82"/>
      <c r="FJG2315" s="82"/>
      <c r="FJH2315" s="82"/>
      <c r="FJI2315" s="82"/>
      <c r="FJJ2315" s="82"/>
      <c r="FJK2315" s="82"/>
      <c r="FJL2315" s="82"/>
      <c r="FJM2315" s="82"/>
      <c r="FJN2315" s="82"/>
      <c r="FJO2315" s="82"/>
      <c r="FJP2315" s="82"/>
      <c r="FJQ2315" s="82"/>
      <c r="FJR2315" s="82"/>
      <c r="FJS2315" s="82"/>
      <c r="FJT2315" s="82"/>
      <c r="FJU2315" s="82"/>
      <c r="FJV2315" s="82"/>
      <c r="FJW2315" s="82"/>
      <c r="FJX2315" s="82"/>
      <c r="FJY2315" s="82"/>
      <c r="FJZ2315" s="82"/>
      <c r="FKA2315" s="82"/>
      <c r="FKB2315" s="82"/>
      <c r="FKC2315" s="82"/>
      <c r="FKD2315" s="82"/>
      <c r="FKE2315" s="82"/>
      <c r="FKF2315" s="82"/>
      <c r="FKG2315" s="82"/>
      <c r="FKH2315" s="82"/>
      <c r="FKI2315" s="82"/>
      <c r="FKJ2315" s="82"/>
      <c r="FKK2315" s="82"/>
      <c r="FKL2315" s="82"/>
      <c r="FKM2315" s="82"/>
      <c r="FKN2315" s="82"/>
      <c r="FKO2315" s="82"/>
      <c r="FKP2315" s="82"/>
      <c r="FKQ2315" s="82"/>
      <c r="FKR2315" s="82"/>
      <c r="FKS2315" s="82"/>
      <c r="FKT2315" s="82"/>
      <c r="FKU2315" s="82"/>
      <c r="FKV2315" s="82"/>
      <c r="FKW2315" s="82"/>
      <c r="FKX2315" s="82"/>
      <c r="FKY2315" s="82"/>
      <c r="FKZ2315" s="82"/>
      <c r="FLA2315" s="82"/>
      <c r="FLB2315" s="82"/>
      <c r="FLC2315" s="82"/>
      <c r="FLD2315" s="82"/>
      <c r="FLE2315" s="82"/>
      <c r="FLF2315" s="82"/>
      <c r="FLG2315" s="82"/>
      <c r="FLH2315" s="82"/>
      <c r="FLI2315" s="82"/>
      <c r="FLJ2315" s="82"/>
      <c r="FLK2315" s="82"/>
      <c r="FLL2315" s="82"/>
      <c r="FLM2315" s="82"/>
      <c r="FLN2315" s="82"/>
      <c r="FLO2315" s="82"/>
      <c r="FLP2315" s="82"/>
      <c r="FLQ2315" s="82"/>
      <c r="FLR2315" s="82"/>
      <c r="FLS2315" s="82"/>
      <c r="FLT2315" s="82"/>
      <c r="FLU2315" s="82"/>
      <c r="FLV2315" s="82"/>
      <c r="FLW2315" s="82"/>
      <c r="FLX2315" s="82"/>
      <c r="FLY2315" s="82"/>
      <c r="FLZ2315" s="82"/>
      <c r="FMA2315" s="82"/>
      <c r="FMB2315" s="82"/>
      <c r="FMC2315" s="82"/>
      <c r="FMD2315" s="82"/>
      <c r="FME2315" s="82"/>
      <c r="FMF2315" s="82"/>
      <c r="FMG2315" s="82"/>
      <c r="FMH2315" s="82"/>
      <c r="FMI2315" s="82"/>
      <c r="FMJ2315" s="82"/>
      <c r="FMK2315" s="82"/>
      <c r="FML2315" s="82"/>
      <c r="FMM2315" s="82"/>
      <c r="FMN2315" s="82"/>
      <c r="FMO2315" s="82"/>
      <c r="FMP2315" s="82"/>
      <c r="FMQ2315" s="82"/>
      <c r="FMR2315" s="82"/>
      <c r="FMS2315" s="82"/>
      <c r="FMT2315" s="82"/>
      <c r="FMU2315" s="82"/>
      <c r="FMV2315" s="82"/>
      <c r="FMW2315" s="82"/>
      <c r="FMX2315" s="82"/>
      <c r="FMY2315" s="82"/>
      <c r="FMZ2315" s="82"/>
      <c r="FNA2315" s="82"/>
      <c r="FNB2315" s="82"/>
      <c r="FNC2315" s="82"/>
      <c r="FND2315" s="82"/>
      <c r="FNE2315" s="82"/>
      <c r="FNF2315" s="82"/>
      <c r="FNG2315" s="82"/>
      <c r="FNH2315" s="82"/>
      <c r="FNI2315" s="82"/>
      <c r="FNJ2315" s="82"/>
      <c r="FNK2315" s="82"/>
      <c r="FNL2315" s="82"/>
      <c r="FNM2315" s="82"/>
      <c r="FNN2315" s="82"/>
      <c r="FNO2315" s="82"/>
      <c r="FNP2315" s="82"/>
      <c r="FNQ2315" s="82"/>
      <c r="FNR2315" s="82"/>
      <c r="FNS2315" s="82"/>
      <c r="FNT2315" s="82"/>
      <c r="FNU2315" s="82"/>
      <c r="FNV2315" s="82"/>
      <c r="FNW2315" s="82"/>
      <c r="FNX2315" s="82"/>
      <c r="FNY2315" s="82"/>
      <c r="FNZ2315" s="82"/>
      <c r="FOA2315" s="82"/>
      <c r="FOB2315" s="82"/>
      <c r="FOC2315" s="82"/>
      <c r="FOD2315" s="82"/>
      <c r="FOE2315" s="82"/>
      <c r="FOF2315" s="82"/>
      <c r="FOG2315" s="82"/>
      <c r="FOH2315" s="82"/>
      <c r="FOI2315" s="82"/>
      <c r="FOJ2315" s="82"/>
      <c r="FOK2315" s="82"/>
      <c r="FOL2315" s="82"/>
      <c r="FOM2315" s="82"/>
      <c r="FON2315" s="82"/>
      <c r="FOO2315" s="82"/>
      <c r="FOP2315" s="82"/>
      <c r="FOQ2315" s="82"/>
      <c r="FOR2315" s="82"/>
      <c r="FOS2315" s="82"/>
      <c r="FOT2315" s="82"/>
      <c r="FOU2315" s="82"/>
      <c r="FOV2315" s="82"/>
      <c r="FOW2315" s="82"/>
      <c r="FOX2315" s="82"/>
      <c r="FOY2315" s="82"/>
      <c r="FOZ2315" s="82"/>
      <c r="FPA2315" s="82"/>
      <c r="FPB2315" s="82"/>
      <c r="FPC2315" s="82"/>
      <c r="FPD2315" s="82"/>
      <c r="FPE2315" s="82"/>
      <c r="FPF2315" s="82"/>
      <c r="FPG2315" s="82"/>
      <c r="FPH2315" s="82"/>
      <c r="FPI2315" s="82"/>
      <c r="FPJ2315" s="82"/>
      <c r="FPK2315" s="82"/>
      <c r="FPL2315" s="82"/>
      <c r="FPM2315" s="82"/>
      <c r="FPN2315" s="82"/>
      <c r="FPO2315" s="82"/>
      <c r="FPP2315" s="82"/>
      <c r="FPQ2315" s="82"/>
      <c r="FPR2315" s="82"/>
      <c r="FPS2315" s="82"/>
      <c r="FPT2315" s="82"/>
      <c r="FPU2315" s="82"/>
      <c r="FPV2315" s="82"/>
      <c r="FPW2315" s="82"/>
      <c r="FPX2315" s="82"/>
      <c r="FPY2315" s="82"/>
      <c r="FPZ2315" s="82"/>
      <c r="FQA2315" s="82"/>
      <c r="FQB2315" s="82"/>
      <c r="FQC2315" s="82"/>
      <c r="FQD2315" s="82"/>
      <c r="FQE2315" s="82"/>
      <c r="FQF2315" s="82"/>
      <c r="FQG2315" s="82"/>
      <c r="FQH2315" s="82"/>
      <c r="FQI2315" s="82"/>
      <c r="FQJ2315" s="82"/>
      <c r="FQK2315" s="82"/>
      <c r="FQL2315" s="82"/>
      <c r="FQM2315" s="82"/>
      <c r="FQN2315" s="82"/>
      <c r="FQO2315" s="82"/>
      <c r="FQP2315" s="82"/>
      <c r="FQQ2315" s="82"/>
      <c r="FQR2315" s="82"/>
      <c r="FQS2315" s="82"/>
      <c r="FQT2315" s="82"/>
      <c r="FQU2315" s="82"/>
      <c r="FQV2315" s="82"/>
      <c r="FQW2315" s="82"/>
      <c r="FQX2315" s="82"/>
      <c r="FQY2315" s="82"/>
      <c r="FQZ2315" s="82"/>
      <c r="FRA2315" s="82"/>
      <c r="FRB2315" s="82"/>
      <c r="FRC2315" s="82"/>
      <c r="FRD2315" s="82"/>
      <c r="FRE2315" s="82"/>
      <c r="FRF2315" s="82"/>
      <c r="FRG2315" s="82"/>
      <c r="FRH2315" s="82"/>
      <c r="FRI2315" s="82"/>
      <c r="FRJ2315" s="82"/>
      <c r="FRK2315" s="82"/>
      <c r="FRL2315" s="82"/>
      <c r="FRM2315" s="82"/>
      <c r="FRN2315" s="82"/>
      <c r="FRO2315" s="82"/>
      <c r="FRP2315" s="82"/>
      <c r="FRQ2315" s="82"/>
      <c r="FRR2315" s="82"/>
      <c r="FRS2315" s="82"/>
      <c r="FRT2315" s="82"/>
      <c r="FRU2315" s="82"/>
      <c r="FRV2315" s="82"/>
      <c r="FRW2315" s="82"/>
      <c r="FRX2315" s="82"/>
      <c r="FRY2315" s="82"/>
      <c r="FRZ2315" s="82"/>
      <c r="FSA2315" s="82"/>
      <c r="FSB2315" s="82"/>
      <c r="FSC2315" s="82"/>
      <c r="FSD2315" s="82"/>
      <c r="FSE2315" s="82"/>
      <c r="FSF2315" s="82"/>
      <c r="FSG2315" s="82"/>
      <c r="FSH2315" s="82"/>
      <c r="FSI2315" s="82"/>
      <c r="FSJ2315" s="82"/>
      <c r="FSK2315" s="82"/>
      <c r="FSL2315" s="82"/>
      <c r="FSM2315" s="82"/>
      <c r="FSN2315" s="82"/>
      <c r="FSO2315" s="82"/>
      <c r="FSP2315" s="82"/>
      <c r="FSQ2315" s="82"/>
      <c r="FSR2315" s="82"/>
      <c r="FSS2315" s="82"/>
      <c r="FST2315" s="82"/>
      <c r="FSU2315" s="82"/>
      <c r="FSV2315" s="82"/>
      <c r="FSW2315" s="82"/>
      <c r="FSX2315" s="82"/>
      <c r="FSY2315" s="82"/>
      <c r="FSZ2315" s="82"/>
      <c r="FTA2315" s="82"/>
      <c r="FTB2315" s="82"/>
      <c r="FTC2315" s="82"/>
      <c r="FTD2315" s="82"/>
      <c r="FTE2315" s="82"/>
      <c r="FTF2315" s="82"/>
      <c r="FTG2315" s="82"/>
      <c r="FTH2315" s="82"/>
      <c r="FTI2315" s="82"/>
      <c r="FTJ2315" s="82"/>
      <c r="FTK2315" s="82"/>
      <c r="FTL2315" s="82"/>
      <c r="FTM2315" s="82"/>
      <c r="FTN2315" s="82"/>
      <c r="FTO2315" s="82"/>
      <c r="FTP2315" s="82"/>
      <c r="FTQ2315" s="82"/>
      <c r="FTR2315" s="82"/>
      <c r="FTS2315" s="82"/>
      <c r="FTT2315" s="82"/>
      <c r="FTU2315" s="82"/>
      <c r="FTV2315" s="82"/>
      <c r="FTW2315" s="82"/>
      <c r="FTX2315" s="82"/>
      <c r="FTY2315" s="82"/>
      <c r="FTZ2315" s="82"/>
      <c r="FUA2315" s="82"/>
      <c r="FUB2315" s="82"/>
      <c r="FUC2315" s="82"/>
      <c r="FUD2315" s="82"/>
      <c r="FUE2315" s="82"/>
      <c r="FUF2315" s="82"/>
      <c r="FUG2315" s="82"/>
      <c r="FUH2315" s="82"/>
      <c r="FUI2315" s="82"/>
      <c r="FUJ2315" s="82"/>
      <c r="FUK2315" s="82"/>
      <c r="FUL2315" s="82"/>
      <c r="FUM2315" s="82"/>
      <c r="FUN2315" s="82"/>
      <c r="FUO2315" s="82"/>
      <c r="FUP2315" s="82"/>
      <c r="FUQ2315" s="82"/>
      <c r="FUR2315" s="82"/>
      <c r="FUS2315" s="82"/>
      <c r="FUT2315" s="82"/>
      <c r="FUU2315" s="82"/>
      <c r="FUV2315" s="82"/>
      <c r="FUW2315" s="82"/>
      <c r="FUX2315" s="82"/>
      <c r="FUY2315" s="82"/>
      <c r="FUZ2315" s="82"/>
      <c r="FVA2315" s="82"/>
      <c r="FVB2315" s="82"/>
      <c r="FVC2315" s="82"/>
      <c r="FVD2315" s="82"/>
      <c r="FVE2315" s="82"/>
      <c r="FVF2315" s="82"/>
      <c r="FVG2315" s="82"/>
      <c r="FVH2315" s="82"/>
      <c r="FVI2315" s="82"/>
      <c r="FVJ2315" s="82"/>
      <c r="FVK2315" s="82"/>
      <c r="FVL2315" s="82"/>
      <c r="FVM2315" s="82"/>
      <c r="FVN2315" s="82"/>
      <c r="FVO2315" s="82"/>
      <c r="FVP2315" s="82"/>
      <c r="FVQ2315" s="82"/>
      <c r="FVR2315" s="82"/>
      <c r="FVS2315" s="82"/>
      <c r="FVT2315" s="82"/>
      <c r="FVU2315" s="82"/>
      <c r="FVV2315" s="82"/>
      <c r="FVW2315" s="82"/>
      <c r="FVX2315" s="82"/>
      <c r="FVY2315" s="82"/>
      <c r="FVZ2315" s="82"/>
      <c r="FWA2315" s="82"/>
      <c r="FWB2315" s="82"/>
      <c r="FWC2315" s="82"/>
      <c r="FWD2315" s="82"/>
      <c r="FWE2315" s="82"/>
      <c r="FWF2315" s="82"/>
      <c r="FWG2315" s="82"/>
      <c r="FWH2315" s="82"/>
      <c r="FWI2315" s="82"/>
      <c r="FWJ2315" s="82"/>
      <c r="FWK2315" s="82"/>
      <c r="FWL2315" s="82"/>
      <c r="FWM2315" s="82"/>
      <c r="FWN2315" s="82"/>
      <c r="FWO2315" s="82"/>
      <c r="FWP2315" s="82"/>
      <c r="FWQ2315" s="82"/>
      <c r="FWR2315" s="82"/>
      <c r="FWS2315" s="82"/>
      <c r="FWT2315" s="82"/>
      <c r="FWU2315" s="82"/>
      <c r="FWV2315" s="82"/>
      <c r="FWW2315" s="82"/>
      <c r="FWX2315" s="82"/>
      <c r="FWY2315" s="82"/>
      <c r="FWZ2315" s="82"/>
      <c r="FXA2315" s="82"/>
      <c r="FXB2315" s="82"/>
      <c r="FXC2315" s="82"/>
      <c r="FXD2315" s="82"/>
      <c r="FXE2315" s="82"/>
      <c r="FXF2315" s="82"/>
      <c r="FXG2315" s="82"/>
      <c r="FXH2315" s="82"/>
      <c r="FXI2315" s="82"/>
      <c r="FXJ2315" s="82"/>
      <c r="FXK2315" s="82"/>
      <c r="FXL2315" s="82"/>
      <c r="FXM2315" s="82"/>
      <c r="FXN2315" s="82"/>
      <c r="FXO2315" s="82"/>
      <c r="FXP2315" s="82"/>
      <c r="FXQ2315" s="82"/>
      <c r="FXR2315" s="82"/>
      <c r="FXS2315" s="82"/>
      <c r="FXT2315" s="82"/>
      <c r="FXU2315" s="82"/>
      <c r="FXV2315" s="82"/>
      <c r="FXW2315" s="82"/>
      <c r="FXX2315" s="82"/>
      <c r="FXY2315" s="82"/>
      <c r="FXZ2315" s="82"/>
      <c r="FYA2315" s="82"/>
      <c r="FYB2315" s="82"/>
      <c r="FYC2315" s="82"/>
      <c r="FYD2315" s="82"/>
      <c r="FYE2315" s="82"/>
      <c r="FYF2315" s="82"/>
      <c r="FYG2315" s="82"/>
      <c r="FYH2315" s="82"/>
      <c r="FYI2315" s="82"/>
      <c r="FYJ2315" s="82"/>
      <c r="FYK2315" s="82"/>
      <c r="FYL2315" s="82"/>
      <c r="FYM2315" s="82"/>
      <c r="FYN2315" s="82"/>
      <c r="FYO2315" s="82"/>
      <c r="FYP2315" s="82"/>
      <c r="FYQ2315" s="82"/>
      <c r="FYR2315" s="82"/>
      <c r="FYS2315" s="82"/>
      <c r="FYT2315" s="82"/>
      <c r="FYU2315" s="82"/>
      <c r="FYV2315" s="82"/>
      <c r="FYW2315" s="82"/>
      <c r="FYX2315" s="82"/>
      <c r="FYY2315" s="82"/>
      <c r="FYZ2315" s="82"/>
      <c r="FZA2315" s="82"/>
      <c r="FZB2315" s="82"/>
      <c r="FZC2315" s="82"/>
      <c r="FZD2315" s="82"/>
      <c r="FZE2315" s="82"/>
      <c r="FZF2315" s="82"/>
      <c r="FZG2315" s="82"/>
      <c r="FZH2315" s="82"/>
      <c r="FZI2315" s="82"/>
      <c r="FZJ2315" s="82"/>
      <c r="FZK2315" s="82"/>
      <c r="FZL2315" s="82"/>
      <c r="FZM2315" s="82"/>
      <c r="FZN2315" s="82"/>
      <c r="FZO2315" s="82"/>
      <c r="FZP2315" s="82"/>
      <c r="FZQ2315" s="82"/>
      <c r="FZR2315" s="82"/>
      <c r="FZS2315" s="82"/>
      <c r="FZT2315" s="82"/>
      <c r="FZU2315" s="82"/>
      <c r="FZV2315" s="82"/>
      <c r="FZW2315" s="82"/>
      <c r="FZX2315" s="82"/>
      <c r="FZY2315" s="82"/>
      <c r="FZZ2315" s="82"/>
      <c r="GAA2315" s="82"/>
      <c r="GAB2315" s="82"/>
      <c r="GAC2315" s="82"/>
      <c r="GAD2315" s="82"/>
      <c r="GAE2315" s="82"/>
      <c r="GAF2315" s="82"/>
      <c r="GAG2315" s="82"/>
      <c r="GAH2315" s="82"/>
      <c r="GAI2315" s="82"/>
      <c r="GAJ2315" s="82"/>
      <c r="GAK2315" s="82"/>
      <c r="GAL2315" s="82"/>
      <c r="GAM2315" s="82"/>
      <c r="GAN2315" s="82"/>
      <c r="GAO2315" s="82"/>
      <c r="GAP2315" s="82"/>
      <c r="GAQ2315" s="82"/>
      <c r="GAR2315" s="82"/>
      <c r="GAS2315" s="82"/>
      <c r="GAT2315" s="82"/>
      <c r="GAU2315" s="82"/>
      <c r="GAV2315" s="82"/>
      <c r="GAW2315" s="82"/>
      <c r="GAX2315" s="82"/>
      <c r="GAY2315" s="82"/>
      <c r="GAZ2315" s="82"/>
      <c r="GBA2315" s="82"/>
      <c r="GBB2315" s="82"/>
      <c r="GBC2315" s="82"/>
      <c r="GBD2315" s="82"/>
      <c r="GBE2315" s="82"/>
      <c r="GBF2315" s="82"/>
      <c r="GBG2315" s="82"/>
      <c r="GBH2315" s="82"/>
      <c r="GBI2315" s="82"/>
      <c r="GBJ2315" s="82"/>
      <c r="GBK2315" s="82"/>
      <c r="GBL2315" s="82"/>
      <c r="GBM2315" s="82"/>
      <c r="GBN2315" s="82"/>
      <c r="GBO2315" s="82"/>
      <c r="GBP2315" s="82"/>
      <c r="GBQ2315" s="82"/>
      <c r="GBR2315" s="82"/>
      <c r="GBS2315" s="82"/>
      <c r="GBT2315" s="82"/>
      <c r="GBU2315" s="82"/>
      <c r="GBV2315" s="82"/>
      <c r="GBW2315" s="82"/>
      <c r="GBX2315" s="82"/>
      <c r="GBY2315" s="82"/>
      <c r="GBZ2315" s="82"/>
      <c r="GCA2315" s="82"/>
      <c r="GCB2315" s="82"/>
      <c r="GCC2315" s="82"/>
      <c r="GCD2315" s="82"/>
      <c r="GCE2315" s="82"/>
      <c r="GCF2315" s="82"/>
      <c r="GCG2315" s="82"/>
      <c r="GCH2315" s="82"/>
      <c r="GCI2315" s="82"/>
      <c r="GCJ2315" s="82"/>
      <c r="GCK2315" s="82"/>
      <c r="GCL2315" s="82"/>
      <c r="GCM2315" s="82"/>
      <c r="GCN2315" s="82"/>
      <c r="GCO2315" s="82"/>
      <c r="GCP2315" s="82"/>
      <c r="GCQ2315" s="82"/>
      <c r="GCR2315" s="82"/>
      <c r="GCS2315" s="82"/>
      <c r="GCT2315" s="82"/>
      <c r="GCU2315" s="82"/>
      <c r="GCV2315" s="82"/>
      <c r="GCW2315" s="82"/>
      <c r="GCX2315" s="82"/>
      <c r="GCY2315" s="82"/>
      <c r="GCZ2315" s="82"/>
      <c r="GDA2315" s="82"/>
      <c r="GDB2315" s="82"/>
      <c r="GDC2315" s="82"/>
      <c r="GDD2315" s="82"/>
      <c r="GDE2315" s="82"/>
      <c r="GDF2315" s="82"/>
      <c r="GDG2315" s="82"/>
      <c r="GDH2315" s="82"/>
      <c r="GDI2315" s="82"/>
      <c r="GDJ2315" s="82"/>
      <c r="GDK2315" s="82"/>
      <c r="GDL2315" s="82"/>
      <c r="GDM2315" s="82"/>
      <c r="GDN2315" s="82"/>
      <c r="GDO2315" s="82"/>
      <c r="GDP2315" s="82"/>
      <c r="GDQ2315" s="82"/>
      <c r="GDR2315" s="82"/>
      <c r="GDS2315" s="82"/>
      <c r="GDT2315" s="82"/>
      <c r="GDU2315" s="82"/>
      <c r="GDV2315" s="82"/>
      <c r="GDW2315" s="82"/>
      <c r="GDX2315" s="82"/>
      <c r="GDY2315" s="82"/>
      <c r="GDZ2315" s="82"/>
      <c r="GEA2315" s="82"/>
      <c r="GEB2315" s="82"/>
      <c r="GEC2315" s="82"/>
      <c r="GED2315" s="82"/>
      <c r="GEE2315" s="82"/>
      <c r="GEF2315" s="82"/>
      <c r="GEG2315" s="82"/>
      <c r="GEH2315" s="82"/>
      <c r="GEI2315" s="82"/>
      <c r="GEJ2315" s="82"/>
      <c r="GEK2315" s="82"/>
      <c r="GEL2315" s="82"/>
      <c r="GEM2315" s="82"/>
      <c r="GEN2315" s="82"/>
      <c r="GEO2315" s="82"/>
      <c r="GEP2315" s="82"/>
      <c r="GEQ2315" s="82"/>
      <c r="GER2315" s="82"/>
      <c r="GES2315" s="82"/>
      <c r="GET2315" s="82"/>
      <c r="GEU2315" s="82"/>
      <c r="GEV2315" s="82"/>
      <c r="GEW2315" s="82"/>
      <c r="GEX2315" s="82"/>
      <c r="GEY2315" s="82"/>
      <c r="GEZ2315" s="82"/>
      <c r="GFA2315" s="82"/>
      <c r="GFB2315" s="82"/>
      <c r="GFC2315" s="82"/>
      <c r="GFD2315" s="82"/>
      <c r="GFE2315" s="82"/>
      <c r="GFF2315" s="82"/>
      <c r="GFG2315" s="82"/>
      <c r="GFH2315" s="82"/>
      <c r="GFI2315" s="82"/>
      <c r="GFJ2315" s="82"/>
      <c r="GFK2315" s="82"/>
      <c r="GFL2315" s="82"/>
      <c r="GFM2315" s="82"/>
      <c r="GFN2315" s="82"/>
      <c r="GFO2315" s="82"/>
      <c r="GFP2315" s="82"/>
      <c r="GFQ2315" s="82"/>
      <c r="GFR2315" s="82"/>
      <c r="GFS2315" s="82"/>
      <c r="GFT2315" s="82"/>
      <c r="GFU2315" s="82"/>
      <c r="GFV2315" s="82"/>
      <c r="GFW2315" s="82"/>
      <c r="GFX2315" s="82"/>
      <c r="GFY2315" s="82"/>
      <c r="GFZ2315" s="82"/>
      <c r="GGA2315" s="82"/>
      <c r="GGB2315" s="82"/>
      <c r="GGC2315" s="82"/>
      <c r="GGD2315" s="82"/>
      <c r="GGE2315" s="82"/>
      <c r="GGF2315" s="82"/>
      <c r="GGG2315" s="82"/>
      <c r="GGH2315" s="82"/>
      <c r="GGI2315" s="82"/>
      <c r="GGJ2315" s="82"/>
      <c r="GGK2315" s="82"/>
      <c r="GGL2315" s="82"/>
      <c r="GGM2315" s="82"/>
      <c r="GGN2315" s="82"/>
      <c r="GGO2315" s="82"/>
      <c r="GGP2315" s="82"/>
      <c r="GGQ2315" s="82"/>
      <c r="GGR2315" s="82"/>
      <c r="GGS2315" s="82"/>
      <c r="GGT2315" s="82"/>
      <c r="GGU2315" s="82"/>
      <c r="GGV2315" s="82"/>
      <c r="GGW2315" s="82"/>
      <c r="GGX2315" s="82"/>
      <c r="GGY2315" s="82"/>
      <c r="GGZ2315" s="82"/>
      <c r="GHA2315" s="82"/>
      <c r="GHB2315" s="82"/>
      <c r="GHC2315" s="82"/>
      <c r="GHD2315" s="82"/>
      <c r="GHE2315" s="82"/>
      <c r="GHF2315" s="82"/>
      <c r="GHG2315" s="82"/>
      <c r="GHH2315" s="82"/>
      <c r="GHI2315" s="82"/>
      <c r="GHJ2315" s="82"/>
      <c r="GHK2315" s="82"/>
      <c r="GHL2315" s="82"/>
      <c r="GHM2315" s="82"/>
      <c r="GHN2315" s="82"/>
      <c r="GHO2315" s="82"/>
      <c r="GHP2315" s="82"/>
      <c r="GHQ2315" s="82"/>
      <c r="GHR2315" s="82"/>
      <c r="GHS2315" s="82"/>
      <c r="GHT2315" s="82"/>
      <c r="GHU2315" s="82"/>
      <c r="GHV2315" s="82"/>
      <c r="GHW2315" s="82"/>
      <c r="GHX2315" s="82"/>
      <c r="GHY2315" s="82"/>
      <c r="GHZ2315" s="82"/>
      <c r="GIA2315" s="82"/>
      <c r="GIB2315" s="82"/>
      <c r="GIC2315" s="82"/>
      <c r="GID2315" s="82"/>
      <c r="GIE2315" s="82"/>
      <c r="GIF2315" s="82"/>
      <c r="GIG2315" s="82"/>
      <c r="GIH2315" s="82"/>
      <c r="GII2315" s="82"/>
      <c r="GIJ2315" s="82"/>
      <c r="GIK2315" s="82"/>
      <c r="GIL2315" s="82"/>
      <c r="GIM2315" s="82"/>
      <c r="GIN2315" s="82"/>
      <c r="GIO2315" s="82"/>
      <c r="GIP2315" s="82"/>
      <c r="GIQ2315" s="82"/>
      <c r="GIR2315" s="82"/>
      <c r="GIS2315" s="82"/>
      <c r="GIT2315" s="82"/>
      <c r="GIU2315" s="82"/>
      <c r="GIV2315" s="82"/>
      <c r="GIW2315" s="82"/>
      <c r="GIX2315" s="82"/>
      <c r="GIY2315" s="82"/>
      <c r="GIZ2315" s="82"/>
      <c r="GJA2315" s="82"/>
      <c r="GJB2315" s="82"/>
      <c r="GJC2315" s="82"/>
      <c r="GJD2315" s="82"/>
      <c r="GJE2315" s="82"/>
      <c r="GJF2315" s="82"/>
      <c r="GJG2315" s="82"/>
      <c r="GJH2315" s="82"/>
      <c r="GJI2315" s="82"/>
      <c r="GJJ2315" s="82"/>
      <c r="GJK2315" s="82"/>
      <c r="GJL2315" s="82"/>
      <c r="GJM2315" s="82"/>
      <c r="GJN2315" s="82"/>
      <c r="GJO2315" s="82"/>
      <c r="GJP2315" s="82"/>
      <c r="GJQ2315" s="82"/>
      <c r="GJR2315" s="82"/>
      <c r="GJS2315" s="82"/>
      <c r="GJT2315" s="82"/>
      <c r="GJU2315" s="82"/>
      <c r="GJV2315" s="82"/>
      <c r="GJW2315" s="82"/>
      <c r="GJX2315" s="82"/>
      <c r="GJY2315" s="82"/>
      <c r="GJZ2315" s="82"/>
      <c r="GKA2315" s="82"/>
      <c r="GKB2315" s="82"/>
      <c r="GKC2315" s="82"/>
      <c r="GKD2315" s="82"/>
      <c r="GKE2315" s="82"/>
      <c r="GKF2315" s="82"/>
      <c r="GKG2315" s="82"/>
      <c r="GKH2315" s="82"/>
      <c r="GKI2315" s="82"/>
      <c r="GKJ2315" s="82"/>
      <c r="GKK2315" s="82"/>
      <c r="GKL2315" s="82"/>
      <c r="GKM2315" s="82"/>
      <c r="GKN2315" s="82"/>
      <c r="GKO2315" s="82"/>
      <c r="GKP2315" s="82"/>
      <c r="GKQ2315" s="82"/>
      <c r="GKR2315" s="82"/>
      <c r="GKS2315" s="82"/>
      <c r="GKT2315" s="82"/>
      <c r="GKU2315" s="82"/>
      <c r="GKV2315" s="82"/>
      <c r="GKW2315" s="82"/>
      <c r="GKX2315" s="82"/>
      <c r="GKY2315" s="82"/>
      <c r="GKZ2315" s="82"/>
      <c r="GLA2315" s="82"/>
      <c r="GLB2315" s="82"/>
      <c r="GLC2315" s="82"/>
      <c r="GLD2315" s="82"/>
      <c r="GLE2315" s="82"/>
      <c r="GLF2315" s="82"/>
      <c r="GLG2315" s="82"/>
      <c r="GLH2315" s="82"/>
      <c r="GLI2315" s="82"/>
      <c r="GLJ2315" s="82"/>
      <c r="GLK2315" s="82"/>
      <c r="GLL2315" s="82"/>
      <c r="GLM2315" s="82"/>
      <c r="GLN2315" s="82"/>
      <c r="GLO2315" s="82"/>
      <c r="GLP2315" s="82"/>
      <c r="GLQ2315" s="82"/>
      <c r="GLR2315" s="82"/>
      <c r="GLS2315" s="82"/>
      <c r="GLT2315" s="82"/>
      <c r="GLU2315" s="82"/>
      <c r="GLV2315" s="82"/>
      <c r="GLW2315" s="82"/>
      <c r="GLX2315" s="82"/>
      <c r="GLY2315" s="82"/>
      <c r="GLZ2315" s="82"/>
      <c r="GMA2315" s="82"/>
      <c r="GMB2315" s="82"/>
      <c r="GMC2315" s="82"/>
      <c r="GMD2315" s="82"/>
      <c r="GME2315" s="82"/>
      <c r="GMF2315" s="82"/>
      <c r="GMG2315" s="82"/>
      <c r="GMH2315" s="82"/>
      <c r="GMI2315" s="82"/>
      <c r="GMJ2315" s="82"/>
      <c r="GMK2315" s="82"/>
      <c r="GML2315" s="82"/>
      <c r="GMM2315" s="82"/>
      <c r="GMN2315" s="82"/>
      <c r="GMO2315" s="82"/>
      <c r="GMP2315" s="82"/>
      <c r="GMQ2315" s="82"/>
      <c r="GMR2315" s="82"/>
      <c r="GMS2315" s="82"/>
      <c r="GMT2315" s="82"/>
      <c r="GMU2315" s="82"/>
      <c r="GMV2315" s="82"/>
      <c r="GMW2315" s="82"/>
      <c r="GMX2315" s="82"/>
      <c r="GMY2315" s="82"/>
      <c r="GMZ2315" s="82"/>
      <c r="GNA2315" s="82"/>
      <c r="GNB2315" s="82"/>
      <c r="GNC2315" s="82"/>
      <c r="GND2315" s="82"/>
      <c r="GNE2315" s="82"/>
      <c r="GNF2315" s="82"/>
      <c r="GNG2315" s="82"/>
      <c r="GNH2315" s="82"/>
      <c r="GNI2315" s="82"/>
      <c r="GNJ2315" s="82"/>
      <c r="GNK2315" s="82"/>
      <c r="GNL2315" s="82"/>
      <c r="GNM2315" s="82"/>
      <c r="GNN2315" s="82"/>
      <c r="GNO2315" s="82"/>
      <c r="GNP2315" s="82"/>
      <c r="GNQ2315" s="82"/>
      <c r="GNR2315" s="82"/>
      <c r="GNS2315" s="82"/>
      <c r="GNT2315" s="82"/>
      <c r="GNU2315" s="82"/>
      <c r="GNV2315" s="82"/>
      <c r="GNW2315" s="82"/>
      <c r="GNX2315" s="82"/>
      <c r="GNY2315" s="82"/>
      <c r="GNZ2315" s="82"/>
      <c r="GOA2315" s="82"/>
      <c r="GOB2315" s="82"/>
      <c r="GOC2315" s="82"/>
      <c r="GOD2315" s="82"/>
      <c r="GOE2315" s="82"/>
      <c r="GOF2315" s="82"/>
      <c r="GOG2315" s="82"/>
      <c r="GOH2315" s="82"/>
      <c r="GOI2315" s="82"/>
      <c r="GOJ2315" s="82"/>
      <c r="GOK2315" s="82"/>
      <c r="GOL2315" s="82"/>
      <c r="GOM2315" s="82"/>
      <c r="GON2315" s="82"/>
      <c r="GOO2315" s="82"/>
      <c r="GOP2315" s="82"/>
      <c r="GOQ2315" s="82"/>
      <c r="GOR2315" s="82"/>
      <c r="GOS2315" s="82"/>
      <c r="GOT2315" s="82"/>
      <c r="GOU2315" s="82"/>
      <c r="GOV2315" s="82"/>
      <c r="GOW2315" s="82"/>
      <c r="GOX2315" s="82"/>
      <c r="GOY2315" s="82"/>
      <c r="GOZ2315" s="82"/>
      <c r="GPA2315" s="82"/>
      <c r="GPB2315" s="82"/>
      <c r="GPC2315" s="82"/>
      <c r="GPD2315" s="82"/>
      <c r="GPE2315" s="82"/>
      <c r="GPF2315" s="82"/>
      <c r="GPG2315" s="82"/>
      <c r="GPH2315" s="82"/>
      <c r="GPI2315" s="82"/>
      <c r="GPJ2315" s="82"/>
      <c r="GPK2315" s="82"/>
      <c r="GPL2315" s="82"/>
      <c r="GPM2315" s="82"/>
      <c r="GPN2315" s="82"/>
      <c r="GPO2315" s="82"/>
      <c r="GPP2315" s="82"/>
      <c r="GPQ2315" s="82"/>
      <c r="GPR2315" s="82"/>
      <c r="GPS2315" s="82"/>
      <c r="GPT2315" s="82"/>
      <c r="GPU2315" s="82"/>
      <c r="GPV2315" s="82"/>
      <c r="GPW2315" s="82"/>
      <c r="GPX2315" s="82"/>
      <c r="GPY2315" s="82"/>
      <c r="GPZ2315" s="82"/>
      <c r="GQA2315" s="82"/>
      <c r="GQB2315" s="82"/>
      <c r="GQC2315" s="82"/>
      <c r="GQD2315" s="82"/>
      <c r="GQE2315" s="82"/>
      <c r="GQF2315" s="82"/>
      <c r="GQG2315" s="82"/>
      <c r="GQH2315" s="82"/>
      <c r="GQI2315" s="82"/>
      <c r="GQJ2315" s="82"/>
      <c r="GQK2315" s="82"/>
      <c r="GQL2315" s="82"/>
      <c r="GQM2315" s="82"/>
      <c r="GQN2315" s="82"/>
      <c r="GQO2315" s="82"/>
      <c r="GQP2315" s="82"/>
      <c r="GQQ2315" s="82"/>
      <c r="GQR2315" s="82"/>
      <c r="GQS2315" s="82"/>
      <c r="GQT2315" s="82"/>
      <c r="GQU2315" s="82"/>
      <c r="GQV2315" s="82"/>
      <c r="GQW2315" s="82"/>
      <c r="GQX2315" s="82"/>
      <c r="GQY2315" s="82"/>
      <c r="GQZ2315" s="82"/>
      <c r="GRA2315" s="82"/>
      <c r="GRB2315" s="82"/>
      <c r="GRC2315" s="82"/>
      <c r="GRD2315" s="82"/>
      <c r="GRE2315" s="82"/>
      <c r="GRF2315" s="82"/>
      <c r="GRG2315" s="82"/>
      <c r="GRH2315" s="82"/>
      <c r="GRI2315" s="82"/>
      <c r="GRJ2315" s="82"/>
      <c r="GRK2315" s="82"/>
      <c r="GRL2315" s="82"/>
      <c r="GRM2315" s="82"/>
      <c r="GRN2315" s="82"/>
      <c r="GRO2315" s="82"/>
      <c r="GRP2315" s="82"/>
      <c r="GRQ2315" s="82"/>
      <c r="GRR2315" s="82"/>
      <c r="GRS2315" s="82"/>
      <c r="GRT2315" s="82"/>
      <c r="GRU2315" s="82"/>
      <c r="GRV2315" s="82"/>
      <c r="GRW2315" s="82"/>
      <c r="GRX2315" s="82"/>
      <c r="GRY2315" s="82"/>
      <c r="GRZ2315" s="82"/>
      <c r="GSA2315" s="82"/>
      <c r="GSB2315" s="82"/>
      <c r="GSC2315" s="82"/>
      <c r="GSD2315" s="82"/>
      <c r="GSE2315" s="82"/>
      <c r="GSF2315" s="82"/>
      <c r="GSG2315" s="82"/>
      <c r="GSH2315" s="82"/>
      <c r="GSI2315" s="82"/>
      <c r="GSJ2315" s="82"/>
      <c r="GSK2315" s="82"/>
      <c r="GSL2315" s="82"/>
      <c r="GSM2315" s="82"/>
      <c r="GSN2315" s="82"/>
      <c r="GSO2315" s="82"/>
      <c r="GSP2315" s="82"/>
      <c r="GSQ2315" s="82"/>
      <c r="GSR2315" s="82"/>
      <c r="GSS2315" s="82"/>
      <c r="GST2315" s="82"/>
      <c r="GSU2315" s="82"/>
      <c r="GSV2315" s="82"/>
      <c r="GSW2315" s="82"/>
      <c r="GSX2315" s="82"/>
      <c r="GSY2315" s="82"/>
      <c r="GSZ2315" s="82"/>
      <c r="GTA2315" s="82"/>
      <c r="GTB2315" s="82"/>
      <c r="GTC2315" s="82"/>
      <c r="GTD2315" s="82"/>
      <c r="GTE2315" s="82"/>
      <c r="GTF2315" s="82"/>
      <c r="GTG2315" s="82"/>
      <c r="GTH2315" s="82"/>
      <c r="GTI2315" s="82"/>
      <c r="GTJ2315" s="82"/>
      <c r="GTK2315" s="82"/>
      <c r="GTL2315" s="82"/>
      <c r="GTM2315" s="82"/>
      <c r="GTN2315" s="82"/>
      <c r="GTO2315" s="82"/>
      <c r="GTP2315" s="82"/>
      <c r="GTQ2315" s="82"/>
      <c r="GTR2315" s="82"/>
      <c r="GTS2315" s="82"/>
      <c r="GTT2315" s="82"/>
      <c r="GTU2315" s="82"/>
      <c r="GTV2315" s="82"/>
      <c r="GTW2315" s="82"/>
      <c r="GTX2315" s="82"/>
      <c r="GTY2315" s="82"/>
      <c r="GTZ2315" s="82"/>
      <c r="GUA2315" s="82"/>
      <c r="GUB2315" s="82"/>
      <c r="GUC2315" s="82"/>
      <c r="GUD2315" s="82"/>
      <c r="GUE2315" s="82"/>
      <c r="GUF2315" s="82"/>
      <c r="GUG2315" s="82"/>
      <c r="GUH2315" s="82"/>
      <c r="GUI2315" s="82"/>
      <c r="GUJ2315" s="82"/>
      <c r="GUK2315" s="82"/>
      <c r="GUL2315" s="82"/>
      <c r="GUM2315" s="82"/>
      <c r="GUN2315" s="82"/>
      <c r="GUO2315" s="82"/>
      <c r="GUP2315" s="82"/>
      <c r="GUQ2315" s="82"/>
      <c r="GUR2315" s="82"/>
      <c r="GUS2315" s="82"/>
      <c r="GUT2315" s="82"/>
      <c r="GUU2315" s="82"/>
      <c r="GUV2315" s="82"/>
      <c r="GUW2315" s="82"/>
      <c r="GUX2315" s="82"/>
      <c r="GUY2315" s="82"/>
      <c r="GUZ2315" s="82"/>
      <c r="GVA2315" s="82"/>
      <c r="GVB2315" s="82"/>
      <c r="GVC2315" s="82"/>
      <c r="GVD2315" s="82"/>
      <c r="GVE2315" s="82"/>
      <c r="GVF2315" s="82"/>
      <c r="GVG2315" s="82"/>
      <c r="GVH2315" s="82"/>
      <c r="GVI2315" s="82"/>
      <c r="GVJ2315" s="82"/>
      <c r="GVK2315" s="82"/>
      <c r="GVL2315" s="82"/>
      <c r="GVM2315" s="82"/>
      <c r="GVN2315" s="82"/>
      <c r="GVO2315" s="82"/>
      <c r="GVP2315" s="82"/>
      <c r="GVQ2315" s="82"/>
      <c r="GVR2315" s="82"/>
      <c r="GVS2315" s="82"/>
      <c r="GVT2315" s="82"/>
      <c r="GVU2315" s="82"/>
      <c r="GVV2315" s="82"/>
      <c r="GVW2315" s="82"/>
      <c r="GVX2315" s="82"/>
      <c r="GVY2315" s="82"/>
      <c r="GVZ2315" s="82"/>
      <c r="GWA2315" s="82"/>
      <c r="GWB2315" s="82"/>
      <c r="GWC2315" s="82"/>
      <c r="GWD2315" s="82"/>
      <c r="GWE2315" s="82"/>
      <c r="GWF2315" s="82"/>
      <c r="GWG2315" s="82"/>
      <c r="GWH2315" s="82"/>
      <c r="GWI2315" s="82"/>
      <c r="GWJ2315" s="82"/>
      <c r="GWK2315" s="82"/>
      <c r="GWL2315" s="82"/>
      <c r="GWM2315" s="82"/>
      <c r="GWN2315" s="82"/>
      <c r="GWO2315" s="82"/>
      <c r="GWP2315" s="82"/>
      <c r="GWQ2315" s="82"/>
      <c r="GWR2315" s="82"/>
      <c r="GWS2315" s="82"/>
      <c r="GWT2315" s="82"/>
      <c r="GWU2315" s="82"/>
      <c r="GWV2315" s="82"/>
      <c r="GWW2315" s="82"/>
      <c r="GWX2315" s="82"/>
      <c r="GWY2315" s="82"/>
      <c r="GWZ2315" s="82"/>
      <c r="GXA2315" s="82"/>
      <c r="GXB2315" s="82"/>
      <c r="GXC2315" s="82"/>
      <c r="GXD2315" s="82"/>
      <c r="GXE2315" s="82"/>
      <c r="GXF2315" s="82"/>
      <c r="GXG2315" s="82"/>
      <c r="GXH2315" s="82"/>
      <c r="GXI2315" s="82"/>
      <c r="GXJ2315" s="82"/>
      <c r="GXK2315" s="82"/>
      <c r="GXL2315" s="82"/>
      <c r="GXM2315" s="82"/>
      <c r="GXN2315" s="82"/>
      <c r="GXO2315" s="82"/>
      <c r="GXP2315" s="82"/>
      <c r="GXQ2315" s="82"/>
      <c r="GXR2315" s="82"/>
      <c r="GXS2315" s="82"/>
      <c r="GXT2315" s="82"/>
      <c r="GXU2315" s="82"/>
      <c r="GXV2315" s="82"/>
      <c r="GXW2315" s="82"/>
      <c r="GXX2315" s="82"/>
      <c r="GXY2315" s="82"/>
      <c r="GXZ2315" s="82"/>
      <c r="GYA2315" s="82"/>
      <c r="GYB2315" s="82"/>
      <c r="GYC2315" s="82"/>
      <c r="GYD2315" s="82"/>
      <c r="GYE2315" s="82"/>
      <c r="GYF2315" s="82"/>
      <c r="GYG2315" s="82"/>
      <c r="GYH2315" s="82"/>
      <c r="GYI2315" s="82"/>
      <c r="GYJ2315" s="82"/>
      <c r="GYK2315" s="82"/>
      <c r="GYL2315" s="82"/>
      <c r="GYM2315" s="82"/>
      <c r="GYN2315" s="82"/>
      <c r="GYO2315" s="82"/>
      <c r="GYP2315" s="82"/>
      <c r="GYQ2315" s="82"/>
      <c r="GYR2315" s="82"/>
      <c r="GYS2315" s="82"/>
      <c r="GYT2315" s="82"/>
      <c r="GYU2315" s="82"/>
      <c r="GYV2315" s="82"/>
      <c r="GYW2315" s="82"/>
      <c r="GYX2315" s="82"/>
      <c r="GYY2315" s="82"/>
      <c r="GYZ2315" s="82"/>
      <c r="GZA2315" s="82"/>
      <c r="GZB2315" s="82"/>
      <c r="GZC2315" s="82"/>
      <c r="GZD2315" s="82"/>
      <c r="GZE2315" s="82"/>
      <c r="GZF2315" s="82"/>
      <c r="GZG2315" s="82"/>
      <c r="GZH2315" s="82"/>
      <c r="GZI2315" s="82"/>
      <c r="GZJ2315" s="82"/>
      <c r="GZK2315" s="82"/>
      <c r="GZL2315" s="82"/>
      <c r="GZM2315" s="82"/>
      <c r="GZN2315" s="82"/>
      <c r="GZO2315" s="82"/>
      <c r="GZP2315" s="82"/>
      <c r="GZQ2315" s="82"/>
      <c r="GZR2315" s="82"/>
      <c r="GZS2315" s="82"/>
      <c r="GZT2315" s="82"/>
      <c r="GZU2315" s="82"/>
      <c r="GZV2315" s="82"/>
      <c r="GZW2315" s="82"/>
      <c r="GZX2315" s="82"/>
      <c r="GZY2315" s="82"/>
      <c r="GZZ2315" s="82"/>
      <c r="HAA2315" s="82"/>
      <c r="HAB2315" s="82"/>
      <c r="HAC2315" s="82"/>
      <c r="HAD2315" s="82"/>
      <c r="HAE2315" s="82"/>
      <c r="HAF2315" s="82"/>
      <c r="HAG2315" s="82"/>
      <c r="HAH2315" s="82"/>
      <c r="HAI2315" s="82"/>
      <c r="HAJ2315" s="82"/>
      <c r="HAK2315" s="82"/>
      <c r="HAL2315" s="82"/>
      <c r="HAM2315" s="82"/>
      <c r="HAN2315" s="82"/>
      <c r="HAO2315" s="82"/>
      <c r="HAP2315" s="82"/>
      <c r="HAQ2315" s="82"/>
      <c r="HAR2315" s="82"/>
      <c r="HAS2315" s="82"/>
      <c r="HAT2315" s="82"/>
      <c r="HAU2315" s="82"/>
      <c r="HAV2315" s="82"/>
      <c r="HAW2315" s="82"/>
      <c r="HAX2315" s="82"/>
      <c r="HAY2315" s="82"/>
      <c r="HAZ2315" s="82"/>
      <c r="HBA2315" s="82"/>
      <c r="HBB2315" s="82"/>
      <c r="HBC2315" s="82"/>
      <c r="HBD2315" s="82"/>
      <c r="HBE2315" s="82"/>
      <c r="HBF2315" s="82"/>
      <c r="HBG2315" s="82"/>
      <c r="HBH2315" s="82"/>
      <c r="HBI2315" s="82"/>
      <c r="HBJ2315" s="82"/>
      <c r="HBK2315" s="82"/>
      <c r="HBL2315" s="82"/>
      <c r="HBM2315" s="82"/>
      <c r="HBN2315" s="82"/>
      <c r="HBO2315" s="82"/>
      <c r="HBP2315" s="82"/>
      <c r="HBQ2315" s="82"/>
      <c r="HBR2315" s="82"/>
      <c r="HBS2315" s="82"/>
      <c r="HBT2315" s="82"/>
      <c r="HBU2315" s="82"/>
      <c r="HBV2315" s="82"/>
      <c r="HBW2315" s="82"/>
      <c r="HBX2315" s="82"/>
      <c r="HBY2315" s="82"/>
      <c r="HBZ2315" s="82"/>
      <c r="HCA2315" s="82"/>
      <c r="HCB2315" s="82"/>
      <c r="HCC2315" s="82"/>
      <c r="HCD2315" s="82"/>
      <c r="HCE2315" s="82"/>
      <c r="HCF2315" s="82"/>
      <c r="HCG2315" s="82"/>
      <c r="HCH2315" s="82"/>
      <c r="HCI2315" s="82"/>
      <c r="HCJ2315" s="82"/>
      <c r="HCK2315" s="82"/>
      <c r="HCL2315" s="82"/>
      <c r="HCM2315" s="82"/>
      <c r="HCN2315" s="82"/>
      <c r="HCO2315" s="82"/>
      <c r="HCP2315" s="82"/>
      <c r="HCQ2315" s="82"/>
      <c r="HCR2315" s="82"/>
      <c r="HCS2315" s="82"/>
      <c r="HCT2315" s="82"/>
      <c r="HCU2315" s="82"/>
      <c r="HCV2315" s="82"/>
      <c r="HCW2315" s="82"/>
      <c r="HCX2315" s="82"/>
      <c r="HCY2315" s="82"/>
      <c r="HCZ2315" s="82"/>
      <c r="HDA2315" s="82"/>
      <c r="HDB2315" s="82"/>
      <c r="HDC2315" s="82"/>
      <c r="HDD2315" s="82"/>
      <c r="HDE2315" s="82"/>
      <c r="HDF2315" s="82"/>
      <c r="HDG2315" s="82"/>
      <c r="HDH2315" s="82"/>
      <c r="HDI2315" s="82"/>
      <c r="HDJ2315" s="82"/>
      <c r="HDK2315" s="82"/>
      <c r="HDL2315" s="82"/>
      <c r="HDM2315" s="82"/>
      <c r="HDN2315" s="82"/>
      <c r="HDO2315" s="82"/>
      <c r="HDP2315" s="82"/>
      <c r="HDQ2315" s="82"/>
      <c r="HDR2315" s="82"/>
      <c r="HDS2315" s="82"/>
      <c r="HDT2315" s="82"/>
      <c r="HDU2315" s="82"/>
      <c r="HDV2315" s="82"/>
      <c r="HDW2315" s="82"/>
      <c r="HDX2315" s="82"/>
      <c r="HDY2315" s="82"/>
      <c r="HDZ2315" s="82"/>
      <c r="HEA2315" s="82"/>
      <c r="HEB2315" s="82"/>
      <c r="HEC2315" s="82"/>
      <c r="HED2315" s="82"/>
      <c r="HEE2315" s="82"/>
      <c r="HEF2315" s="82"/>
      <c r="HEG2315" s="82"/>
      <c r="HEH2315" s="82"/>
      <c r="HEI2315" s="82"/>
      <c r="HEJ2315" s="82"/>
      <c r="HEK2315" s="82"/>
      <c r="HEL2315" s="82"/>
      <c r="HEM2315" s="82"/>
      <c r="HEN2315" s="82"/>
      <c r="HEO2315" s="82"/>
      <c r="HEP2315" s="82"/>
      <c r="HEQ2315" s="82"/>
      <c r="HER2315" s="82"/>
      <c r="HES2315" s="82"/>
      <c r="HET2315" s="82"/>
      <c r="HEU2315" s="82"/>
      <c r="HEV2315" s="82"/>
      <c r="HEW2315" s="82"/>
      <c r="HEX2315" s="82"/>
      <c r="HEY2315" s="82"/>
      <c r="HEZ2315" s="82"/>
      <c r="HFA2315" s="82"/>
      <c r="HFB2315" s="82"/>
      <c r="HFC2315" s="82"/>
      <c r="HFD2315" s="82"/>
      <c r="HFE2315" s="82"/>
      <c r="HFF2315" s="82"/>
      <c r="HFG2315" s="82"/>
      <c r="HFH2315" s="82"/>
      <c r="HFI2315" s="82"/>
      <c r="HFJ2315" s="82"/>
      <c r="HFK2315" s="82"/>
      <c r="HFL2315" s="82"/>
      <c r="HFM2315" s="82"/>
      <c r="HFN2315" s="82"/>
      <c r="HFO2315" s="82"/>
      <c r="HFP2315" s="82"/>
      <c r="HFQ2315" s="82"/>
      <c r="HFR2315" s="82"/>
      <c r="HFS2315" s="82"/>
      <c r="HFT2315" s="82"/>
      <c r="HFU2315" s="82"/>
      <c r="HFV2315" s="82"/>
      <c r="HFW2315" s="82"/>
      <c r="HFX2315" s="82"/>
      <c r="HFY2315" s="82"/>
      <c r="HFZ2315" s="82"/>
      <c r="HGA2315" s="82"/>
      <c r="HGB2315" s="82"/>
      <c r="HGC2315" s="82"/>
      <c r="HGD2315" s="82"/>
      <c r="HGE2315" s="82"/>
      <c r="HGF2315" s="82"/>
      <c r="HGG2315" s="82"/>
      <c r="HGH2315" s="82"/>
      <c r="HGI2315" s="82"/>
      <c r="HGJ2315" s="82"/>
      <c r="HGK2315" s="82"/>
      <c r="HGL2315" s="82"/>
      <c r="HGM2315" s="82"/>
      <c r="HGN2315" s="82"/>
      <c r="HGO2315" s="82"/>
      <c r="HGP2315" s="82"/>
      <c r="HGQ2315" s="82"/>
      <c r="HGR2315" s="82"/>
      <c r="HGS2315" s="82"/>
      <c r="HGT2315" s="82"/>
      <c r="HGU2315" s="82"/>
      <c r="HGV2315" s="82"/>
      <c r="HGW2315" s="82"/>
      <c r="HGX2315" s="82"/>
      <c r="HGY2315" s="82"/>
      <c r="HGZ2315" s="82"/>
      <c r="HHA2315" s="82"/>
      <c r="HHB2315" s="82"/>
      <c r="HHC2315" s="82"/>
      <c r="HHD2315" s="82"/>
      <c r="HHE2315" s="82"/>
      <c r="HHF2315" s="82"/>
      <c r="HHG2315" s="82"/>
      <c r="HHH2315" s="82"/>
      <c r="HHI2315" s="82"/>
      <c r="HHJ2315" s="82"/>
      <c r="HHK2315" s="82"/>
      <c r="HHL2315" s="82"/>
      <c r="HHM2315" s="82"/>
      <c r="HHN2315" s="82"/>
      <c r="HHO2315" s="82"/>
      <c r="HHP2315" s="82"/>
      <c r="HHQ2315" s="82"/>
      <c r="HHR2315" s="82"/>
      <c r="HHS2315" s="82"/>
      <c r="HHT2315" s="82"/>
      <c r="HHU2315" s="82"/>
      <c r="HHV2315" s="82"/>
      <c r="HHW2315" s="82"/>
      <c r="HHX2315" s="82"/>
      <c r="HHY2315" s="82"/>
      <c r="HHZ2315" s="82"/>
      <c r="HIA2315" s="82"/>
      <c r="HIB2315" s="82"/>
      <c r="HIC2315" s="82"/>
      <c r="HID2315" s="82"/>
      <c r="HIE2315" s="82"/>
      <c r="HIF2315" s="82"/>
      <c r="HIG2315" s="82"/>
      <c r="HIH2315" s="82"/>
      <c r="HII2315" s="82"/>
      <c r="HIJ2315" s="82"/>
      <c r="HIK2315" s="82"/>
      <c r="HIL2315" s="82"/>
      <c r="HIM2315" s="82"/>
      <c r="HIN2315" s="82"/>
      <c r="HIO2315" s="82"/>
      <c r="HIP2315" s="82"/>
      <c r="HIQ2315" s="82"/>
      <c r="HIR2315" s="82"/>
      <c r="HIS2315" s="82"/>
      <c r="HIT2315" s="82"/>
      <c r="HIU2315" s="82"/>
      <c r="HIV2315" s="82"/>
      <c r="HIW2315" s="82"/>
      <c r="HIX2315" s="82"/>
      <c r="HIY2315" s="82"/>
      <c r="HIZ2315" s="82"/>
      <c r="HJA2315" s="82"/>
      <c r="HJB2315" s="82"/>
      <c r="HJC2315" s="82"/>
      <c r="HJD2315" s="82"/>
      <c r="HJE2315" s="82"/>
      <c r="HJF2315" s="82"/>
      <c r="HJG2315" s="82"/>
      <c r="HJH2315" s="82"/>
      <c r="HJI2315" s="82"/>
      <c r="HJJ2315" s="82"/>
      <c r="HJK2315" s="82"/>
      <c r="HJL2315" s="82"/>
      <c r="HJM2315" s="82"/>
      <c r="HJN2315" s="82"/>
      <c r="HJO2315" s="82"/>
      <c r="HJP2315" s="82"/>
      <c r="HJQ2315" s="82"/>
      <c r="HJR2315" s="82"/>
      <c r="HJS2315" s="82"/>
      <c r="HJT2315" s="82"/>
      <c r="HJU2315" s="82"/>
      <c r="HJV2315" s="82"/>
      <c r="HJW2315" s="82"/>
      <c r="HJX2315" s="82"/>
      <c r="HJY2315" s="82"/>
      <c r="HJZ2315" s="82"/>
      <c r="HKA2315" s="82"/>
      <c r="HKB2315" s="82"/>
      <c r="HKC2315" s="82"/>
      <c r="HKD2315" s="82"/>
      <c r="HKE2315" s="82"/>
      <c r="HKF2315" s="82"/>
      <c r="HKG2315" s="82"/>
      <c r="HKH2315" s="82"/>
      <c r="HKI2315" s="82"/>
      <c r="HKJ2315" s="82"/>
      <c r="HKK2315" s="82"/>
      <c r="HKL2315" s="82"/>
      <c r="HKM2315" s="82"/>
      <c r="HKN2315" s="82"/>
      <c r="HKO2315" s="82"/>
      <c r="HKP2315" s="82"/>
      <c r="HKQ2315" s="82"/>
      <c r="HKR2315" s="82"/>
      <c r="HKS2315" s="82"/>
      <c r="HKT2315" s="82"/>
      <c r="HKU2315" s="82"/>
      <c r="HKV2315" s="82"/>
      <c r="HKW2315" s="82"/>
      <c r="HKX2315" s="82"/>
      <c r="HKY2315" s="82"/>
      <c r="HKZ2315" s="82"/>
      <c r="HLA2315" s="82"/>
      <c r="HLB2315" s="82"/>
      <c r="HLC2315" s="82"/>
      <c r="HLD2315" s="82"/>
      <c r="HLE2315" s="82"/>
      <c r="HLF2315" s="82"/>
      <c r="HLG2315" s="82"/>
      <c r="HLH2315" s="82"/>
      <c r="HLI2315" s="82"/>
      <c r="HLJ2315" s="82"/>
      <c r="HLK2315" s="82"/>
      <c r="HLL2315" s="82"/>
      <c r="HLM2315" s="82"/>
      <c r="HLN2315" s="82"/>
      <c r="HLO2315" s="82"/>
      <c r="HLP2315" s="82"/>
      <c r="HLQ2315" s="82"/>
      <c r="HLR2315" s="82"/>
      <c r="HLS2315" s="82"/>
      <c r="HLT2315" s="82"/>
      <c r="HLU2315" s="82"/>
      <c r="HLV2315" s="82"/>
      <c r="HLW2315" s="82"/>
      <c r="HLX2315" s="82"/>
      <c r="HLY2315" s="82"/>
      <c r="HLZ2315" s="82"/>
      <c r="HMA2315" s="82"/>
      <c r="HMB2315" s="82"/>
      <c r="HMC2315" s="82"/>
      <c r="HMD2315" s="82"/>
      <c r="HME2315" s="82"/>
      <c r="HMF2315" s="82"/>
      <c r="HMG2315" s="82"/>
      <c r="HMH2315" s="82"/>
      <c r="HMI2315" s="82"/>
      <c r="HMJ2315" s="82"/>
      <c r="HMK2315" s="82"/>
      <c r="HML2315" s="82"/>
      <c r="HMM2315" s="82"/>
      <c r="HMN2315" s="82"/>
      <c r="HMO2315" s="82"/>
      <c r="HMP2315" s="82"/>
      <c r="HMQ2315" s="82"/>
      <c r="HMR2315" s="82"/>
      <c r="HMS2315" s="82"/>
      <c r="HMT2315" s="82"/>
      <c r="HMU2315" s="82"/>
      <c r="HMV2315" s="82"/>
      <c r="HMW2315" s="82"/>
      <c r="HMX2315" s="82"/>
      <c r="HMY2315" s="82"/>
      <c r="HMZ2315" s="82"/>
      <c r="HNA2315" s="82"/>
      <c r="HNB2315" s="82"/>
      <c r="HNC2315" s="82"/>
      <c r="HND2315" s="82"/>
      <c r="HNE2315" s="82"/>
      <c r="HNF2315" s="82"/>
      <c r="HNG2315" s="82"/>
      <c r="HNH2315" s="82"/>
      <c r="HNI2315" s="82"/>
      <c r="HNJ2315" s="82"/>
      <c r="HNK2315" s="82"/>
      <c r="HNL2315" s="82"/>
      <c r="HNM2315" s="82"/>
      <c r="HNN2315" s="82"/>
      <c r="HNO2315" s="82"/>
      <c r="HNP2315" s="82"/>
      <c r="HNQ2315" s="82"/>
      <c r="HNR2315" s="82"/>
      <c r="HNS2315" s="82"/>
      <c r="HNT2315" s="82"/>
      <c r="HNU2315" s="82"/>
      <c r="HNV2315" s="82"/>
      <c r="HNW2315" s="82"/>
      <c r="HNX2315" s="82"/>
      <c r="HNY2315" s="82"/>
      <c r="HNZ2315" s="82"/>
      <c r="HOA2315" s="82"/>
      <c r="HOB2315" s="82"/>
      <c r="HOC2315" s="82"/>
      <c r="HOD2315" s="82"/>
      <c r="HOE2315" s="82"/>
      <c r="HOF2315" s="82"/>
      <c r="HOG2315" s="82"/>
      <c r="HOH2315" s="82"/>
      <c r="HOI2315" s="82"/>
      <c r="HOJ2315" s="82"/>
      <c r="HOK2315" s="82"/>
      <c r="HOL2315" s="82"/>
      <c r="HOM2315" s="82"/>
      <c r="HON2315" s="82"/>
      <c r="HOO2315" s="82"/>
      <c r="HOP2315" s="82"/>
      <c r="HOQ2315" s="82"/>
      <c r="HOR2315" s="82"/>
      <c r="HOS2315" s="82"/>
      <c r="HOT2315" s="82"/>
      <c r="HOU2315" s="82"/>
      <c r="HOV2315" s="82"/>
      <c r="HOW2315" s="82"/>
      <c r="HOX2315" s="82"/>
      <c r="HOY2315" s="82"/>
      <c r="HOZ2315" s="82"/>
      <c r="HPA2315" s="82"/>
      <c r="HPB2315" s="82"/>
      <c r="HPC2315" s="82"/>
      <c r="HPD2315" s="82"/>
      <c r="HPE2315" s="82"/>
      <c r="HPF2315" s="82"/>
      <c r="HPG2315" s="82"/>
      <c r="HPH2315" s="82"/>
      <c r="HPI2315" s="82"/>
      <c r="HPJ2315" s="82"/>
      <c r="HPK2315" s="82"/>
      <c r="HPL2315" s="82"/>
      <c r="HPM2315" s="82"/>
      <c r="HPN2315" s="82"/>
      <c r="HPO2315" s="82"/>
      <c r="HPP2315" s="82"/>
      <c r="HPQ2315" s="82"/>
      <c r="HPR2315" s="82"/>
      <c r="HPS2315" s="82"/>
      <c r="HPT2315" s="82"/>
      <c r="HPU2315" s="82"/>
      <c r="HPV2315" s="82"/>
      <c r="HPW2315" s="82"/>
      <c r="HPX2315" s="82"/>
      <c r="HPY2315" s="82"/>
      <c r="HPZ2315" s="82"/>
      <c r="HQA2315" s="82"/>
      <c r="HQB2315" s="82"/>
      <c r="HQC2315" s="82"/>
      <c r="HQD2315" s="82"/>
      <c r="HQE2315" s="82"/>
      <c r="HQF2315" s="82"/>
      <c r="HQG2315" s="82"/>
      <c r="HQH2315" s="82"/>
      <c r="HQI2315" s="82"/>
      <c r="HQJ2315" s="82"/>
      <c r="HQK2315" s="82"/>
      <c r="HQL2315" s="82"/>
      <c r="HQM2315" s="82"/>
      <c r="HQN2315" s="82"/>
      <c r="HQO2315" s="82"/>
      <c r="HQP2315" s="82"/>
      <c r="HQQ2315" s="82"/>
      <c r="HQR2315" s="82"/>
      <c r="HQS2315" s="82"/>
      <c r="HQT2315" s="82"/>
      <c r="HQU2315" s="82"/>
      <c r="HQV2315" s="82"/>
      <c r="HQW2315" s="82"/>
      <c r="HQX2315" s="82"/>
      <c r="HQY2315" s="82"/>
      <c r="HQZ2315" s="82"/>
      <c r="HRA2315" s="82"/>
      <c r="HRB2315" s="82"/>
      <c r="HRC2315" s="82"/>
      <c r="HRD2315" s="82"/>
      <c r="HRE2315" s="82"/>
      <c r="HRF2315" s="82"/>
      <c r="HRG2315" s="82"/>
      <c r="HRH2315" s="82"/>
      <c r="HRI2315" s="82"/>
      <c r="HRJ2315" s="82"/>
      <c r="HRK2315" s="82"/>
      <c r="HRL2315" s="82"/>
      <c r="HRM2315" s="82"/>
      <c r="HRN2315" s="82"/>
      <c r="HRO2315" s="82"/>
      <c r="HRP2315" s="82"/>
      <c r="HRQ2315" s="82"/>
      <c r="HRR2315" s="82"/>
      <c r="HRS2315" s="82"/>
      <c r="HRT2315" s="82"/>
      <c r="HRU2315" s="82"/>
      <c r="HRV2315" s="82"/>
      <c r="HRW2315" s="82"/>
      <c r="HRX2315" s="82"/>
      <c r="HRY2315" s="82"/>
      <c r="HRZ2315" s="82"/>
      <c r="HSA2315" s="82"/>
      <c r="HSB2315" s="82"/>
      <c r="HSC2315" s="82"/>
      <c r="HSD2315" s="82"/>
      <c r="HSE2315" s="82"/>
      <c r="HSF2315" s="82"/>
      <c r="HSG2315" s="82"/>
      <c r="HSH2315" s="82"/>
      <c r="HSI2315" s="82"/>
      <c r="HSJ2315" s="82"/>
      <c r="HSK2315" s="82"/>
      <c r="HSL2315" s="82"/>
      <c r="HSM2315" s="82"/>
      <c r="HSN2315" s="82"/>
      <c r="HSO2315" s="82"/>
      <c r="HSP2315" s="82"/>
      <c r="HSQ2315" s="82"/>
      <c r="HSR2315" s="82"/>
      <c r="HSS2315" s="82"/>
      <c r="HST2315" s="82"/>
      <c r="HSU2315" s="82"/>
      <c r="HSV2315" s="82"/>
      <c r="HSW2315" s="82"/>
      <c r="HSX2315" s="82"/>
      <c r="HSY2315" s="82"/>
      <c r="HSZ2315" s="82"/>
      <c r="HTA2315" s="82"/>
      <c r="HTB2315" s="82"/>
      <c r="HTC2315" s="82"/>
      <c r="HTD2315" s="82"/>
      <c r="HTE2315" s="82"/>
      <c r="HTF2315" s="82"/>
      <c r="HTG2315" s="82"/>
      <c r="HTH2315" s="82"/>
      <c r="HTI2315" s="82"/>
      <c r="HTJ2315" s="82"/>
      <c r="HTK2315" s="82"/>
      <c r="HTL2315" s="82"/>
      <c r="HTM2315" s="82"/>
      <c r="HTN2315" s="82"/>
      <c r="HTO2315" s="82"/>
      <c r="HTP2315" s="82"/>
      <c r="HTQ2315" s="82"/>
      <c r="HTR2315" s="82"/>
      <c r="HTS2315" s="82"/>
      <c r="HTT2315" s="82"/>
      <c r="HTU2315" s="82"/>
      <c r="HTV2315" s="82"/>
      <c r="HTW2315" s="82"/>
      <c r="HTX2315" s="82"/>
      <c r="HTY2315" s="82"/>
      <c r="HTZ2315" s="82"/>
      <c r="HUA2315" s="82"/>
      <c r="HUB2315" s="82"/>
      <c r="HUC2315" s="82"/>
      <c r="HUD2315" s="82"/>
      <c r="HUE2315" s="82"/>
      <c r="HUF2315" s="82"/>
      <c r="HUG2315" s="82"/>
      <c r="HUH2315" s="82"/>
      <c r="HUI2315" s="82"/>
      <c r="HUJ2315" s="82"/>
      <c r="HUK2315" s="82"/>
      <c r="HUL2315" s="82"/>
      <c r="HUM2315" s="82"/>
      <c r="HUN2315" s="82"/>
      <c r="HUO2315" s="82"/>
      <c r="HUP2315" s="82"/>
      <c r="HUQ2315" s="82"/>
      <c r="HUR2315" s="82"/>
      <c r="HUS2315" s="82"/>
      <c r="HUT2315" s="82"/>
      <c r="HUU2315" s="82"/>
      <c r="HUV2315" s="82"/>
      <c r="HUW2315" s="82"/>
      <c r="HUX2315" s="82"/>
      <c r="HUY2315" s="82"/>
      <c r="HUZ2315" s="82"/>
      <c r="HVA2315" s="82"/>
      <c r="HVB2315" s="82"/>
      <c r="HVC2315" s="82"/>
      <c r="HVD2315" s="82"/>
      <c r="HVE2315" s="82"/>
      <c r="HVF2315" s="82"/>
      <c r="HVG2315" s="82"/>
      <c r="HVH2315" s="82"/>
      <c r="HVI2315" s="82"/>
      <c r="HVJ2315" s="82"/>
      <c r="HVK2315" s="82"/>
      <c r="HVL2315" s="82"/>
      <c r="HVM2315" s="82"/>
      <c r="HVN2315" s="82"/>
      <c r="HVO2315" s="82"/>
      <c r="HVP2315" s="82"/>
      <c r="HVQ2315" s="82"/>
      <c r="HVR2315" s="82"/>
      <c r="HVS2315" s="82"/>
      <c r="HVT2315" s="82"/>
      <c r="HVU2315" s="82"/>
      <c r="HVV2315" s="82"/>
      <c r="HVW2315" s="82"/>
      <c r="HVX2315" s="82"/>
      <c r="HVY2315" s="82"/>
      <c r="HVZ2315" s="82"/>
      <c r="HWA2315" s="82"/>
      <c r="HWB2315" s="82"/>
      <c r="HWC2315" s="82"/>
      <c r="HWD2315" s="82"/>
      <c r="HWE2315" s="82"/>
      <c r="HWF2315" s="82"/>
      <c r="HWG2315" s="82"/>
      <c r="HWH2315" s="82"/>
      <c r="HWI2315" s="82"/>
      <c r="HWJ2315" s="82"/>
      <c r="HWK2315" s="82"/>
      <c r="HWL2315" s="82"/>
      <c r="HWM2315" s="82"/>
      <c r="HWN2315" s="82"/>
      <c r="HWO2315" s="82"/>
      <c r="HWP2315" s="82"/>
      <c r="HWQ2315" s="82"/>
      <c r="HWR2315" s="82"/>
      <c r="HWS2315" s="82"/>
      <c r="HWT2315" s="82"/>
      <c r="HWU2315" s="82"/>
      <c r="HWV2315" s="82"/>
      <c r="HWW2315" s="82"/>
      <c r="HWX2315" s="82"/>
      <c r="HWY2315" s="82"/>
      <c r="HWZ2315" s="82"/>
      <c r="HXA2315" s="82"/>
      <c r="HXB2315" s="82"/>
      <c r="HXC2315" s="82"/>
      <c r="HXD2315" s="82"/>
      <c r="HXE2315" s="82"/>
      <c r="HXF2315" s="82"/>
      <c r="HXG2315" s="82"/>
      <c r="HXH2315" s="82"/>
      <c r="HXI2315" s="82"/>
      <c r="HXJ2315" s="82"/>
      <c r="HXK2315" s="82"/>
      <c r="HXL2315" s="82"/>
      <c r="HXM2315" s="82"/>
      <c r="HXN2315" s="82"/>
      <c r="HXO2315" s="82"/>
      <c r="HXP2315" s="82"/>
      <c r="HXQ2315" s="82"/>
      <c r="HXR2315" s="82"/>
      <c r="HXS2315" s="82"/>
      <c r="HXT2315" s="82"/>
      <c r="HXU2315" s="82"/>
      <c r="HXV2315" s="82"/>
      <c r="HXW2315" s="82"/>
      <c r="HXX2315" s="82"/>
      <c r="HXY2315" s="82"/>
      <c r="HXZ2315" s="82"/>
      <c r="HYA2315" s="82"/>
      <c r="HYB2315" s="82"/>
      <c r="HYC2315" s="82"/>
      <c r="HYD2315" s="82"/>
      <c r="HYE2315" s="82"/>
      <c r="HYF2315" s="82"/>
      <c r="HYG2315" s="82"/>
      <c r="HYH2315" s="82"/>
      <c r="HYI2315" s="82"/>
      <c r="HYJ2315" s="82"/>
      <c r="HYK2315" s="82"/>
      <c r="HYL2315" s="82"/>
      <c r="HYM2315" s="82"/>
      <c r="HYN2315" s="82"/>
      <c r="HYO2315" s="82"/>
      <c r="HYP2315" s="82"/>
      <c r="HYQ2315" s="82"/>
      <c r="HYR2315" s="82"/>
      <c r="HYS2315" s="82"/>
      <c r="HYT2315" s="82"/>
      <c r="HYU2315" s="82"/>
      <c r="HYV2315" s="82"/>
      <c r="HYW2315" s="82"/>
      <c r="HYX2315" s="82"/>
      <c r="HYY2315" s="82"/>
      <c r="HYZ2315" s="82"/>
      <c r="HZA2315" s="82"/>
      <c r="HZB2315" s="82"/>
      <c r="HZC2315" s="82"/>
      <c r="HZD2315" s="82"/>
      <c r="HZE2315" s="82"/>
      <c r="HZF2315" s="82"/>
      <c r="HZG2315" s="82"/>
      <c r="HZH2315" s="82"/>
      <c r="HZI2315" s="82"/>
      <c r="HZJ2315" s="82"/>
      <c r="HZK2315" s="82"/>
      <c r="HZL2315" s="82"/>
      <c r="HZM2315" s="82"/>
      <c r="HZN2315" s="82"/>
      <c r="HZO2315" s="82"/>
      <c r="HZP2315" s="82"/>
      <c r="HZQ2315" s="82"/>
      <c r="HZR2315" s="82"/>
      <c r="HZS2315" s="82"/>
      <c r="HZT2315" s="82"/>
      <c r="HZU2315" s="82"/>
      <c r="HZV2315" s="82"/>
      <c r="HZW2315" s="82"/>
      <c r="HZX2315" s="82"/>
      <c r="HZY2315" s="82"/>
      <c r="HZZ2315" s="82"/>
      <c r="IAA2315" s="82"/>
      <c r="IAB2315" s="82"/>
      <c r="IAC2315" s="82"/>
      <c r="IAD2315" s="82"/>
      <c r="IAE2315" s="82"/>
      <c r="IAF2315" s="82"/>
      <c r="IAG2315" s="82"/>
      <c r="IAH2315" s="82"/>
      <c r="IAI2315" s="82"/>
      <c r="IAJ2315" s="82"/>
      <c r="IAK2315" s="82"/>
      <c r="IAL2315" s="82"/>
      <c r="IAM2315" s="82"/>
      <c r="IAN2315" s="82"/>
      <c r="IAO2315" s="82"/>
      <c r="IAP2315" s="82"/>
      <c r="IAQ2315" s="82"/>
      <c r="IAR2315" s="82"/>
      <c r="IAS2315" s="82"/>
      <c r="IAT2315" s="82"/>
      <c r="IAU2315" s="82"/>
      <c r="IAV2315" s="82"/>
      <c r="IAW2315" s="82"/>
      <c r="IAX2315" s="82"/>
      <c r="IAY2315" s="82"/>
      <c r="IAZ2315" s="82"/>
      <c r="IBA2315" s="82"/>
      <c r="IBB2315" s="82"/>
      <c r="IBC2315" s="82"/>
      <c r="IBD2315" s="82"/>
      <c r="IBE2315" s="82"/>
      <c r="IBF2315" s="82"/>
      <c r="IBG2315" s="82"/>
      <c r="IBH2315" s="82"/>
      <c r="IBI2315" s="82"/>
      <c r="IBJ2315" s="82"/>
      <c r="IBK2315" s="82"/>
      <c r="IBL2315" s="82"/>
      <c r="IBM2315" s="82"/>
      <c r="IBN2315" s="82"/>
      <c r="IBO2315" s="82"/>
      <c r="IBP2315" s="82"/>
      <c r="IBQ2315" s="82"/>
      <c r="IBR2315" s="82"/>
      <c r="IBS2315" s="82"/>
      <c r="IBT2315" s="82"/>
      <c r="IBU2315" s="82"/>
      <c r="IBV2315" s="82"/>
      <c r="IBW2315" s="82"/>
      <c r="IBX2315" s="82"/>
      <c r="IBY2315" s="82"/>
      <c r="IBZ2315" s="82"/>
      <c r="ICA2315" s="82"/>
      <c r="ICB2315" s="82"/>
      <c r="ICC2315" s="82"/>
      <c r="ICD2315" s="82"/>
      <c r="ICE2315" s="82"/>
      <c r="ICF2315" s="82"/>
      <c r="ICG2315" s="82"/>
      <c r="ICH2315" s="82"/>
      <c r="ICI2315" s="82"/>
      <c r="ICJ2315" s="82"/>
      <c r="ICK2315" s="82"/>
      <c r="ICL2315" s="82"/>
      <c r="ICM2315" s="82"/>
      <c r="ICN2315" s="82"/>
      <c r="ICO2315" s="82"/>
      <c r="ICP2315" s="82"/>
      <c r="ICQ2315" s="82"/>
      <c r="ICR2315" s="82"/>
      <c r="ICS2315" s="82"/>
      <c r="ICT2315" s="82"/>
      <c r="ICU2315" s="82"/>
      <c r="ICV2315" s="82"/>
      <c r="ICW2315" s="82"/>
      <c r="ICX2315" s="82"/>
      <c r="ICY2315" s="82"/>
      <c r="ICZ2315" s="82"/>
      <c r="IDA2315" s="82"/>
      <c r="IDB2315" s="82"/>
      <c r="IDC2315" s="82"/>
      <c r="IDD2315" s="82"/>
      <c r="IDE2315" s="82"/>
      <c r="IDF2315" s="82"/>
      <c r="IDG2315" s="82"/>
      <c r="IDH2315" s="82"/>
      <c r="IDI2315" s="82"/>
      <c r="IDJ2315" s="82"/>
      <c r="IDK2315" s="82"/>
      <c r="IDL2315" s="82"/>
      <c r="IDM2315" s="82"/>
      <c r="IDN2315" s="82"/>
      <c r="IDO2315" s="82"/>
      <c r="IDP2315" s="82"/>
      <c r="IDQ2315" s="82"/>
      <c r="IDR2315" s="82"/>
      <c r="IDS2315" s="82"/>
      <c r="IDT2315" s="82"/>
      <c r="IDU2315" s="82"/>
      <c r="IDV2315" s="82"/>
      <c r="IDW2315" s="82"/>
      <c r="IDX2315" s="82"/>
      <c r="IDY2315" s="82"/>
      <c r="IDZ2315" s="82"/>
      <c r="IEA2315" s="82"/>
      <c r="IEB2315" s="82"/>
      <c r="IEC2315" s="82"/>
      <c r="IED2315" s="82"/>
      <c r="IEE2315" s="82"/>
      <c r="IEF2315" s="82"/>
      <c r="IEG2315" s="82"/>
      <c r="IEH2315" s="82"/>
      <c r="IEI2315" s="82"/>
      <c r="IEJ2315" s="82"/>
      <c r="IEK2315" s="82"/>
      <c r="IEL2315" s="82"/>
      <c r="IEM2315" s="82"/>
      <c r="IEN2315" s="82"/>
      <c r="IEO2315" s="82"/>
      <c r="IEP2315" s="82"/>
      <c r="IEQ2315" s="82"/>
      <c r="IER2315" s="82"/>
      <c r="IES2315" s="82"/>
      <c r="IET2315" s="82"/>
      <c r="IEU2315" s="82"/>
      <c r="IEV2315" s="82"/>
      <c r="IEW2315" s="82"/>
      <c r="IEX2315" s="82"/>
      <c r="IEY2315" s="82"/>
      <c r="IEZ2315" s="82"/>
      <c r="IFA2315" s="82"/>
      <c r="IFB2315" s="82"/>
      <c r="IFC2315" s="82"/>
      <c r="IFD2315" s="82"/>
      <c r="IFE2315" s="82"/>
      <c r="IFF2315" s="82"/>
      <c r="IFG2315" s="82"/>
      <c r="IFH2315" s="82"/>
      <c r="IFI2315" s="82"/>
      <c r="IFJ2315" s="82"/>
      <c r="IFK2315" s="82"/>
      <c r="IFL2315" s="82"/>
      <c r="IFM2315" s="82"/>
      <c r="IFN2315" s="82"/>
      <c r="IFO2315" s="82"/>
      <c r="IFP2315" s="82"/>
      <c r="IFQ2315" s="82"/>
      <c r="IFR2315" s="82"/>
      <c r="IFS2315" s="82"/>
      <c r="IFT2315" s="82"/>
      <c r="IFU2315" s="82"/>
      <c r="IFV2315" s="82"/>
      <c r="IFW2315" s="82"/>
      <c r="IFX2315" s="82"/>
      <c r="IFY2315" s="82"/>
      <c r="IFZ2315" s="82"/>
      <c r="IGA2315" s="82"/>
      <c r="IGB2315" s="82"/>
      <c r="IGC2315" s="82"/>
      <c r="IGD2315" s="82"/>
      <c r="IGE2315" s="82"/>
      <c r="IGF2315" s="82"/>
      <c r="IGG2315" s="82"/>
      <c r="IGH2315" s="82"/>
      <c r="IGI2315" s="82"/>
      <c r="IGJ2315" s="82"/>
      <c r="IGK2315" s="82"/>
      <c r="IGL2315" s="82"/>
      <c r="IGM2315" s="82"/>
      <c r="IGN2315" s="82"/>
      <c r="IGO2315" s="82"/>
      <c r="IGP2315" s="82"/>
      <c r="IGQ2315" s="82"/>
      <c r="IGR2315" s="82"/>
      <c r="IGS2315" s="82"/>
      <c r="IGT2315" s="82"/>
      <c r="IGU2315" s="82"/>
      <c r="IGV2315" s="82"/>
      <c r="IGW2315" s="82"/>
      <c r="IGX2315" s="82"/>
      <c r="IGY2315" s="82"/>
      <c r="IGZ2315" s="82"/>
      <c r="IHA2315" s="82"/>
      <c r="IHB2315" s="82"/>
      <c r="IHC2315" s="82"/>
      <c r="IHD2315" s="82"/>
      <c r="IHE2315" s="82"/>
      <c r="IHF2315" s="82"/>
      <c r="IHG2315" s="82"/>
      <c r="IHH2315" s="82"/>
      <c r="IHI2315" s="82"/>
      <c r="IHJ2315" s="82"/>
      <c r="IHK2315" s="82"/>
      <c r="IHL2315" s="82"/>
      <c r="IHM2315" s="82"/>
      <c r="IHN2315" s="82"/>
      <c r="IHO2315" s="82"/>
      <c r="IHP2315" s="82"/>
      <c r="IHQ2315" s="82"/>
      <c r="IHR2315" s="82"/>
      <c r="IHS2315" s="82"/>
      <c r="IHT2315" s="82"/>
      <c r="IHU2315" s="82"/>
      <c r="IHV2315" s="82"/>
      <c r="IHW2315" s="82"/>
      <c r="IHX2315" s="82"/>
      <c r="IHY2315" s="82"/>
      <c r="IHZ2315" s="82"/>
      <c r="IIA2315" s="82"/>
      <c r="IIB2315" s="82"/>
      <c r="IIC2315" s="82"/>
      <c r="IID2315" s="82"/>
      <c r="IIE2315" s="82"/>
      <c r="IIF2315" s="82"/>
      <c r="IIG2315" s="82"/>
      <c r="IIH2315" s="82"/>
      <c r="III2315" s="82"/>
      <c r="IIJ2315" s="82"/>
      <c r="IIK2315" s="82"/>
      <c r="IIL2315" s="82"/>
      <c r="IIM2315" s="82"/>
      <c r="IIN2315" s="82"/>
      <c r="IIO2315" s="82"/>
      <c r="IIP2315" s="82"/>
      <c r="IIQ2315" s="82"/>
      <c r="IIR2315" s="82"/>
      <c r="IIS2315" s="82"/>
      <c r="IIT2315" s="82"/>
      <c r="IIU2315" s="82"/>
      <c r="IIV2315" s="82"/>
      <c r="IIW2315" s="82"/>
      <c r="IIX2315" s="82"/>
      <c r="IIY2315" s="82"/>
      <c r="IIZ2315" s="82"/>
      <c r="IJA2315" s="82"/>
      <c r="IJB2315" s="82"/>
      <c r="IJC2315" s="82"/>
      <c r="IJD2315" s="82"/>
      <c r="IJE2315" s="82"/>
      <c r="IJF2315" s="82"/>
      <c r="IJG2315" s="82"/>
      <c r="IJH2315" s="82"/>
      <c r="IJI2315" s="82"/>
      <c r="IJJ2315" s="82"/>
      <c r="IJK2315" s="82"/>
      <c r="IJL2315" s="82"/>
      <c r="IJM2315" s="82"/>
      <c r="IJN2315" s="82"/>
      <c r="IJO2315" s="82"/>
      <c r="IJP2315" s="82"/>
      <c r="IJQ2315" s="82"/>
      <c r="IJR2315" s="82"/>
      <c r="IJS2315" s="82"/>
      <c r="IJT2315" s="82"/>
      <c r="IJU2315" s="82"/>
      <c r="IJV2315" s="82"/>
      <c r="IJW2315" s="82"/>
      <c r="IJX2315" s="82"/>
      <c r="IJY2315" s="82"/>
      <c r="IJZ2315" s="82"/>
      <c r="IKA2315" s="82"/>
      <c r="IKB2315" s="82"/>
      <c r="IKC2315" s="82"/>
      <c r="IKD2315" s="82"/>
      <c r="IKE2315" s="82"/>
      <c r="IKF2315" s="82"/>
      <c r="IKG2315" s="82"/>
      <c r="IKH2315" s="82"/>
      <c r="IKI2315" s="82"/>
      <c r="IKJ2315" s="82"/>
      <c r="IKK2315" s="82"/>
      <c r="IKL2315" s="82"/>
      <c r="IKM2315" s="82"/>
      <c r="IKN2315" s="82"/>
      <c r="IKO2315" s="82"/>
      <c r="IKP2315" s="82"/>
      <c r="IKQ2315" s="82"/>
      <c r="IKR2315" s="82"/>
      <c r="IKS2315" s="82"/>
      <c r="IKT2315" s="82"/>
      <c r="IKU2315" s="82"/>
      <c r="IKV2315" s="82"/>
      <c r="IKW2315" s="82"/>
      <c r="IKX2315" s="82"/>
      <c r="IKY2315" s="82"/>
      <c r="IKZ2315" s="82"/>
      <c r="ILA2315" s="82"/>
      <c r="ILB2315" s="82"/>
      <c r="ILC2315" s="82"/>
      <c r="ILD2315" s="82"/>
      <c r="ILE2315" s="82"/>
      <c r="ILF2315" s="82"/>
      <c r="ILG2315" s="82"/>
      <c r="ILH2315" s="82"/>
      <c r="ILI2315" s="82"/>
      <c r="ILJ2315" s="82"/>
      <c r="ILK2315" s="82"/>
      <c r="ILL2315" s="82"/>
      <c r="ILM2315" s="82"/>
      <c r="ILN2315" s="82"/>
      <c r="ILO2315" s="82"/>
      <c r="ILP2315" s="82"/>
      <c r="ILQ2315" s="82"/>
      <c r="ILR2315" s="82"/>
      <c r="ILS2315" s="82"/>
      <c r="ILT2315" s="82"/>
      <c r="ILU2315" s="82"/>
      <c r="ILV2315" s="82"/>
      <c r="ILW2315" s="82"/>
      <c r="ILX2315" s="82"/>
      <c r="ILY2315" s="82"/>
      <c r="ILZ2315" s="82"/>
      <c r="IMA2315" s="82"/>
      <c r="IMB2315" s="82"/>
      <c r="IMC2315" s="82"/>
      <c r="IMD2315" s="82"/>
      <c r="IME2315" s="82"/>
      <c r="IMF2315" s="82"/>
      <c r="IMG2315" s="82"/>
      <c r="IMH2315" s="82"/>
      <c r="IMI2315" s="82"/>
      <c r="IMJ2315" s="82"/>
      <c r="IMK2315" s="82"/>
      <c r="IML2315" s="82"/>
      <c r="IMM2315" s="82"/>
      <c r="IMN2315" s="82"/>
      <c r="IMO2315" s="82"/>
      <c r="IMP2315" s="82"/>
      <c r="IMQ2315" s="82"/>
      <c r="IMR2315" s="82"/>
      <c r="IMS2315" s="82"/>
      <c r="IMT2315" s="82"/>
      <c r="IMU2315" s="82"/>
      <c r="IMV2315" s="82"/>
      <c r="IMW2315" s="82"/>
      <c r="IMX2315" s="82"/>
      <c r="IMY2315" s="82"/>
      <c r="IMZ2315" s="82"/>
      <c r="INA2315" s="82"/>
      <c r="INB2315" s="82"/>
      <c r="INC2315" s="82"/>
      <c r="IND2315" s="82"/>
      <c r="INE2315" s="82"/>
      <c r="INF2315" s="82"/>
      <c r="ING2315" s="82"/>
      <c r="INH2315" s="82"/>
      <c r="INI2315" s="82"/>
      <c r="INJ2315" s="82"/>
      <c r="INK2315" s="82"/>
      <c r="INL2315" s="82"/>
      <c r="INM2315" s="82"/>
      <c r="INN2315" s="82"/>
      <c r="INO2315" s="82"/>
      <c r="INP2315" s="82"/>
      <c r="INQ2315" s="82"/>
      <c r="INR2315" s="82"/>
      <c r="INS2315" s="82"/>
      <c r="INT2315" s="82"/>
      <c r="INU2315" s="82"/>
      <c r="INV2315" s="82"/>
      <c r="INW2315" s="82"/>
      <c r="INX2315" s="82"/>
      <c r="INY2315" s="82"/>
      <c r="INZ2315" s="82"/>
      <c r="IOA2315" s="82"/>
      <c r="IOB2315" s="82"/>
      <c r="IOC2315" s="82"/>
      <c r="IOD2315" s="82"/>
      <c r="IOE2315" s="82"/>
      <c r="IOF2315" s="82"/>
      <c r="IOG2315" s="82"/>
      <c r="IOH2315" s="82"/>
      <c r="IOI2315" s="82"/>
      <c r="IOJ2315" s="82"/>
      <c r="IOK2315" s="82"/>
      <c r="IOL2315" s="82"/>
      <c r="IOM2315" s="82"/>
      <c r="ION2315" s="82"/>
      <c r="IOO2315" s="82"/>
      <c r="IOP2315" s="82"/>
      <c r="IOQ2315" s="82"/>
      <c r="IOR2315" s="82"/>
      <c r="IOS2315" s="82"/>
      <c r="IOT2315" s="82"/>
      <c r="IOU2315" s="82"/>
      <c r="IOV2315" s="82"/>
      <c r="IOW2315" s="82"/>
      <c r="IOX2315" s="82"/>
      <c r="IOY2315" s="82"/>
      <c r="IOZ2315" s="82"/>
      <c r="IPA2315" s="82"/>
      <c r="IPB2315" s="82"/>
      <c r="IPC2315" s="82"/>
      <c r="IPD2315" s="82"/>
      <c r="IPE2315" s="82"/>
      <c r="IPF2315" s="82"/>
      <c r="IPG2315" s="82"/>
      <c r="IPH2315" s="82"/>
      <c r="IPI2315" s="82"/>
      <c r="IPJ2315" s="82"/>
      <c r="IPK2315" s="82"/>
      <c r="IPL2315" s="82"/>
      <c r="IPM2315" s="82"/>
      <c r="IPN2315" s="82"/>
      <c r="IPO2315" s="82"/>
      <c r="IPP2315" s="82"/>
      <c r="IPQ2315" s="82"/>
      <c r="IPR2315" s="82"/>
      <c r="IPS2315" s="82"/>
      <c r="IPT2315" s="82"/>
      <c r="IPU2315" s="82"/>
      <c r="IPV2315" s="82"/>
      <c r="IPW2315" s="82"/>
      <c r="IPX2315" s="82"/>
      <c r="IPY2315" s="82"/>
      <c r="IPZ2315" s="82"/>
      <c r="IQA2315" s="82"/>
      <c r="IQB2315" s="82"/>
      <c r="IQC2315" s="82"/>
      <c r="IQD2315" s="82"/>
      <c r="IQE2315" s="82"/>
      <c r="IQF2315" s="82"/>
      <c r="IQG2315" s="82"/>
      <c r="IQH2315" s="82"/>
      <c r="IQI2315" s="82"/>
      <c r="IQJ2315" s="82"/>
      <c r="IQK2315" s="82"/>
      <c r="IQL2315" s="82"/>
      <c r="IQM2315" s="82"/>
      <c r="IQN2315" s="82"/>
      <c r="IQO2315" s="82"/>
      <c r="IQP2315" s="82"/>
      <c r="IQQ2315" s="82"/>
      <c r="IQR2315" s="82"/>
      <c r="IQS2315" s="82"/>
      <c r="IQT2315" s="82"/>
      <c r="IQU2315" s="82"/>
      <c r="IQV2315" s="82"/>
      <c r="IQW2315" s="82"/>
      <c r="IQX2315" s="82"/>
      <c r="IQY2315" s="82"/>
      <c r="IQZ2315" s="82"/>
      <c r="IRA2315" s="82"/>
      <c r="IRB2315" s="82"/>
      <c r="IRC2315" s="82"/>
      <c r="IRD2315" s="82"/>
      <c r="IRE2315" s="82"/>
      <c r="IRF2315" s="82"/>
      <c r="IRG2315" s="82"/>
      <c r="IRH2315" s="82"/>
      <c r="IRI2315" s="82"/>
      <c r="IRJ2315" s="82"/>
      <c r="IRK2315" s="82"/>
      <c r="IRL2315" s="82"/>
      <c r="IRM2315" s="82"/>
      <c r="IRN2315" s="82"/>
      <c r="IRO2315" s="82"/>
      <c r="IRP2315" s="82"/>
      <c r="IRQ2315" s="82"/>
      <c r="IRR2315" s="82"/>
      <c r="IRS2315" s="82"/>
      <c r="IRT2315" s="82"/>
      <c r="IRU2315" s="82"/>
      <c r="IRV2315" s="82"/>
      <c r="IRW2315" s="82"/>
      <c r="IRX2315" s="82"/>
      <c r="IRY2315" s="82"/>
      <c r="IRZ2315" s="82"/>
      <c r="ISA2315" s="82"/>
      <c r="ISB2315" s="82"/>
      <c r="ISC2315" s="82"/>
      <c r="ISD2315" s="82"/>
      <c r="ISE2315" s="82"/>
      <c r="ISF2315" s="82"/>
      <c r="ISG2315" s="82"/>
      <c r="ISH2315" s="82"/>
      <c r="ISI2315" s="82"/>
      <c r="ISJ2315" s="82"/>
      <c r="ISK2315" s="82"/>
      <c r="ISL2315" s="82"/>
      <c r="ISM2315" s="82"/>
      <c r="ISN2315" s="82"/>
      <c r="ISO2315" s="82"/>
      <c r="ISP2315" s="82"/>
      <c r="ISQ2315" s="82"/>
      <c r="ISR2315" s="82"/>
      <c r="ISS2315" s="82"/>
      <c r="IST2315" s="82"/>
      <c r="ISU2315" s="82"/>
      <c r="ISV2315" s="82"/>
      <c r="ISW2315" s="82"/>
      <c r="ISX2315" s="82"/>
      <c r="ISY2315" s="82"/>
      <c r="ISZ2315" s="82"/>
      <c r="ITA2315" s="82"/>
      <c r="ITB2315" s="82"/>
      <c r="ITC2315" s="82"/>
      <c r="ITD2315" s="82"/>
      <c r="ITE2315" s="82"/>
      <c r="ITF2315" s="82"/>
      <c r="ITG2315" s="82"/>
      <c r="ITH2315" s="82"/>
      <c r="ITI2315" s="82"/>
      <c r="ITJ2315" s="82"/>
      <c r="ITK2315" s="82"/>
      <c r="ITL2315" s="82"/>
      <c r="ITM2315" s="82"/>
      <c r="ITN2315" s="82"/>
      <c r="ITO2315" s="82"/>
      <c r="ITP2315" s="82"/>
      <c r="ITQ2315" s="82"/>
      <c r="ITR2315" s="82"/>
      <c r="ITS2315" s="82"/>
      <c r="ITT2315" s="82"/>
      <c r="ITU2315" s="82"/>
      <c r="ITV2315" s="82"/>
      <c r="ITW2315" s="82"/>
      <c r="ITX2315" s="82"/>
      <c r="ITY2315" s="82"/>
      <c r="ITZ2315" s="82"/>
      <c r="IUA2315" s="82"/>
      <c r="IUB2315" s="82"/>
      <c r="IUC2315" s="82"/>
      <c r="IUD2315" s="82"/>
      <c r="IUE2315" s="82"/>
      <c r="IUF2315" s="82"/>
      <c r="IUG2315" s="82"/>
      <c r="IUH2315" s="82"/>
      <c r="IUI2315" s="82"/>
      <c r="IUJ2315" s="82"/>
      <c r="IUK2315" s="82"/>
      <c r="IUL2315" s="82"/>
      <c r="IUM2315" s="82"/>
      <c r="IUN2315" s="82"/>
      <c r="IUO2315" s="82"/>
      <c r="IUP2315" s="82"/>
      <c r="IUQ2315" s="82"/>
      <c r="IUR2315" s="82"/>
      <c r="IUS2315" s="82"/>
      <c r="IUT2315" s="82"/>
      <c r="IUU2315" s="82"/>
      <c r="IUV2315" s="82"/>
      <c r="IUW2315" s="82"/>
      <c r="IUX2315" s="82"/>
      <c r="IUY2315" s="82"/>
      <c r="IUZ2315" s="82"/>
      <c r="IVA2315" s="82"/>
      <c r="IVB2315" s="82"/>
      <c r="IVC2315" s="82"/>
      <c r="IVD2315" s="82"/>
      <c r="IVE2315" s="82"/>
      <c r="IVF2315" s="82"/>
      <c r="IVG2315" s="82"/>
      <c r="IVH2315" s="82"/>
      <c r="IVI2315" s="82"/>
      <c r="IVJ2315" s="82"/>
      <c r="IVK2315" s="82"/>
      <c r="IVL2315" s="82"/>
      <c r="IVM2315" s="82"/>
      <c r="IVN2315" s="82"/>
      <c r="IVO2315" s="82"/>
      <c r="IVP2315" s="82"/>
      <c r="IVQ2315" s="82"/>
      <c r="IVR2315" s="82"/>
      <c r="IVS2315" s="82"/>
      <c r="IVT2315" s="82"/>
      <c r="IVU2315" s="82"/>
      <c r="IVV2315" s="82"/>
      <c r="IVW2315" s="82"/>
      <c r="IVX2315" s="82"/>
      <c r="IVY2315" s="82"/>
      <c r="IVZ2315" s="82"/>
      <c r="IWA2315" s="82"/>
      <c r="IWB2315" s="82"/>
      <c r="IWC2315" s="82"/>
      <c r="IWD2315" s="82"/>
      <c r="IWE2315" s="82"/>
      <c r="IWF2315" s="82"/>
      <c r="IWG2315" s="82"/>
      <c r="IWH2315" s="82"/>
      <c r="IWI2315" s="82"/>
      <c r="IWJ2315" s="82"/>
      <c r="IWK2315" s="82"/>
      <c r="IWL2315" s="82"/>
      <c r="IWM2315" s="82"/>
      <c r="IWN2315" s="82"/>
      <c r="IWO2315" s="82"/>
      <c r="IWP2315" s="82"/>
      <c r="IWQ2315" s="82"/>
      <c r="IWR2315" s="82"/>
      <c r="IWS2315" s="82"/>
      <c r="IWT2315" s="82"/>
      <c r="IWU2315" s="82"/>
      <c r="IWV2315" s="82"/>
      <c r="IWW2315" s="82"/>
      <c r="IWX2315" s="82"/>
      <c r="IWY2315" s="82"/>
      <c r="IWZ2315" s="82"/>
      <c r="IXA2315" s="82"/>
      <c r="IXB2315" s="82"/>
      <c r="IXC2315" s="82"/>
      <c r="IXD2315" s="82"/>
      <c r="IXE2315" s="82"/>
      <c r="IXF2315" s="82"/>
      <c r="IXG2315" s="82"/>
      <c r="IXH2315" s="82"/>
      <c r="IXI2315" s="82"/>
      <c r="IXJ2315" s="82"/>
      <c r="IXK2315" s="82"/>
      <c r="IXL2315" s="82"/>
      <c r="IXM2315" s="82"/>
      <c r="IXN2315" s="82"/>
      <c r="IXO2315" s="82"/>
      <c r="IXP2315" s="82"/>
      <c r="IXQ2315" s="82"/>
      <c r="IXR2315" s="82"/>
      <c r="IXS2315" s="82"/>
      <c r="IXT2315" s="82"/>
      <c r="IXU2315" s="82"/>
      <c r="IXV2315" s="82"/>
      <c r="IXW2315" s="82"/>
      <c r="IXX2315" s="82"/>
      <c r="IXY2315" s="82"/>
      <c r="IXZ2315" s="82"/>
      <c r="IYA2315" s="82"/>
      <c r="IYB2315" s="82"/>
      <c r="IYC2315" s="82"/>
      <c r="IYD2315" s="82"/>
      <c r="IYE2315" s="82"/>
      <c r="IYF2315" s="82"/>
      <c r="IYG2315" s="82"/>
      <c r="IYH2315" s="82"/>
      <c r="IYI2315" s="82"/>
      <c r="IYJ2315" s="82"/>
      <c r="IYK2315" s="82"/>
      <c r="IYL2315" s="82"/>
      <c r="IYM2315" s="82"/>
      <c r="IYN2315" s="82"/>
      <c r="IYO2315" s="82"/>
      <c r="IYP2315" s="82"/>
      <c r="IYQ2315" s="82"/>
      <c r="IYR2315" s="82"/>
      <c r="IYS2315" s="82"/>
      <c r="IYT2315" s="82"/>
      <c r="IYU2315" s="82"/>
      <c r="IYV2315" s="82"/>
      <c r="IYW2315" s="82"/>
      <c r="IYX2315" s="82"/>
      <c r="IYY2315" s="82"/>
      <c r="IYZ2315" s="82"/>
      <c r="IZA2315" s="82"/>
      <c r="IZB2315" s="82"/>
      <c r="IZC2315" s="82"/>
      <c r="IZD2315" s="82"/>
      <c r="IZE2315" s="82"/>
      <c r="IZF2315" s="82"/>
      <c r="IZG2315" s="82"/>
      <c r="IZH2315" s="82"/>
      <c r="IZI2315" s="82"/>
      <c r="IZJ2315" s="82"/>
      <c r="IZK2315" s="82"/>
      <c r="IZL2315" s="82"/>
      <c r="IZM2315" s="82"/>
      <c r="IZN2315" s="82"/>
      <c r="IZO2315" s="82"/>
      <c r="IZP2315" s="82"/>
      <c r="IZQ2315" s="82"/>
      <c r="IZR2315" s="82"/>
      <c r="IZS2315" s="82"/>
      <c r="IZT2315" s="82"/>
      <c r="IZU2315" s="82"/>
      <c r="IZV2315" s="82"/>
      <c r="IZW2315" s="82"/>
      <c r="IZX2315" s="82"/>
      <c r="IZY2315" s="82"/>
      <c r="IZZ2315" s="82"/>
      <c r="JAA2315" s="82"/>
      <c r="JAB2315" s="82"/>
      <c r="JAC2315" s="82"/>
      <c r="JAD2315" s="82"/>
      <c r="JAE2315" s="82"/>
      <c r="JAF2315" s="82"/>
      <c r="JAG2315" s="82"/>
      <c r="JAH2315" s="82"/>
      <c r="JAI2315" s="82"/>
      <c r="JAJ2315" s="82"/>
      <c r="JAK2315" s="82"/>
      <c r="JAL2315" s="82"/>
      <c r="JAM2315" s="82"/>
      <c r="JAN2315" s="82"/>
      <c r="JAO2315" s="82"/>
      <c r="JAP2315" s="82"/>
      <c r="JAQ2315" s="82"/>
      <c r="JAR2315" s="82"/>
      <c r="JAS2315" s="82"/>
      <c r="JAT2315" s="82"/>
      <c r="JAU2315" s="82"/>
      <c r="JAV2315" s="82"/>
      <c r="JAW2315" s="82"/>
      <c r="JAX2315" s="82"/>
      <c r="JAY2315" s="82"/>
      <c r="JAZ2315" s="82"/>
      <c r="JBA2315" s="82"/>
      <c r="JBB2315" s="82"/>
      <c r="JBC2315" s="82"/>
      <c r="JBD2315" s="82"/>
      <c r="JBE2315" s="82"/>
      <c r="JBF2315" s="82"/>
      <c r="JBG2315" s="82"/>
      <c r="JBH2315" s="82"/>
      <c r="JBI2315" s="82"/>
      <c r="JBJ2315" s="82"/>
      <c r="JBK2315" s="82"/>
      <c r="JBL2315" s="82"/>
      <c r="JBM2315" s="82"/>
      <c r="JBN2315" s="82"/>
      <c r="JBO2315" s="82"/>
      <c r="JBP2315" s="82"/>
      <c r="JBQ2315" s="82"/>
      <c r="JBR2315" s="82"/>
      <c r="JBS2315" s="82"/>
      <c r="JBT2315" s="82"/>
      <c r="JBU2315" s="82"/>
      <c r="JBV2315" s="82"/>
      <c r="JBW2315" s="82"/>
      <c r="JBX2315" s="82"/>
      <c r="JBY2315" s="82"/>
      <c r="JBZ2315" s="82"/>
      <c r="JCA2315" s="82"/>
      <c r="JCB2315" s="82"/>
      <c r="JCC2315" s="82"/>
      <c r="JCD2315" s="82"/>
      <c r="JCE2315" s="82"/>
      <c r="JCF2315" s="82"/>
      <c r="JCG2315" s="82"/>
      <c r="JCH2315" s="82"/>
      <c r="JCI2315" s="82"/>
      <c r="JCJ2315" s="82"/>
      <c r="JCK2315" s="82"/>
      <c r="JCL2315" s="82"/>
      <c r="JCM2315" s="82"/>
      <c r="JCN2315" s="82"/>
      <c r="JCO2315" s="82"/>
      <c r="JCP2315" s="82"/>
      <c r="JCQ2315" s="82"/>
      <c r="JCR2315" s="82"/>
      <c r="JCS2315" s="82"/>
      <c r="JCT2315" s="82"/>
      <c r="JCU2315" s="82"/>
      <c r="JCV2315" s="82"/>
      <c r="JCW2315" s="82"/>
      <c r="JCX2315" s="82"/>
      <c r="JCY2315" s="82"/>
      <c r="JCZ2315" s="82"/>
      <c r="JDA2315" s="82"/>
      <c r="JDB2315" s="82"/>
      <c r="JDC2315" s="82"/>
      <c r="JDD2315" s="82"/>
      <c r="JDE2315" s="82"/>
      <c r="JDF2315" s="82"/>
      <c r="JDG2315" s="82"/>
      <c r="JDH2315" s="82"/>
      <c r="JDI2315" s="82"/>
      <c r="JDJ2315" s="82"/>
      <c r="JDK2315" s="82"/>
      <c r="JDL2315" s="82"/>
      <c r="JDM2315" s="82"/>
      <c r="JDN2315" s="82"/>
      <c r="JDO2315" s="82"/>
      <c r="JDP2315" s="82"/>
      <c r="JDQ2315" s="82"/>
      <c r="JDR2315" s="82"/>
      <c r="JDS2315" s="82"/>
      <c r="JDT2315" s="82"/>
      <c r="JDU2315" s="82"/>
      <c r="JDV2315" s="82"/>
      <c r="JDW2315" s="82"/>
      <c r="JDX2315" s="82"/>
      <c r="JDY2315" s="82"/>
      <c r="JDZ2315" s="82"/>
      <c r="JEA2315" s="82"/>
      <c r="JEB2315" s="82"/>
      <c r="JEC2315" s="82"/>
      <c r="JED2315" s="82"/>
      <c r="JEE2315" s="82"/>
      <c r="JEF2315" s="82"/>
      <c r="JEG2315" s="82"/>
      <c r="JEH2315" s="82"/>
      <c r="JEI2315" s="82"/>
      <c r="JEJ2315" s="82"/>
      <c r="JEK2315" s="82"/>
      <c r="JEL2315" s="82"/>
      <c r="JEM2315" s="82"/>
      <c r="JEN2315" s="82"/>
      <c r="JEO2315" s="82"/>
      <c r="JEP2315" s="82"/>
      <c r="JEQ2315" s="82"/>
      <c r="JER2315" s="82"/>
      <c r="JES2315" s="82"/>
      <c r="JET2315" s="82"/>
      <c r="JEU2315" s="82"/>
      <c r="JEV2315" s="82"/>
      <c r="JEW2315" s="82"/>
      <c r="JEX2315" s="82"/>
      <c r="JEY2315" s="82"/>
      <c r="JEZ2315" s="82"/>
      <c r="JFA2315" s="82"/>
      <c r="JFB2315" s="82"/>
      <c r="JFC2315" s="82"/>
      <c r="JFD2315" s="82"/>
      <c r="JFE2315" s="82"/>
      <c r="JFF2315" s="82"/>
      <c r="JFG2315" s="82"/>
      <c r="JFH2315" s="82"/>
      <c r="JFI2315" s="82"/>
      <c r="JFJ2315" s="82"/>
      <c r="JFK2315" s="82"/>
      <c r="JFL2315" s="82"/>
      <c r="JFM2315" s="82"/>
      <c r="JFN2315" s="82"/>
      <c r="JFO2315" s="82"/>
      <c r="JFP2315" s="82"/>
      <c r="JFQ2315" s="82"/>
      <c r="JFR2315" s="82"/>
      <c r="JFS2315" s="82"/>
      <c r="JFT2315" s="82"/>
      <c r="JFU2315" s="82"/>
      <c r="JFV2315" s="82"/>
      <c r="JFW2315" s="82"/>
      <c r="JFX2315" s="82"/>
      <c r="JFY2315" s="82"/>
      <c r="JFZ2315" s="82"/>
      <c r="JGA2315" s="82"/>
      <c r="JGB2315" s="82"/>
      <c r="JGC2315" s="82"/>
      <c r="JGD2315" s="82"/>
      <c r="JGE2315" s="82"/>
      <c r="JGF2315" s="82"/>
      <c r="JGG2315" s="82"/>
      <c r="JGH2315" s="82"/>
      <c r="JGI2315" s="82"/>
      <c r="JGJ2315" s="82"/>
      <c r="JGK2315" s="82"/>
      <c r="JGL2315" s="82"/>
      <c r="JGM2315" s="82"/>
      <c r="JGN2315" s="82"/>
      <c r="JGO2315" s="82"/>
      <c r="JGP2315" s="82"/>
      <c r="JGQ2315" s="82"/>
      <c r="JGR2315" s="82"/>
      <c r="JGS2315" s="82"/>
      <c r="JGT2315" s="82"/>
      <c r="JGU2315" s="82"/>
      <c r="JGV2315" s="82"/>
      <c r="JGW2315" s="82"/>
      <c r="JGX2315" s="82"/>
      <c r="JGY2315" s="82"/>
      <c r="JGZ2315" s="82"/>
      <c r="JHA2315" s="82"/>
      <c r="JHB2315" s="82"/>
      <c r="JHC2315" s="82"/>
      <c r="JHD2315" s="82"/>
      <c r="JHE2315" s="82"/>
      <c r="JHF2315" s="82"/>
      <c r="JHG2315" s="82"/>
      <c r="JHH2315" s="82"/>
      <c r="JHI2315" s="82"/>
      <c r="JHJ2315" s="82"/>
      <c r="JHK2315" s="82"/>
      <c r="JHL2315" s="82"/>
      <c r="JHM2315" s="82"/>
      <c r="JHN2315" s="82"/>
      <c r="JHO2315" s="82"/>
      <c r="JHP2315" s="82"/>
      <c r="JHQ2315" s="82"/>
      <c r="JHR2315" s="82"/>
      <c r="JHS2315" s="82"/>
      <c r="JHT2315" s="82"/>
      <c r="JHU2315" s="82"/>
      <c r="JHV2315" s="82"/>
      <c r="JHW2315" s="82"/>
      <c r="JHX2315" s="82"/>
      <c r="JHY2315" s="82"/>
      <c r="JHZ2315" s="82"/>
      <c r="JIA2315" s="82"/>
      <c r="JIB2315" s="82"/>
      <c r="JIC2315" s="82"/>
      <c r="JID2315" s="82"/>
      <c r="JIE2315" s="82"/>
      <c r="JIF2315" s="82"/>
      <c r="JIG2315" s="82"/>
      <c r="JIH2315" s="82"/>
      <c r="JII2315" s="82"/>
      <c r="JIJ2315" s="82"/>
      <c r="JIK2315" s="82"/>
      <c r="JIL2315" s="82"/>
      <c r="JIM2315" s="82"/>
      <c r="JIN2315" s="82"/>
      <c r="JIO2315" s="82"/>
      <c r="JIP2315" s="82"/>
      <c r="JIQ2315" s="82"/>
      <c r="JIR2315" s="82"/>
      <c r="JIS2315" s="82"/>
      <c r="JIT2315" s="82"/>
      <c r="JIU2315" s="82"/>
      <c r="JIV2315" s="82"/>
      <c r="JIW2315" s="82"/>
      <c r="JIX2315" s="82"/>
      <c r="JIY2315" s="82"/>
      <c r="JIZ2315" s="82"/>
      <c r="JJA2315" s="82"/>
      <c r="JJB2315" s="82"/>
      <c r="JJC2315" s="82"/>
      <c r="JJD2315" s="82"/>
      <c r="JJE2315" s="82"/>
      <c r="JJF2315" s="82"/>
      <c r="JJG2315" s="82"/>
      <c r="JJH2315" s="82"/>
      <c r="JJI2315" s="82"/>
      <c r="JJJ2315" s="82"/>
      <c r="JJK2315" s="82"/>
      <c r="JJL2315" s="82"/>
      <c r="JJM2315" s="82"/>
      <c r="JJN2315" s="82"/>
      <c r="JJO2315" s="82"/>
      <c r="JJP2315" s="82"/>
      <c r="JJQ2315" s="82"/>
      <c r="JJR2315" s="82"/>
      <c r="JJS2315" s="82"/>
      <c r="JJT2315" s="82"/>
      <c r="JJU2315" s="82"/>
      <c r="JJV2315" s="82"/>
      <c r="JJW2315" s="82"/>
      <c r="JJX2315" s="82"/>
      <c r="JJY2315" s="82"/>
      <c r="JJZ2315" s="82"/>
      <c r="JKA2315" s="82"/>
      <c r="JKB2315" s="82"/>
      <c r="JKC2315" s="82"/>
      <c r="JKD2315" s="82"/>
      <c r="JKE2315" s="82"/>
      <c r="JKF2315" s="82"/>
      <c r="JKG2315" s="82"/>
      <c r="JKH2315" s="82"/>
      <c r="JKI2315" s="82"/>
      <c r="JKJ2315" s="82"/>
      <c r="JKK2315" s="82"/>
      <c r="JKL2315" s="82"/>
      <c r="JKM2315" s="82"/>
      <c r="JKN2315" s="82"/>
      <c r="JKO2315" s="82"/>
      <c r="JKP2315" s="82"/>
      <c r="JKQ2315" s="82"/>
      <c r="JKR2315" s="82"/>
      <c r="JKS2315" s="82"/>
      <c r="JKT2315" s="82"/>
      <c r="JKU2315" s="82"/>
      <c r="JKV2315" s="82"/>
      <c r="JKW2315" s="82"/>
      <c r="JKX2315" s="82"/>
      <c r="JKY2315" s="82"/>
      <c r="JKZ2315" s="82"/>
      <c r="JLA2315" s="82"/>
      <c r="JLB2315" s="82"/>
      <c r="JLC2315" s="82"/>
      <c r="JLD2315" s="82"/>
      <c r="JLE2315" s="82"/>
      <c r="JLF2315" s="82"/>
      <c r="JLG2315" s="82"/>
      <c r="JLH2315" s="82"/>
      <c r="JLI2315" s="82"/>
      <c r="JLJ2315" s="82"/>
      <c r="JLK2315" s="82"/>
      <c r="JLL2315" s="82"/>
      <c r="JLM2315" s="82"/>
      <c r="JLN2315" s="82"/>
      <c r="JLO2315" s="82"/>
      <c r="JLP2315" s="82"/>
      <c r="JLQ2315" s="82"/>
      <c r="JLR2315" s="82"/>
      <c r="JLS2315" s="82"/>
      <c r="JLT2315" s="82"/>
      <c r="JLU2315" s="82"/>
      <c r="JLV2315" s="82"/>
      <c r="JLW2315" s="82"/>
      <c r="JLX2315" s="82"/>
      <c r="JLY2315" s="82"/>
      <c r="JLZ2315" s="82"/>
      <c r="JMA2315" s="82"/>
      <c r="JMB2315" s="82"/>
      <c r="JMC2315" s="82"/>
      <c r="JMD2315" s="82"/>
      <c r="JME2315" s="82"/>
      <c r="JMF2315" s="82"/>
      <c r="JMG2315" s="82"/>
      <c r="JMH2315" s="82"/>
      <c r="JMI2315" s="82"/>
      <c r="JMJ2315" s="82"/>
      <c r="JMK2315" s="82"/>
      <c r="JML2315" s="82"/>
      <c r="JMM2315" s="82"/>
      <c r="JMN2315" s="82"/>
      <c r="JMO2315" s="82"/>
      <c r="JMP2315" s="82"/>
      <c r="JMQ2315" s="82"/>
      <c r="JMR2315" s="82"/>
      <c r="JMS2315" s="82"/>
      <c r="JMT2315" s="82"/>
      <c r="JMU2315" s="82"/>
      <c r="JMV2315" s="82"/>
      <c r="JMW2315" s="82"/>
      <c r="JMX2315" s="82"/>
      <c r="JMY2315" s="82"/>
      <c r="JMZ2315" s="82"/>
      <c r="JNA2315" s="82"/>
      <c r="JNB2315" s="82"/>
      <c r="JNC2315" s="82"/>
      <c r="JND2315" s="82"/>
      <c r="JNE2315" s="82"/>
      <c r="JNF2315" s="82"/>
      <c r="JNG2315" s="82"/>
      <c r="JNH2315" s="82"/>
      <c r="JNI2315" s="82"/>
      <c r="JNJ2315" s="82"/>
      <c r="JNK2315" s="82"/>
      <c r="JNL2315" s="82"/>
      <c r="JNM2315" s="82"/>
      <c r="JNN2315" s="82"/>
      <c r="JNO2315" s="82"/>
      <c r="JNP2315" s="82"/>
      <c r="JNQ2315" s="82"/>
      <c r="JNR2315" s="82"/>
      <c r="JNS2315" s="82"/>
      <c r="JNT2315" s="82"/>
      <c r="JNU2315" s="82"/>
      <c r="JNV2315" s="82"/>
      <c r="JNW2315" s="82"/>
      <c r="JNX2315" s="82"/>
      <c r="JNY2315" s="82"/>
      <c r="JNZ2315" s="82"/>
      <c r="JOA2315" s="82"/>
      <c r="JOB2315" s="82"/>
      <c r="JOC2315" s="82"/>
      <c r="JOD2315" s="82"/>
      <c r="JOE2315" s="82"/>
      <c r="JOF2315" s="82"/>
      <c r="JOG2315" s="82"/>
      <c r="JOH2315" s="82"/>
      <c r="JOI2315" s="82"/>
      <c r="JOJ2315" s="82"/>
      <c r="JOK2315" s="82"/>
      <c r="JOL2315" s="82"/>
      <c r="JOM2315" s="82"/>
      <c r="JON2315" s="82"/>
      <c r="JOO2315" s="82"/>
      <c r="JOP2315" s="82"/>
      <c r="JOQ2315" s="82"/>
      <c r="JOR2315" s="82"/>
      <c r="JOS2315" s="82"/>
      <c r="JOT2315" s="82"/>
      <c r="JOU2315" s="82"/>
      <c r="JOV2315" s="82"/>
      <c r="JOW2315" s="82"/>
      <c r="JOX2315" s="82"/>
      <c r="JOY2315" s="82"/>
      <c r="JOZ2315" s="82"/>
      <c r="JPA2315" s="82"/>
      <c r="JPB2315" s="82"/>
      <c r="JPC2315" s="82"/>
      <c r="JPD2315" s="82"/>
      <c r="JPE2315" s="82"/>
      <c r="JPF2315" s="82"/>
      <c r="JPG2315" s="82"/>
      <c r="JPH2315" s="82"/>
      <c r="JPI2315" s="82"/>
      <c r="JPJ2315" s="82"/>
      <c r="JPK2315" s="82"/>
      <c r="JPL2315" s="82"/>
      <c r="JPM2315" s="82"/>
      <c r="JPN2315" s="82"/>
      <c r="JPO2315" s="82"/>
      <c r="JPP2315" s="82"/>
      <c r="JPQ2315" s="82"/>
      <c r="JPR2315" s="82"/>
      <c r="JPS2315" s="82"/>
      <c r="JPT2315" s="82"/>
      <c r="JPU2315" s="82"/>
      <c r="JPV2315" s="82"/>
      <c r="JPW2315" s="82"/>
      <c r="JPX2315" s="82"/>
      <c r="JPY2315" s="82"/>
      <c r="JPZ2315" s="82"/>
      <c r="JQA2315" s="82"/>
      <c r="JQB2315" s="82"/>
      <c r="JQC2315" s="82"/>
      <c r="JQD2315" s="82"/>
      <c r="JQE2315" s="82"/>
      <c r="JQF2315" s="82"/>
      <c r="JQG2315" s="82"/>
      <c r="JQH2315" s="82"/>
      <c r="JQI2315" s="82"/>
      <c r="JQJ2315" s="82"/>
      <c r="JQK2315" s="82"/>
      <c r="JQL2315" s="82"/>
      <c r="JQM2315" s="82"/>
      <c r="JQN2315" s="82"/>
      <c r="JQO2315" s="82"/>
      <c r="JQP2315" s="82"/>
      <c r="JQQ2315" s="82"/>
      <c r="JQR2315" s="82"/>
      <c r="JQS2315" s="82"/>
      <c r="JQT2315" s="82"/>
      <c r="JQU2315" s="82"/>
      <c r="JQV2315" s="82"/>
      <c r="JQW2315" s="82"/>
      <c r="JQX2315" s="82"/>
      <c r="JQY2315" s="82"/>
      <c r="JQZ2315" s="82"/>
      <c r="JRA2315" s="82"/>
      <c r="JRB2315" s="82"/>
      <c r="JRC2315" s="82"/>
      <c r="JRD2315" s="82"/>
      <c r="JRE2315" s="82"/>
      <c r="JRF2315" s="82"/>
      <c r="JRG2315" s="82"/>
      <c r="JRH2315" s="82"/>
      <c r="JRI2315" s="82"/>
      <c r="JRJ2315" s="82"/>
      <c r="JRK2315" s="82"/>
      <c r="JRL2315" s="82"/>
      <c r="JRM2315" s="82"/>
      <c r="JRN2315" s="82"/>
      <c r="JRO2315" s="82"/>
      <c r="JRP2315" s="82"/>
      <c r="JRQ2315" s="82"/>
      <c r="JRR2315" s="82"/>
      <c r="JRS2315" s="82"/>
      <c r="JRT2315" s="82"/>
      <c r="JRU2315" s="82"/>
      <c r="JRV2315" s="82"/>
      <c r="JRW2315" s="82"/>
      <c r="JRX2315" s="82"/>
      <c r="JRY2315" s="82"/>
      <c r="JRZ2315" s="82"/>
      <c r="JSA2315" s="82"/>
      <c r="JSB2315" s="82"/>
      <c r="JSC2315" s="82"/>
      <c r="JSD2315" s="82"/>
      <c r="JSE2315" s="82"/>
      <c r="JSF2315" s="82"/>
      <c r="JSG2315" s="82"/>
      <c r="JSH2315" s="82"/>
      <c r="JSI2315" s="82"/>
      <c r="JSJ2315" s="82"/>
      <c r="JSK2315" s="82"/>
      <c r="JSL2315" s="82"/>
      <c r="JSM2315" s="82"/>
      <c r="JSN2315" s="82"/>
      <c r="JSO2315" s="82"/>
      <c r="JSP2315" s="82"/>
      <c r="JSQ2315" s="82"/>
      <c r="JSR2315" s="82"/>
      <c r="JSS2315" s="82"/>
      <c r="JST2315" s="82"/>
      <c r="JSU2315" s="82"/>
      <c r="JSV2315" s="82"/>
      <c r="JSW2315" s="82"/>
      <c r="JSX2315" s="82"/>
      <c r="JSY2315" s="82"/>
      <c r="JSZ2315" s="82"/>
      <c r="JTA2315" s="82"/>
      <c r="JTB2315" s="82"/>
      <c r="JTC2315" s="82"/>
      <c r="JTD2315" s="82"/>
      <c r="JTE2315" s="82"/>
      <c r="JTF2315" s="82"/>
      <c r="JTG2315" s="82"/>
      <c r="JTH2315" s="82"/>
      <c r="JTI2315" s="82"/>
      <c r="JTJ2315" s="82"/>
      <c r="JTK2315" s="82"/>
      <c r="JTL2315" s="82"/>
      <c r="JTM2315" s="82"/>
      <c r="JTN2315" s="82"/>
      <c r="JTO2315" s="82"/>
      <c r="JTP2315" s="82"/>
      <c r="JTQ2315" s="82"/>
      <c r="JTR2315" s="82"/>
      <c r="JTS2315" s="82"/>
      <c r="JTT2315" s="82"/>
      <c r="JTU2315" s="82"/>
      <c r="JTV2315" s="82"/>
      <c r="JTW2315" s="82"/>
      <c r="JTX2315" s="82"/>
      <c r="JTY2315" s="82"/>
      <c r="JTZ2315" s="82"/>
      <c r="JUA2315" s="82"/>
      <c r="JUB2315" s="82"/>
      <c r="JUC2315" s="82"/>
      <c r="JUD2315" s="82"/>
      <c r="JUE2315" s="82"/>
      <c r="JUF2315" s="82"/>
      <c r="JUG2315" s="82"/>
      <c r="JUH2315" s="82"/>
      <c r="JUI2315" s="82"/>
      <c r="JUJ2315" s="82"/>
      <c r="JUK2315" s="82"/>
      <c r="JUL2315" s="82"/>
      <c r="JUM2315" s="82"/>
      <c r="JUN2315" s="82"/>
      <c r="JUO2315" s="82"/>
      <c r="JUP2315" s="82"/>
      <c r="JUQ2315" s="82"/>
      <c r="JUR2315" s="82"/>
      <c r="JUS2315" s="82"/>
      <c r="JUT2315" s="82"/>
      <c r="JUU2315" s="82"/>
      <c r="JUV2315" s="82"/>
      <c r="JUW2315" s="82"/>
      <c r="JUX2315" s="82"/>
      <c r="JUY2315" s="82"/>
      <c r="JUZ2315" s="82"/>
      <c r="JVA2315" s="82"/>
      <c r="JVB2315" s="82"/>
      <c r="JVC2315" s="82"/>
      <c r="JVD2315" s="82"/>
      <c r="JVE2315" s="82"/>
      <c r="JVF2315" s="82"/>
      <c r="JVG2315" s="82"/>
      <c r="JVH2315" s="82"/>
      <c r="JVI2315" s="82"/>
      <c r="JVJ2315" s="82"/>
      <c r="JVK2315" s="82"/>
      <c r="JVL2315" s="82"/>
      <c r="JVM2315" s="82"/>
      <c r="JVN2315" s="82"/>
      <c r="JVO2315" s="82"/>
      <c r="JVP2315" s="82"/>
      <c r="JVQ2315" s="82"/>
      <c r="JVR2315" s="82"/>
      <c r="JVS2315" s="82"/>
      <c r="JVT2315" s="82"/>
      <c r="JVU2315" s="82"/>
      <c r="JVV2315" s="82"/>
      <c r="JVW2315" s="82"/>
      <c r="JVX2315" s="82"/>
      <c r="JVY2315" s="82"/>
      <c r="JVZ2315" s="82"/>
      <c r="JWA2315" s="82"/>
      <c r="JWB2315" s="82"/>
      <c r="JWC2315" s="82"/>
      <c r="JWD2315" s="82"/>
      <c r="JWE2315" s="82"/>
      <c r="JWF2315" s="82"/>
      <c r="JWG2315" s="82"/>
      <c r="JWH2315" s="82"/>
      <c r="JWI2315" s="82"/>
      <c r="JWJ2315" s="82"/>
      <c r="JWK2315" s="82"/>
      <c r="JWL2315" s="82"/>
      <c r="JWM2315" s="82"/>
      <c r="JWN2315" s="82"/>
      <c r="JWO2315" s="82"/>
      <c r="JWP2315" s="82"/>
      <c r="JWQ2315" s="82"/>
      <c r="JWR2315" s="82"/>
      <c r="JWS2315" s="82"/>
      <c r="JWT2315" s="82"/>
      <c r="JWU2315" s="82"/>
      <c r="JWV2315" s="82"/>
      <c r="JWW2315" s="82"/>
      <c r="JWX2315" s="82"/>
      <c r="JWY2315" s="82"/>
      <c r="JWZ2315" s="82"/>
      <c r="JXA2315" s="82"/>
      <c r="JXB2315" s="82"/>
      <c r="JXC2315" s="82"/>
      <c r="JXD2315" s="82"/>
      <c r="JXE2315" s="82"/>
      <c r="JXF2315" s="82"/>
      <c r="JXG2315" s="82"/>
      <c r="JXH2315" s="82"/>
      <c r="JXI2315" s="82"/>
      <c r="JXJ2315" s="82"/>
      <c r="JXK2315" s="82"/>
      <c r="JXL2315" s="82"/>
      <c r="JXM2315" s="82"/>
      <c r="JXN2315" s="82"/>
      <c r="JXO2315" s="82"/>
      <c r="JXP2315" s="82"/>
      <c r="JXQ2315" s="82"/>
      <c r="JXR2315" s="82"/>
      <c r="JXS2315" s="82"/>
      <c r="JXT2315" s="82"/>
      <c r="JXU2315" s="82"/>
      <c r="JXV2315" s="82"/>
      <c r="JXW2315" s="82"/>
      <c r="JXX2315" s="82"/>
      <c r="JXY2315" s="82"/>
      <c r="JXZ2315" s="82"/>
      <c r="JYA2315" s="82"/>
      <c r="JYB2315" s="82"/>
      <c r="JYC2315" s="82"/>
      <c r="JYD2315" s="82"/>
      <c r="JYE2315" s="82"/>
      <c r="JYF2315" s="82"/>
      <c r="JYG2315" s="82"/>
      <c r="JYH2315" s="82"/>
      <c r="JYI2315" s="82"/>
      <c r="JYJ2315" s="82"/>
      <c r="JYK2315" s="82"/>
      <c r="JYL2315" s="82"/>
      <c r="JYM2315" s="82"/>
      <c r="JYN2315" s="82"/>
      <c r="JYO2315" s="82"/>
      <c r="JYP2315" s="82"/>
      <c r="JYQ2315" s="82"/>
      <c r="JYR2315" s="82"/>
      <c r="JYS2315" s="82"/>
      <c r="JYT2315" s="82"/>
      <c r="JYU2315" s="82"/>
      <c r="JYV2315" s="82"/>
      <c r="JYW2315" s="82"/>
      <c r="JYX2315" s="82"/>
      <c r="JYY2315" s="82"/>
      <c r="JYZ2315" s="82"/>
      <c r="JZA2315" s="82"/>
      <c r="JZB2315" s="82"/>
      <c r="JZC2315" s="82"/>
      <c r="JZD2315" s="82"/>
      <c r="JZE2315" s="82"/>
      <c r="JZF2315" s="82"/>
      <c r="JZG2315" s="82"/>
      <c r="JZH2315" s="82"/>
      <c r="JZI2315" s="82"/>
      <c r="JZJ2315" s="82"/>
      <c r="JZK2315" s="82"/>
      <c r="JZL2315" s="82"/>
      <c r="JZM2315" s="82"/>
      <c r="JZN2315" s="82"/>
      <c r="JZO2315" s="82"/>
      <c r="JZP2315" s="82"/>
      <c r="JZQ2315" s="82"/>
      <c r="JZR2315" s="82"/>
      <c r="JZS2315" s="82"/>
      <c r="JZT2315" s="82"/>
      <c r="JZU2315" s="82"/>
      <c r="JZV2315" s="82"/>
      <c r="JZW2315" s="82"/>
      <c r="JZX2315" s="82"/>
      <c r="JZY2315" s="82"/>
      <c r="JZZ2315" s="82"/>
      <c r="KAA2315" s="82"/>
      <c r="KAB2315" s="82"/>
      <c r="KAC2315" s="82"/>
      <c r="KAD2315" s="82"/>
      <c r="KAE2315" s="82"/>
      <c r="KAF2315" s="82"/>
      <c r="KAG2315" s="82"/>
      <c r="KAH2315" s="82"/>
      <c r="KAI2315" s="82"/>
      <c r="KAJ2315" s="82"/>
      <c r="KAK2315" s="82"/>
      <c r="KAL2315" s="82"/>
      <c r="KAM2315" s="82"/>
      <c r="KAN2315" s="82"/>
      <c r="KAO2315" s="82"/>
      <c r="KAP2315" s="82"/>
      <c r="KAQ2315" s="82"/>
      <c r="KAR2315" s="82"/>
      <c r="KAS2315" s="82"/>
      <c r="KAT2315" s="82"/>
      <c r="KAU2315" s="82"/>
      <c r="KAV2315" s="82"/>
      <c r="KAW2315" s="82"/>
      <c r="KAX2315" s="82"/>
      <c r="KAY2315" s="82"/>
      <c r="KAZ2315" s="82"/>
      <c r="KBA2315" s="82"/>
      <c r="KBB2315" s="82"/>
      <c r="KBC2315" s="82"/>
      <c r="KBD2315" s="82"/>
      <c r="KBE2315" s="82"/>
      <c r="KBF2315" s="82"/>
      <c r="KBG2315" s="82"/>
      <c r="KBH2315" s="82"/>
      <c r="KBI2315" s="82"/>
      <c r="KBJ2315" s="82"/>
      <c r="KBK2315" s="82"/>
      <c r="KBL2315" s="82"/>
      <c r="KBM2315" s="82"/>
      <c r="KBN2315" s="82"/>
      <c r="KBO2315" s="82"/>
      <c r="KBP2315" s="82"/>
      <c r="KBQ2315" s="82"/>
      <c r="KBR2315" s="82"/>
      <c r="KBS2315" s="82"/>
      <c r="KBT2315" s="82"/>
      <c r="KBU2315" s="82"/>
      <c r="KBV2315" s="82"/>
      <c r="KBW2315" s="82"/>
      <c r="KBX2315" s="82"/>
      <c r="KBY2315" s="82"/>
      <c r="KBZ2315" s="82"/>
      <c r="KCA2315" s="82"/>
      <c r="KCB2315" s="82"/>
      <c r="KCC2315" s="82"/>
      <c r="KCD2315" s="82"/>
      <c r="KCE2315" s="82"/>
      <c r="KCF2315" s="82"/>
      <c r="KCG2315" s="82"/>
      <c r="KCH2315" s="82"/>
      <c r="KCI2315" s="82"/>
      <c r="KCJ2315" s="82"/>
      <c r="KCK2315" s="82"/>
      <c r="KCL2315" s="82"/>
      <c r="KCM2315" s="82"/>
      <c r="KCN2315" s="82"/>
      <c r="KCO2315" s="82"/>
      <c r="KCP2315" s="82"/>
      <c r="KCQ2315" s="82"/>
      <c r="KCR2315" s="82"/>
      <c r="KCS2315" s="82"/>
      <c r="KCT2315" s="82"/>
      <c r="KCU2315" s="82"/>
      <c r="KCV2315" s="82"/>
      <c r="KCW2315" s="82"/>
      <c r="KCX2315" s="82"/>
      <c r="KCY2315" s="82"/>
      <c r="KCZ2315" s="82"/>
      <c r="KDA2315" s="82"/>
      <c r="KDB2315" s="82"/>
      <c r="KDC2315" s="82"/>
      <c r="KDD2315" s="82"/>
      <c r="KDE2315" s="82"/>
      <c r="KDF2315" s="82"/>
      <c r="KDG2315" s="82"/>
      <c r="KDH2315" s="82"/>
      <c r="KDI2315" s="82"/>
      <c r="KDJ2315" s="82"/>
      <c r="KDK2315" s="82"/>
      <c r="KDL2315" s="82"/>
      <c r="KDM2315" s="82"/>
      <c r="KDN2315" s="82"/>
      <c r="KDO2315" s="82"/>
      <c r="KDP2315" s="82"/>
      <c r="KDQ2315" s="82"/>
      <c r="KDR2315" s="82"/>
      <c r="KDS2315" s="82"/>
      <c r="KDT2315" s="82"/>
      <c r="KDU2315" s="82"/>
      <c r="KDV2315" s="82"/>
      <c r="KDW2315" s="82"/>
      <c r="KDX2315" s="82"/>
      <c r="KDY2315" s="82"/>
      <c r="KDZ2315" s="82"/>
      <c r="KEA2315" s="82"/>
      <c r="KEB2315" s="82"/>
      <c r="KEC2315" s="82"/>
      <c r="KED2315" s="82"/>
      <c r="KEE2315" s="82"/>
      <c r="KEF2315" s="82"/>
      <c r="KEG2315" s="82"/>
      <c r="KEH2315" s="82"/>
      <c r="KEI2315" s="82"/>
      <c r="KEJ2315" s="82"/>
      <c r="KEK2315" s="82"/>
      <c r="KEL2315" s="82"/>
      <c r="KEM2315" s="82"/>
      <c r="KEN2315" s="82"/>
      <c r="KEO2315" s="82"/>
      <c r="KEP2315" s="82"/>
      <c r="KEQ2315" s="82"/>
      <c r="KER2315" s="82"/>
      <c r="KES2315" s="82"/>
      <c r="KET2315" s="82"/>
      <c r="KEU2315" s="82"/>
      <c r="KEV2315" s="82"/>
      <c r="KEW2315" s="82"/>
      <c r="KEX2315" s="82"/>
      <c r="KEY2315" s="82"/>
      <c r="KEZ2315" s="82"/>
      <c r="KFA2315" s="82"/>
      <c r="KFB2315" s="82"/>
      <c r="KFC2315" s="82"/>
      <c r="KFD2315" s="82"/>
      <c r="KFE2315" s="82"/>
      <c r="KFF2315" s="82"/>
      <c r="KFG2315" s="82"/>
      <c r="KFH2315" s="82"/>
      <c r="KFI2315" s="82"/>
      <c r="KFJ2315" s="82"/>
      <c r="KFK2315" s="82"/>
      <c r="KFL2315" s="82"/>
      <c r="KFM2315" s="82"/>
      <c r="KFN2315" s="82"/>
      <c r="KFO2315" s="82"/>
      <c r="KFP2315" s="82"/>
      <c r="KFQ2315" s="82"/>
      <c r="KFR2315" s="82"/>
      <c r="KFS2315" s="82"/>
      <c r="KFT2315" s="82"/>
      <c r="KFU2315" s="82"/>
      <c r="KFV2315" s="82"/>
      <c r="KFW2315" s="82"/>
      <c r="KFX2315" s="82"/>
      <c r="KFY2315" s="82"/>
      <c r="KFZ2315" s="82"/>
      <c r="KGA2315" s="82"/>
      <c r="KGB2315" s="82"/>
      <c r="KGC2315" s="82"/>
      <c r="KGD2315" s="82"/>
      <c r="KGE2315" s="82"/>
      <c r="KGF2315" s="82"/>
      <c r="KGG2315" s="82"/>
      <c r="KGH2315" s="82"/>
      <c r="KGI2315" s="82"/>
      <c r="KGJ2315" s="82"/>
      <c r="KGK2315" s="82"/>
      <c r="KGL2315" s="82"/>
      <c r="KGM2315" s="82"/>
      <c r="KGN2315" s="82"/>
      <c r="KGO2315" s="82"/>
      <c r="KGP2315" s="82"/>
      <c r="KGQ2315" s="82"/>
      <c r="KGR2315" s="82"/>
      <c r="KGS2315" s="82"/>
      <c r="KGT2315" s="82"/>
      <c r="KGU2315" s="82"/>
      <c r="KGV2315" s="82"/>
      <c r="KGW2315" s="82"/>
      <c r="KGX2315" s="82"/>
      <c r="KGY2315" s="82"/>
      <c r="KGZ2315" s="82"/>
      <c r="KHA2315" s="82"/>
      <c r="KHB2315" s="82"/>
      <c r="KHC2315" s="82"/>
      <c r="KHD2315" s="82"/>
      <c r="KHE2315" s="82"/>
      <c r="KHF2315" s="82"/>
      <c r="KHG2315" s="82"/>
      <c r="KHH2315" s="82"/>
      <c r="KHI2315" s="82"/>
      <c r="KHJ2315" s="82"/>
      <c r="KHK2315" s="82"/>
      <c r="KHL2315" s="82"/>
      <c r="KHM2315" s="82"/>
      <c r="KHN2315" s="82"/>
      <c r="KHO2315" s="82"/>
      <c r="KHP2315" s="82"/>
      <c r="KHQ2315" s="82"/>
      <c r="KHR2315" s="82"/>
      <c r="KHS2315" s="82"/>
      <c r="KHT2315" s="82"/>
      <c r="KHU2315" s="82"/>
      <c r="KHV2315" s="82"/>
      <c r="KHW2315" s="82"/>
      <c r="KHX2315" s="82"/>
      <c r="KHY2315" s="82"/>
      <c r="KHZ2315" s="82"/>
      <c r="KIA2315" s="82"/>
      <c r="KIB2315" s="82"/>
      <c r="KIC2315" s="82"/>
      <c r="KID2315" s="82"/>
      <c r="KIE2315" s="82"/>
      <c r="KIF2315" s="82"/>
      <c r="KIG2315" s="82"/>
      <c r="KIH2315" s="82"/>
      <c r="KII2315" s="82"/>
      <c r="KIJ2315" s="82"/>
      <c r="KIK2315" s="82"/>
      <c r="KIL2315" s="82"/>
      <c r="KIM2315" s="82"/>
      <c r="KIN2315" s="82"/>
      <c r="KIO2315" s="82"/>
      <c r="KIP2315" s="82"/>
      <c r="KIQ2315" s="82"/>
      <c r="KIR2315" s="82"/>
      <c r="KIS2315" s="82"/>
      <c r="KIT2315" s="82"/>
      <c r="KIU2315" s="82"/>
      <c r="KIV2315" s="82"/>
      <c r="KIW2315" s="82"/>
      <c r="KIX2315" s="82"/>
      <c r="KIY2315" s="82"/>
      <c r="KIZ2315" s="82"/>
      <c r="KJA2315" s="82"/>
      <c r="KJB2315" s="82"/>
      <c r="KJC2315" s="82"/>
      <c r="KJD2315" s="82"/>
      <c r="KJE2315" s="82"/>
      <c r="KJF2315" s="82"/>
      <c r="KJG2315" s="82"/>
      <c r="KJH2315" s="82"/>
      <c r="KJI2315" s="82"/>
      <c r="KJJ2315" s="82"/>
      <c r="KJK2315" s="82"/>
      <c r="KJL2315" s="82"/>
      <c r="KJM2315" s="82"/>
      <c r="KJN2315" s="82"/>
      <c r="KJO2315" s="82"/>
      <c r="KJP2315" s="82"/>
      <c r="KJQ2315" s="82"/>
      <c r="KJR2315" s="82"/>
      <c r="KJS2315" s="82"/>
      <c r="KJT2315" s="82"/>
      <c r="KJU2315" s="82"/>
      <c r="KJV2315" s="82"/>
      <c r="KJW2315" s="82"/>
      <c r="KJX2315" s="82"/>
      <c r="KJY2315" s="82"/>
      <c r="KJZ2315" s="82"/>
      <c r="KKA2315" s="82"/>
      <c r="KKB2315" s="82"/>
      <c r="KKC2315" s="82"/>
      <c r="KKD2315" s="82"/>
      <c r="KKE2315" s="82"/>
      <c r="KKF2315" s="82"/>
      <c r="KKG2315" s="82"/>
      <c r="KKH2315" s="82"/>
      <c r="KKI2315" s="82"/>
      <c r="KKJ2315" s="82"/>
      <c r="KKK2315" s="82"/>
      <c r="KKL2315" s="82"/>
      <c r="KKM2315" s="82"/>
      <c r="KKN2315" s="82"/>
      <c r="KKO2315" s="82"/>
      <c r="KKP2315" s="82"/>
      <c r="KKQ2315" s="82"/>
      <c r="KKR2315" s="82"/>
      <c r="KKS2315" s="82"/>
      <c r="KKT2315" s="82"/>
      <c r="KKU2315" s="82"/>
      <c r="KKV2315" s="82"/>
      <c r="KKW2315" s="82"/>
      <c r="KKX2315" s="82"/>
      <c r="KKY2315" s="82"/>
      <c r="KKZ2315" s="82"/>
      <c r="KLA2315" s="82"/>
      <c r="KLB2315" s="82"/>
      <c r="KLC2315" s="82"/>
      <c r="KLD2315" s="82"/>
      <c r="KLE2315" s="82"/>
      <c r="KLF2315" s="82"/>
      <c r="KLG2315" s="82"/>
      <c r="KLH2315" s="82"/>
      <c r="KLI2315" s="82"/>
      <c r="KLJ2315" s="82"/>
      <c r="KLK2315" s="82"/>
      <c r="KLL2315" s="82"/>
      <c r="KLM2315" s="82"/>
      <c r="KLN2315" s="82"/>
      <c r="KLO2315" s="82"/>
      <c r="KLP2315" s="82"/>
      <c r="KLQ2315" s="82"/>
      <c r="KLR2315" s="82"/>
      <c r="KLS2315" s="82"/>
      <c r="KLT2315" s="82"/>
      <c r="KLU2315" s="82"/>
      <c r="KLV2315" s="82"/>
      <c r="KLW2315" s="82"/>
      <c r="KLX2315" s="82"/>
      <c r="KLY2315" s="82"/>
      <c r="KLZ2315" s="82"/>
      <c r="KMA2315" s="82"/>
      <c r="KMB2315" s="82"/>
      <c r="KMC2315" s="82"/>
      <c r="KMD2315" s="82"/>
      <c r="KME2315" s="82"/>
      <c r="KMF2315" s="82"/>
      <c r="KMG2315" s="82"/>
      <c r="KMH2315" s="82"/>
      <c r="KMI2315" s="82"/>
      <c r="KMJ2315" s="82"/>
      <c r="KMK2315" s="82"/>
      <c r="KML2315" s="82"/>
      <c r="KMM2315" s="82"/>
      <c r="KMN2315" s="82"/>
      <c r="KMO2315" s="82"/>
      <c r="KMP2315" s="82"/>
      <c r="KMQ2315" s="82"/>
      <c r="KMR2315" s="82"/>
      <c r="KMS2315" s="82"/>
      <c r="KMT2315" s="82"/>
      <c r="KMU2315" s="82"/>
      <c r="KMV2315" s="82"/>
      <c r="KMW2315" s="82"/>
      <c r="KMX2315" s="82"/>
      <c r="KMY2315" s="82"/>
      <c r="KMZ2315" s="82"/>
      <c r="KNA2315" s="82"/>
      <c r="KNB2315" s="82"/>
      <c r="KNC2315" s="82"/>
      <c r="KND2315" s="82"/>
      <c r="KNE2315" s="82"/>
      <c r="KNF2315" s="82"/>
      <c r="KNG2315" s="82"/>
      <c r="KNH2315" s="82"/>
      <c r="KNI2315" s="82"/>
      <c r="KNJ2315" s="82"/>
      <c r="KNK2315" s="82"/>
      <c r="KNL2315" s="82"/>
      <c r="KNM2315" s="82"/>
      <c r="KNN2315" s="82"/>
      <c r="KNO2315" s="82"/>
      <c r="KNP2315" s="82"/>
      <c r="KNQ2315" s="82"/>
      <c r="KNR2315" s="82"/>
      <c r="KNS2315" s="82"/>
      <c r="KNT2315" s="82"/>
      <c r="KNU2315" s="82"/>
      <c r="KNV2315" s="82"/>
      <c r="KNW2315" s="82"/>
      <c r="KNX2315" s="82"/>
      <c r="KNY2315" s="82"/>
      <c r="KNZ2315" s="82"/>
      <c r="KOA2315" s="82"/>
      <c r="KOB2315" s="82"/>
      <c r="KOC2315" s="82"/>
      <c r="KOD2315" s="82"/>
      <c r="KOE2315" s="82"/>
      <c r="KOF2315" s="82"/>
      <c r="KOG2315" s="82"/>
      <c r="KOH2315" s="82"/>
      <c r="KOI2315" s="82"/>
      <c r="KOJ2315" s="82"/>
      <c r="KOK2315" s="82"/>
      <c r="KOL2315" s="82"/>
      <c r="KOM2315" s="82"/>
      <c r="KON2315" s="82"/>
      <c r="KOO2315" s="82"/>
      <c r="KOP2315" s="82"/>
      <c r="KOQ2315" s="82"/>
      <c r="KOR2315" s="82"/>
      <c r="KOS2315" s="82"/>
      <c r="KOT2315" s="82"/>
      <c r="KOU2315" s="82"/>
      <c r="KOV2315" s="82"/>
      <c r="KOW2315" s="82"/>
      <c r="KOX2315" s="82"/>
      <c r="KOY2315" s="82"/>
      <c r="KOZ2315" s="82"/>
      <c r="KPA2315" s="82"/>
      <c r="KPB2315" s="82"/>
      <c r="KPC2315" s="82"/>
      <c r="KPD2315" s="82"/>
      <c r="KPE2315" s="82"/>
      <c r="KPF2315" s="82"/>
      <c r="KPG2315" s="82"/>
      <c r="KPH2315" s="82"/>
      <c r="KPI2315" s="82"/>
      <c r="KPJ2315" s="82"/>
      <c r="KPK2315" s="82"/>
      <c r="KPL2315" s="82"/>
      <c r="KPM2315" s="82"/>
      <c r="KPN2315" s="82"/>
      <c r="KPO2315" s="82"/>
      <c r="KPP2315" s="82"/>
      <c r="KPQ2315" s="82"/>
      <c r="KPR2315" s="82"/>
      <c r="KPS2315" s="82"/>
      <c r="KPT2315" s="82"/>
      <c r="KPU2315" s="82"/>
      <c r="KPV2315" s="82"/>
      <c r="KPW2315" s="82"/>
      <c r="KPX2315" s="82"/>
      <c r="KPY2315" s="82"/>
      <c r="KPZ2315" s="82"/>
      <c r="KQA2315" s="82"/>
      <c r="KQB2315" s="82"/>
      <c r="KQC2315" s="82"/>
      <c r="KQD2315" s="82"/>
      <c r="KQE2315" s="82"/>
      <c r="KQF2315" s="82"/>
      <c r="KQG2315" s="82"/>
      <c r="KQH2315" s="82"/>
      <c r="KQI2315" s="82"/>
      <c r="KQJ2315" s="82"/>
      <c r="KQK2315" s="82"/>
      <c r="KQL2315" s="82"/>
      <c r="KQM2315" s="82"/>
      <c r="KQN2315" s="82"/>
      <c r="KQO2315" s="82"/>
      <c r="KQP2315" s="82"/>
      <c r="KQQ2315" s="82"/>
      <c r="KQR2315" s="82"/>
      <c r="KQS2315" s="82"/>
      <c r="KQT2315" s="82"/>
      <c r="KQU2315" s="82"/>
      <c r="KQV2315" s="82"/>
      <c r="KQW2315" s="82"/>
      <c r="KQX2315" s="82"/>
      <c r="KQY2315" s="82"/>
      <c r="KQZ2315" s="82"/>
      <c r="KRA2315" s="82"/>
      <c r="KRB2315" s="82"/>
      <c r="KRC2315" s="82"/>
      <c r="KRD2315" s="82"/>
      <c r="KRE2315" s="82"/>
      <c r="KRF2315" s="82"/>
      <c r="KRG2315" s="82"/>
      <c r="KRH2315" s="82"/>
      <c r="KRI2315" s="82"/>
      <c r="KRJ2315" s="82"/>
      <c r="KRK2315" s="82"/>
      <c r="KRL2315" s="82"/>
      <c r="KRM2315" s="82"/>
      <c r="KRN2315" s="82"/>
      <c r="KRO2315" s="82"/>
      <c r="KRP2315" s="82"/>
      <c r="KRQ2315" s="82"/>
      <c r="KRR2315" s="82"/>
      <c r="KRS2315" s="82"/>
      <c r="KRT2315" s="82"/>
      <c r="KRU2315" s="82"/>
      <c r="KRV2315" s="82"/>
      <c r="KRW2315" s="82"/>
      <c r="KRX2315" s="82"/>
      <c r="KRY2315" s="82"/>
      <c r="KRZ2315" s="82"/>
      <c r="KSA2315" s="82"/>
      <c r="KSB2315" s="82"/>
      <c r="KSC2315" s="82"/>
      <c r="KSD2315" s="82"/>
      <c r="KSE2315" s="82"/>
      <c r="KSF2315" s="82"/>
      <c r="KSG2315" s="82"/>
      <c r="KSH2315" s="82"/>
      <c r="KSI2315" s="82"/>
      <c r="KSJ2315" s="82"/>
      <c r="KSK2315" s="82"/>
      <c r="KSL2315" s="82"/>
      <c r="KSM2315" s="82"/>
      <c r="KSN2315" s="82"/>
      <c r="KSO2315" s="82"/>
      <c r="KSP2315" s="82"/>
      <c r="KSQ2315" s="82"/>
      <c r="KSR2315" s="82"/>
      <c r="KSS2315" s="82"/>
      <c r="KST2315" s="82"/>
      <c r="KSU2315" s="82"/>
      <c r="KSV2315" s="82"/>
      <c r="KSW2315" s="82"/>
      <c r="KSX2315" s="82"/>
      <c r="KSY2315" s="82"/>
      <c r="KSZ2315" s="82"/>
      <c r="KTA2315" s="82"/>
      <c r="KTB2315" s="82"/>
      <c r="KTC2315" s="82"/>
      <c r="KTD2315" s="82"/>
      <c r="KTE2315" s="82"/>
      <c r="KTF2315" s="82"/>
      <c r="KTG2315" s="82"/>
      <c r="KTH2315" s="82"/>
      <c r="KTI2315" s="82"/>
      <c r="KTJ2315" s="82"/>
      <c r="KTK2315" s="82"/>
      <c r="KTL2315" s="82"/>
      <c r="KTM2315" s="82"/>
      <c r="KTN2315" s="82"/>
      <c r="KTO2315" s="82"/>
      <c r="KTP2315" s="82"/>
      <c r="KTQ2315" s="82"/>
      <c r="KTR2315" s="82"/>
      <c r="KTS2315" s="82"/>
      <c r="KTT2315" s="82"/>
      <c r="KTU2315" s="82"/>
      <c r="KTV2315" s="82"/>
      <c r="KTW2315" s="82"/>
      <c r="KTX2315" s="82"/>
      <c r="KTY2315" s="82"/>
      <c r="KTZ2315" s="82"/>
      <c r="KUA2315" s="82"/>
      <c r="KUB2315" s="82"/>
      <c r="KUC2315" s="82"/>
      <c r="KUD2315" s="82"/>
      <c r="KUE2315" s="82"/>
      <c r="KUF2315" s="82"/>
      <c r="KUG2315" s="82"/>
      <c r="KUH2315" s="82"/>
      <c r="KUI2315" s="82"/>
      <c r="KUJ2315" s="82"/>
      <c r="KUK2315" s="82"/>
      <c r="KUL2315" s="82"/>
      <c r="KUM2315" s="82"/>
      <c r="KUN2315" s="82"/>
      <c r="KUO2315" s="82"/>
      <c r="KUP2315" s="82"/>
      <c r="KUQ2315" s="82"/>
      <c r="KUR2315" s="82"/>
      <c r="KUS2315" s="82"/>
      <c r="KUT2315" s="82"/>
      <c r="KUU2315" s="82"/>
      <c r="KUV2315" s="82"/>
      <c r="KUW2315" s="82"/>
      <c r="KUX2315" s="82"/>
      <c r="KUY2315" s="82"/>
      <c r="KUZ2315" s="82"/>
      <c r="KVA2315" s="82"/>
      <c r="KVB2315" s="82"/>
      <c r="KVC2315" s="82"/>
      <c r="KVD2315" s="82"/>
      <c r="KVE2315" s="82"/>
      <c r="KVF2315" s="82"/>
      <c r="KVG2315" s="82"/>
      <c r="KVH2315" s="82"/>
      <c r="KVI2315" s="82"/>
      <c r="KVJ2315" s="82"/>
      <c r="KVK2315" s="82"/>
      <c r="KVL2315" s="82"/>
      <c r="KVM2315" s="82"/>
      <c r="KVN2315" s="82"/>
      <c r="KVO2315" s="82"/>
      <c r="KVP2315" s="82"/>
      <c r="KVQ2315" s="82"/>
      <c r="KVR2315" s="82"/>
      <c r="KVS2315" s="82"/>
      <c r="KVT2315" s="82"/>
      <c r="KVU2315" s="82"/>
      <c r="KVV2315" s="82"/>
      <c r="KVW2315" s="82"/>
      <c r="KVX2315" s="82"/>
      <c r="KVY2315" s="82"/>
      <c r="KVZ2315" s="82"/>
      <c r="KWA2315" s="82"/>
      <c r="KWB2315" s="82"/>
      <c r="KWC2315" s="82"/>
      <c r="KWD2315" s="82"/>
      <c r="KWE2315" s="82"/>
      <c r="KWF2315" s="82"/>
      <c r="KWG2315" s="82"/>
      <c r="KWH2315" s="82"/>
      <c r="KWI2315" s="82"/>
      <c r="KWJ2315" s="82"/>
      <c r="KWK2315" s="82"/>
      <c r="KWL2315" s="82"/>
      <c r="KWM2315" s="82"/>
      <c r="KWN2315" s="82"/>
      <c r="KWO2315" s="82"/>
      <c r="KWP2315" s="82"/>
      <c r="KWQ2315" s="82"/>
      <c r="KWR2315" s="82"/>
      <c r="KWS2315" s="82"/>
      <c r="KWT2315" s="82"/>
      <c r="KWU2315" s="82"/>
      <c r="KWV2315" s="82"/>
      <c r="KWW2315" s="82"/>
      <c r="KWX2315" s="82"/>
      <c r="KWY2315" s="82"/>
      <c r="KWZ2315" s="82"/>
      <c r="KXA2315" s="82"/>
      <c r="KXB2315" s="82"/>
      <c r="KXC2315" s="82"/>
      <c r="KXD2315" s="82"/>
      <c r="KXE2315" s="82"/>
      <c r="KXF2315" s="82"/>
      <c r="KXG2315" s="82"/>
      <c r="KXH2315" s="82"/>
      <c r="KXI2315" s="82"/>
      <c r="KXJ2315" s="82"/>
      <c r="KXK2315" s="82"/>
      <c r="KXL2315" s="82"/>
      <c r="KXM2315" s="82"/>
      <c r="KXN2315" s="82"/>
      <c r="KXO2315" s="82"/>
      <c r="KXP2315" s="82"/>
      <c r="KXQ2315" s="82"/>
      <c r="KXR2315" s="82"/>
      <c r="KXS2315" s="82"/>
      <c r="KXT2315" s="82"/>
      <c r="KXU2315" s="82"/>
      <c r="KXV2315" s="82"/>
      <c r="KXW2315" s="82"/>
      <c r="KXX2315" s="82"/>
      <c r="KXY2315" s="82"/>
      <c r="KXZ2315" s="82"/>
      <c r="KYA2315" s="82"/>
      <c r="KYB2315" s="82"/>
      <c r="KYC2315" s="82"/>
      <c r="KYD2315" s="82"/>
      <c r="KYE2315" s="82"/>
      <c r="KYF2315" s="82"/>
      <c r="KYG2315" s="82"/>
      <c r="KYH2315" s="82"/>
      <c r="KYI2315" s="82"/>
      <c r="KYJ2315" s="82"/>
      <c r="KYK2315" s="82"/>
      <c r="KYL2315" s="82"/>
      <c r="KYM2315" s="82"/>
      <c r="KYN2315" s="82"/>
      <c r="KYO2315" s="82"/>
      <c r="KYP2315" s="82"/>
      <c r="KYQ2315" s="82"/>
      <c r="KYR2315" s="82"/>
      <c r="KYS2315" s="82"/>
      <c r="KYT2315" s="82"/>
      <c r="KYU2315" s="82"/>
      <c r="KYV2315" s="82"/>
      <c r="KYW2315" s="82"/>
      <c r="KYX2315" s="82"/>
      <c r="KYY2315" s="82"/>
      <c r="KYZ2315" s="82"/>
      <c r="KZA2315" s="82"/>
      <c r="KZB2315" s="82"/>
      <c r="KZC2315" s="82"/>
      <c r="KZD2315" s="82"/>
      <c r="KZE2315" s="82"/>
      <c r="KZF2315" s="82"/>
      <c r="KZG2315" s="82"/>
      <c r="KZH2315" s="82"/>
      <c r="KZI2315" s="82"/>
      <c r="KZJ2315" s="82"/>
      <c r="KZK2315" s="82"/>
      <c r="KZL2315" s="82"/>
      <c r="KZM2315" s="82"/>
      <c r="KZN2315" s="82"/>
      <c r="KZO2315" s="82"/>
      <c r="KZP2315" s="82"/>
      <c r="KZQ2315" s="82"/>
      <c r="KZR2315" s="82"/>
      <c r="KZS2315" s="82"/>
      <c r="KZT2315" s="82"/>
      <c r="KZU2315" s="82"/>
      <c r="KZV2315" s="82"/>
      <c r="KZW2315" s="82"/>
      <c r="KZX2315" s="82"/>
      <c r="KZY2315" s="82"/>
      <c r="KZZ2315" s="82"/>
      <c r="LAA2315" s="82"/>
      <c r="LAB2315" s="82"/>
      <c r="LAC2315" s="82"/>
      <c r="LAD2315" s="82"/>
      <c r="LAE2315" s="82"/>
      <c r="LAF2315" s="82"/>
      <c r="LAG2315" s="82"/>
      <c r="LAH2315" s="82"/>
      <c r="LAI2315" s="82"/>
      <c r="LAJ2315" s="82"/>
      <c r="LAK2315" s="82"/>
      <c r="LAL2315" s="82"/>
      <c r="LAM2315" s="82"/>
      <c r="LAN2315" s="82"/>
      <c r="LAO2315" s="82"/>
      <c r="LAP2315" s="82"/>
      <c r="LAQ2315" s="82"/>
      <c r="LAR2315" s="82"/>
      <c r="LAS2315" s="82"/>
      <c r="LAT2315" s="82"/>
      <c r="LAU2315" s="82"/>
      <c r="LAV2315" s="82"/>
      <c r="LAW2315" s="82"/>
      <c r="LAX2315" s="82"/>
      <c r="LAY2315" s="82"/>
      <c r="LAZ2315" s="82"/>
      <c r="LBA2315" s="82"/>
      <c r="LBB2315" s="82"/>
      <c r="LBC2315" s="82"/>
      <c r="LBD2315" s="82"/>
      <c r="LBE2315" s="82"/>
      <c r="LBF2315" s="82"/>
      <c r="LBG2315" s="82"/>
      <c r="LBH2315" s="82"/>
      <c r="LBI2315" s="82"/>
      <c r="LBJ2315" s="82"/>
      <c r="LBK2315" s="82"/>
      <c r="LBL2315" s="82"/>
      <c r="LBM2315" s="82"/>
      <c r="LBN2315" s="82"/>
      <c r="LBO2315" s="82"/>
      <c r="LBP2315" s="82"/>
      <c r="LBQ2315" s="82"/>
      <c r="LBR2315" s="82"/>
      <c r="LBS2315" s="82"/>
      <c r="LBT2315" s="82"/>
      <c r="LBU2315" s="82"/>
      <c r="LBV2315" s="82"/>
      <c r="LBW2315" s="82"/>
      <c r="LBX2315" s="82"/>
      <c r="LBY2315" s="82"/>
      <c r="LBZ2315" s="82"/>
      <c r="LCA2315" s="82"/>
      <c r="LCB2315" s="82"/>
      <c r="LCC2315" s="82"/>
      <c r="LCD2315" s="82"/>
      <c r="LCE2315" s="82"/>
      <c r="LCF2315" s="82"/>
      <c r="LCG2315" s="82"/>
      <c r="LCH2315" s="82"/>
      <c r="LCI2315" s="82"/>
      <c r="LCJ2315" s="82"/>
      <c r="LCK2315" s="82"/>
      <c r="LCL2315" s="82"/>
      <c r="LCM2315" s="82"/>
      <c r="LCN2315" s="82"/>
      <c r="LCO2315" s="82"/>
      <c r="LCP2315" s="82"/>
      <c r="LCQ2315" s="82"/>
      <c r="LCR2315" s="82"/>
      <c r="LCS2315" s="82"/>
      <c r="LCT2315" s="82"/>
      <c r="LCU2315" s="82"/>
      <c r="LCV2315" s="82"/>
      <c r="LCW2315" s="82"/>
      <c r="LCX2315" s="82"/>
      <c r="LCY2315" s="82"/>
      <c r="LCZ2315" s="82"/>
      <c r="LDA2315" s="82"/>
      <c r="LDB2315" s="82"/>
      <c r="LDC2315" s="82"/>
      <c r="LDD2315" s="82"/>
      <c r="LDE2315" s="82"/>
      <c r="LDF2315" s="82"/>
      <c r="LDG2315" s="82"/>
      <c r="LDH2315" s="82"/>
      <c r="LDI2315" s="82"/>
      <c r="LDJ2315" s="82"/>
      <c r="LDK2315" s="82"/>
      <c r="LDL2315" s="82"/>
      <c r="LDM2315" s="82"/>
      <c r="LDN2315" s="82"/>
      <c r="LDO2315" s="82"/>
      <c r="LDP2315" s="82"/>
      <c r="LDQ2315" s="82"/>
      <c r="LDR2315" s="82"/>
      <c r="LDS2315" s="82"/>
      <c r="LDT2315" s="82"/>
      <c r="LDU2315" s="82"/>
      <c r="LDV2315" s="82"/>
      <c r="LDW2315" s="82"/>
      <c r="LDX2315" s="82"/>
      <c r="LDY2315" s="82"/>
      <c r="LDZ2315" s="82"/>
      <c r="LEA2315" s="82"/>
      <c r="LEB2315" s="82"/>
      <c r="LEC2315" s="82"/>
      <c r="LED2315" s="82"/>
      <c r="LEE2315" s="82"/>
      <c r="LEF2315" s="82"/>
      <c r="LEG2315" s="82"/>
      <c r="LEH2315" s="82"/>
      <c r="LEI2315" s="82"/>
      <c r="LEJ2315" s="82"/>
      <c r="LEK2315" s="82"/>
      <c r="LEL2315" s="82"/>
      <c r="LEM2315" s="82"/>
      <c r="LEN2315" s="82"/>
      <c r="LEO2315" s="82"/>
      <c r="LEP2315" s="82"/>
      <c r="LEQ2315" s="82"/>
      <c r="LER2315" s="82"/>
      <c r="LES2315" s="82"/>
      <c r="LET2315" s="82"/>
      <c r="LEU2315" s="82"/>
      <c r="LEV2315" s="82"/>
      <c r="LEW2315" s="82"/>
      <c r="LEX2315" s="82"/>
      <c r="LEY2315" s="82"/>
      <c r="LEZ2315" s="82"/>
      <c r="LFA2315" s="82"/>
      <c r="LFB2315" s="82"/>
      <c r="LFC2315" s="82"/>
      <c r="LFD2315" s="82"/>
      <c r="LFE2315" s="82"/>
      <c r="LFF2315" s="82"/>
      <c r="LFG2315" s="82"/>
      <c r="LFH2315" s="82"/>
      <c r="LFI2315" s="82"/>
      <c r="LFJ2315" s="82"/>
      <c r="LFK2315" s="82"/>
      <c r="LFL2315" s="82"/>
      <c r="LFM2315" s="82"/>
      <c r="LFN2315" s="82"/>
      <c r="LFO2315" s="82"/>
      <c r="LFP2315" s="82"/>
      <c r="LFQ2315" s="82"/>
      <c r="LFR2315" s="82"/>
      <c r="LFS2315" s="82"/>
      <c r="LFT2315" s="82"/>
      <c r="LFU2315" s="82"/>
      <c r="LFV2315" s="82"/>
      <c r="LFW2315" s="82"/>
      <c r="LFX2315" s="82"/>
      <c r="LFY2315" s="82"/>
      <c r="LFZ2315" s="82"/>
      <c r="LGA2315" s="82"/>
      <c r="LGB2315" s="82"/>
      <c r="LGC2315" s="82"/>
      <c r="LGD2315" s="82"/>
      <c r="LGE2315" s="82"/>
      <c r="LGF2315" s="82"/>
      <c r="LGG2315" s="82"/>
      <c r="LGH2315" s="82"/>
      <c r="LGI2315" s="82"/>
      <c r="LGJ2315" s="82"/>
      <c r="LGK2315" s="82"/>
      <c r="LGL2315" s="82"/>
      <c r="LGM2315" s="82"/>
      <c r="LGN2315" s="82"/>
      <c r="LGO2315" s="82"/>
      <c r="LGP2315" s="82"/>
      <c r="LGQ2315" s="82"/>
      <c r="LGR2315" s="82"/>
      <c r="LGS2315" s="82"/>
      <c r="LGT2315" s="82"/>
      <c r="LGU2315" s="82"/>
      <c r="LGV2315" s="82"/>
      <c r="LGW2315" s="82"/>
      <c r="LGX2315" s="82"/>
      <c r="LGY2315" s="82"/>
      <c r="LGZ2315" s="82"/>
      <c r="LHA2315" s="82"/>
      <c r="LHB2315" s="82"/>
      <c r="LHC2315" s="82"/>
      <c r="LHD2315" s="82"/>
      <c r="LHE2315" s="82"/>
      <c r="LHF2315" s="82"/>
      <c r="LHG2315" s="82"/>
      <c r="LHH2315" s="82"/>
      <c r="LHI2315" s="82"/>
      <c r="LHJ2315" s="82"/>
      <c r="LHK2315" s="82"/>
      <c r="LHL2315" s="82"/>
      <c r="LHM2315" s="82"/>
      <c r="LHN2315" s="82"/>
      <c r="LHO2315" s="82"/>
      <c r="LHP2315" s="82"/>
      <c r="LHQ2315" s="82"/>
      <c r="LHR2315" s="82"/>
      <c r="LHS2315" s="82"/>
      <c r="LHT2315" s="82"/>
      <c r="LHU2315" s="82"/>
      <c r="LHV2315" s="82"/>
      <c r="LHW2315" s="82"/>
      <c r="LHX2315" s="82"/>
      <c r="LHY2315" s="82"/>
      <c r="LHZ2315" s="82"/>
      <c r="LIA2315" s="82"/>
      <c r="LIB2315" s="82"/>
      <c r="LIC2315" s="82"/>
      <c r="LID2315" s="82"/>
      <c r="LIE2315" s="82"/>
      <c r="LIF2315" s="82"/>
      <c r="LIG2315" s="82"/>
      <c r="LIH2315" s="82"/>
      <c r="LII2315" s="82"/>
      <c r="LIJ2315" s="82"/>
      <c r="LIK2315" s="82"/>
      <c r="LIL2315" s="82"/>
      <c r="LIM2315" s="82"/>
      <c r="LIN2315" s="82"/>
      <c r="LIO2315" s="82"/>
      <c r="LIP2315" s="82"/>
      <c r="LIQ2315" s="82"/>
      <c r="LIR2315" s="82"/>
      <c r="LIS2315" s="82"/>
      <c r="LIT2315" s="82"/>
      <c r="LIU2315" s="82"/>
      <c r="LIV2315" s="82"/>
      <c r="LIW2315" s="82"/>
      <c r="LIX2315" s="82"/>
      <c r="LIY2315" s="82"/>
      <c r="LIZ2315" s="82"/>
      <c r="LJA2315" s="82"/>
      <c r="LJB2315" s="82"/>
      <c r="LJC2315" s="82"/>
      <c r="LJD2315" s="82"/>
      <c r="LJE2315" s="82"/>
      <c r="LJF2315" s="82"/>
      <c r="LJG2315" s="82"/>
      <c r="LJH2315" s="82"/>
      <c r="LJI2315" s="82"/>
      <c r="LJJ2315" s="82"/>
      <c r="LJK2315" s="82"/>
      <c r="LJL2315" s="82"/>
      <c r="LJM2315" s="82"/>
      <c r="LJN2315" s="82"/>
      <c r="LJO2315" s="82"/>
      <c r="LJP2315" s="82"/>
      <c r="LJQ2315" s="82"/>
      <c r="LJR2315" s="82"/>
      <c r="LJS2315" s="82"/>
      <c r="LJT2315" s="82"/>
      <c r="LJU2315" s="82"/>
      <c r="LJV2315" s="82"/>
      <c r="LJW2315" s="82"/>
      <c r="LJX2315" s="82"/>
      <c r="LJY2315" s="82"/>
      <c r="LJZ2315" s="82"/>
      <c r="LKA2315" s="82"/>
      <c r="LKB2315" s="82"/>
      <c r="LKC2315" s="82"/>
      <c r="LKD2315" s="82"/>
      <c r="LKE2315" s="82"/>
      <c r="LKF2315" s="82"/>
      <c r="LKG2315" s="82"/>
      <c r="LKH2315" s="82"/>
      <c r="LKI2315" s="82"/>
      <c r="LKJ2315" s="82"/>
      <c r="LKK2315" s="82"/>
      <c r="LKL2315" s="82"/>
      <c r="LKM2315" s="82"/>
      <c r="LKN2315" s="82"/>
      <c r="LKO2315" s="82"/>
      <c r="LKP2315" s="82"/>
      <c r="LKQ2315" s="82"/>
      <c r="LKR2315" s="82"/>
      <c r="LKS2315" s="82"/>
      <c r="LKT2315" s="82"/>
      <c r="LKU2315" s="82"/>
      <c r="LKV2315" s="82"/>
      <c r="LKW2315" s="82"/>
      <c r="LKX2315" s="82"/>
      <c r="LKY2315" s="82"/>
      <c r="LKZ2315" s="82"/>
      <c r="LLA2315" s="82"/>
      <c r="LLB2315" s="82"/>
      <c r="LLC2315" s="82"/>
      <c r="LLD2315" s="82"/>
      <c r="LLE2315" s="82"/>
      <c r="LLF2315" s="82"/>
      <c r="LLG2315" s="82"/>
      <c r="LLH2315" s="82"/>
      <c r="LLI2315" s="82"/>
      <c r="LLJ2315" s="82"/>
      <c r="LLK2315" s="82"/>
      <c r="LLL2315" s="82"/>
      <c r="LLM2315" s="82"/>
      <c r="LLN2315" s="82"/>
      <c r="LLO2315" s="82"/>
      <c r="LLP2315" s="82"/>
      <c r="LLQ2315" s="82"/>
      <c r="LLR2315" s="82"/>
      <c r="LLS2315" s="82"/>
      <c r="LLT2315" s="82"/>
      <c r="LLU2315" s="82"/>
      <c r="LLV2315" s="82"/>
      <c r="LLW2315" s="82"/>
      <c r="LLX2315" s="82"/>
      <c r="LLY2315" s="82"/>
      <c r="LLZ2315" s="82"/>
      <c r="LMA2315" s="82"/>
      <c r="LMB2315" s="82"/>
      <c r="LMC2315" s="82"/>
      <c r="LMD2315" s="82"/>
      <c r="LME2315" s="82"/>
      <c r="LMF2315" s="82"/>
      <c r="LMG2315" s="82"/>
      <c r="LMH2315" s="82"/>
      <c r="LMI2315" s="82"/>
      <c r="LMJ2315" s="82"/>
      <c r="LMK2315" s="82"/>
      <c r="LML2315" s="82"/>
      <c r="LMM2315" s="82"/>
      <c r="LMN2315" s="82"/>
      <c r="LMO2315" s="82"/>
      <c r="LMP2315" s="82"/>
      <c r="LMQ2315" s="82"/>
      <c r="LMR2315" s="82"/>
      <c r="LMS2315" s="82"/>
      <c r="LMT2315" s="82"/>
      <c r="LMU2315" s="82"/>
      <c r="LMV2315" s="82"/>
      <c r="LMW2315" s="82"/>
      <c r="LMX2315" s="82"/>
      <c r="LMY2315" s="82"/>
      <c r="LMZ2315" s="82"/>
      <c r="LNA2315" s="82"/>
      <c r="LNB2315" s="82"/>
      <c r="LNC2315" s="82"/>
      <c r="LND2315" s="82"/>
      <c r="LNE2315" s="82"/>
      <c r="LNF2315" s="82"/>
      <c r="LNG2315" s="82"/>
      <c r="LNH2315" s="82"/>
      <c r="LNI2315" s="82"/>
      <c r="LNJ2315" s="82"/>
      <c r="LNK2315" s="82"/>
      <c r="LNL2315" s="82"/>
      <c r="LNM2315" s="82"/>
      <c r="LNN2315" s="82"/>
      <c r="LNO2315" s="82"/>
      <c r="LNP2315" s="82"/>
      <c r="LNQ2315" s="82"/>
      <c r="LNR2315" s="82"/>
      <c r="LNS2315" s="82"/>
      <c r="LNT2315" s="82"/>
      <c r="LNU2315" s="82"/>
      <c r="LNV2315" s="82"/>
      <c r="LNW2315" s="82"/>
      <c r="LNX2315" s="82"/>
      <c r="LNY2315" s="82"/>
      <c r="LNZ2315" s="82"/>
      <c r="LOA2315" s="82"/>
      <c r="LOB2315" s="82"/>
      <c r="LOC2315" s="82"/>
      <c r="LOD2315" s="82"/>
      <c r="LOE2315" s="82"/>
      <c r="LOF2315" s="82"/>
      <c r="LOG2315" s="82"/>
      <c r="LOH2315" s="82"/>
      <c r="LOI2315" s="82"/>
      <c r="LOJ2315" s="82"/>
      <c r="LOK2315" s="82"/>
      <c r="LOL2315" s="82"/>
      <c r="LOM2315" s="82"/>
      <c r="LON2315" s="82"/>
      <c r="LOO2315" s="82"/>
      <c r="LOP2315" s="82"/>
      <c r="LOQ2315" s="82"/>
      <c r="LOR2315" s="82"/>
      <c r="LOS2315" s="82"/>
      <c r="LOT2315" s="82"/>
      <c r="LOU2315" s="82"/>
      <c r="LOV2315" s="82"/>
      <c r="LOW2315" s="82"/>
      <c r="LOX2315" s="82"/>
      <c r="LOY2315" s="82"/>
      <c r="LOZ2315" s="82"/>
      <c r="LPA2315" s="82"/>
      <c r="LPB2315" s="82"/>
      <c r="LPC2315" s="82"/>
      <c r="LPD2315" s="82"/>
      <c r="LPE2315" s="82"/>
      <c r="LPF2315" s="82"/>
      <c r="LPG2315" s="82"/>
      <c r="LPH2315" s="82"/>
      <c r="LPI2315" s="82"/>
      <c r="LPJ2315" s="82"/>
      <c r="LPK2315" s="82"/>
      <c r="LPL2315" s="82"/>
      <c r="LPM2315" s="82"/>
      <c r="LPN2315" s="82"/>
      <c r="LPO2315" s="82"/>
      <c r="LPP2315" s="82"/>
      <c r="LPQ2315" s="82"/>
      <c r="LPR2315" s="82"/>
      <c r="LPS2315" s="82"/>
      <c r="LPT2315" s="82"/>
      <c r="LPU2315" s="82"/>
      <c r="LPV2315" s="82"/>
      <c r="LPW2315" s="82"/>
      <c r="LPX2315" s="82"/>
      <c r="LPY2315" s="82"/>
      <c r="LPZ2315" s="82"/>
      <c r="LQA2315" s="82"/>
      <c r="LQB2315" s="82"/>
      <c r="LQC2315" s="82"/>
      <c r="LQD2315" s="82"/>
      <c r="LQE2315" s="82"/>
      <c r="LQF2315" s="82"/>
      <c r="LQG2315" s="82"/>
      <c r="LQH2315" s="82"/>
      <c r="LQI2315" s="82"/>
      <c r="LQJ2315" s="82"/>
      <c r="LQK2315" s="82"/>
      <c r="LQL2315" s="82"/>
      <c r="LQM2315" s="82"/>
      <c r="LQN2315" s="82"/>
      <c r="LQO2315" s="82"/>
      <c r="LQP2315" s="82"/>
      <c r="LQQ2315" s="82"/>
      <c r="LQR2315" s="82"/>
      <c r="LQS2315" s="82"/>
      <c r="LQT2315" s="82"/>
      <c r="LQU2315" s="82"/>
      <c r="LQV2315" s="82"/>
      <c r="LQW2315" s="82"/>
      <c r="LQX2315" s="82"/>
      <c r="LQY2315" s="82"/>
      <c r="LQZ2315" s="82"/>
      <c r="LRA2315" s="82"/>
      <c r="LRB2315" s="82"/>
      <c r="LRC2315" s="82"/>
      <c r="LRD2315" s="82"/>
      <c r="LRE2315" s="82"/>
      <c r="LRF2315" s="82"/>
      <c r="LRG2315" s="82"/>
      <c r="LRH2315" s="82"/>
      <c r="LRI2315" s="82"/>
      <c r="LRJ2315" s="82"/>
      <c r="LRK2315" s="82"/>
      <c r="LRL2315" s="82"/>
      <c r="LRM2315" s="82"/>
      <c r="LRN2315" s="82"/>
      <c r="LRO2315" s="82"/>
      <c r="LRP2315" s="82"/>
      <c r="LRQ2315" s="82"/>
      <c r="LRR2315" s="82"/>
      <c r="LRS2315" s="82"/>
      <c r="LRT2315" s="82"/>
      <c r="LRU2315" s="82"/>
      <c r="LRV2315" s="82"/>
      <c r="LRW2315" s="82"/>
      <c r="LRX2315" s="82"/>
      <c r="LRY2315" s="82"/>
      <c r="LRZ2315" s="82"/>
      <c r="LSA2315" s="82"/>
      <c r="LSB2315" s="82"/>
      <c r="LSC2315" s="82"/>
      <c r="LSD2315" s="82"/>
      <c r="LSE2315" s="82"/>
      <c r="LSF2315" s="82"/>
      <c r="LSG2315" s="82"/>
      <c r="LSH2315" s="82"/>
      <c r="LSI2315" s="82"/>
      <c r="LSJ2315" s="82"/>
      <c r="LSK2315" s="82"/>
      <c r="LSL2315" s="82"/>
      <c r="LSM2315" s="82"/>
      <c r="LSN2315" s="82"/>
      <c r="LSO2315" s="82"/>
      <c r="LSP2315" s="82"/>
      <c r="LSQ2315" s="82"/>
      <c r="LSR2315" s="82"/>
      <c r="LSS2315" s="82"/>
      <c r="LST2315" s="82"/>
      <c r="LSU2315" s="82"/>
      <c r="LSV2315" s="82"/>
      <c r="LSW2315" s="82"/>
      <c r="LSX2315" s="82"/>
      <c r="LSY2315" s="82"/>
      <c r="LSZ2315" s="82"/>
      <c r="LTA2315" s="82"/>
      <c r="LTB2315" s="82"/>
      <c r="LTC2315" s="82"/>
      <c r="LTD2315" s="82"/>
      <c r="LTE2315" s="82"/>
      <c r="LTF2315" s="82"/>
      <c r="LTG2315" s="82"/>
      <c r="LTH2315" s="82"/>
      <c r="LTI2315" s="82"/>
      <c r="LTJ2315" s="82"/>
      <c r="LTK2315" s="82"/>
      <c r="LTL2315" s="82"/>
      <c r="LTM2315" s="82"/>
      <c r="LTN2315" s="82"/>
      <c r="LTO2315" s="82"/>
      <c r="LTP2315" s="82"/>
      <c r="LTQ2315" s="82"/>
      <c r="LTR2315" s="82"/>
      <c r="LTS2315" s="82"/>
      <c r="LTT2315" s="82"/>
      <c r="LTU2315" s="82"/>
      <c r="LTV2315" s="82"/>
      <c r="LTW2315" s="82"/>
      <c r="LTX2315" s="82"/>
      <c r="LTY2315" s="82"/>
      <c r="LTZ2315" s="82"/>
      <c r="LUA2315" s="82"/>
      <c r="LUB2315" s="82"/>
      <c r="LUC2315" s="82"/>
      <c r="LUD2315" s="82"/>
      <c r="LUE2315" s="82"/>
      <c r="LUF2315" s="82"/>
      <c r="LUG2315" s="82"/>
      <c r="LUH2315" s="82"/>
      <c r="LUI2315" s="82"/>
      <c r="LUJ2315" s="82"/>
      <c r="LUK2315" s="82"/>
      <c r="LUL2315" s="82"/>
      <c r="LUM2315" s="82"/>
      <c r="LUN2315" s="82"/>
      <c r="LUO2315" s="82"/>
      <c r="LUP2315" s="82"/>
      <c r="LUQ2315" s="82"/>
      <c r="LUR2315" s="82"/>
      <c r="LUS2315" s="82"/>
      <c r="LUT2315" s="82"/>
      <c r="LUU2315" s="82"/>
      <c r="LUV2315" s="82"/>
      <c r="LUW2315" s="82"/>
      <c r="LUX2315" s="82"/>
      <c r="LUY2315" s="82"/>
      <c r="LUZ2315" s="82"/>
      <c r="LVA2315" s="82"/>
      <c r="LVB2315" s="82"/>
      <c r="LVC2315" s="82"/>
      <c r="LVD2315" s="82"/>
      <c r="LVE2315" s="82"/>
      <c r="LVF2315" s="82"/>
      <c r="LVG2315" s="82"/>
      <c r="LVH2315" s="82"/>
      <c r="LVI2315" s="82"/>
      <c r="LVJ2315" s="82"/>
      <c r="LVK2315" s="82"/>
      <c r="LVL2315" s="82"/>
      <c r="LVM2315" s="82"/>
      <c r="LVN2315" s="82"/>
      <c r="LVO2315" s="82"/>
      <c r="LVP2315" s="82"/>
      <c r="LVQ2315" s="82"/>
      <c r="LVR2315" s="82"/>
      <c r="LVS2315" s="82"/>
      <c r="LVT2315" s="82"/>
      <c r="LVU2315" s="82"/>
      <c r="LVV2315" s="82"/>
      <c r="LVW2315" s="82"/>
      <c r="LVX2315" s="82"/>
      <c r="LVY2315" s="82"/>
      <c r="LVZ2315" s="82"/>
      <c r="LWA2315" s="82"/>
      <c r="LWB2315" s="82"/>
      <c r="LWC2315" s="82"/>
      <c r="LWD2315" s="82"/>
      <c r="LWE2315" s="82"/>
      <c r="LWF2315" s="82"/>
      <c r="LWG2315" s="82"/>
      <c r="LWH2315" s="82"/>
      <c r="LWI2315" s="82"/>
      <c r="LWJ2315" s="82"/>
      <c r="LWK2315" s="82"/>
      <c r="LWL2315" s="82"/>
      <c r="LWM2315" s="82"/>
      <c r="LWN2315" s="82"/>
      <c r="LWO2315" s="82"/>
      <c r="LWP2315" s="82"/>
      <c r="LWQ2315" s="82"/>
      <c r="LWR2315" s="82"/>
      <c r="LWS2315" s="82"/>
      <c r="LWT2315" s="82"/>
      <c r="LWU2315" s="82"/>
      <c r="LWV2315" s="82"/>
      <c r="LWW2315" s="82"/>
      <c r="LWX2315" s="82"/>
      <c r="LWY2315" s="82"/>
      <c r="LWZ2315" s="82"/>
      <c r="LXA2315" s="82"/>
      <c r="LXB2315" s="82"/>
      <c r="LXC2315" s="82"/>
      <c r="LXD2315" s="82"/>
      <c r="LXE2315" s="82"/>
      <c r="LXF2315" s="82"/>
      <c r="LXG2315" s="82"/>
      <c r="LXH2315" s="82"/>
      <c r="LXI2315" s="82"/>
      <c r="LXJ2315" s="82"/>
      <c r="LXK2315" s="82"/>
      <c r="LXL2315" s="82"/>
      <c r="LXM2315" s="82"/>
      <c r="LXN2315" s="82"/>
      <c r="LXO2315" s="82"/>
      <c r="LXP2315" s="82"/>
      <c r="LXQ2315" s="82"/>
      <c r="LXR2315" s="82"/>
      <c r="LXS2315" s="82"/>
      <c r="LXT2315" s="82"/>
      <c r="LXU2315" s="82"/>
      <c r="LXV2315" s="82"/>
      <c r="LXW2315" s="82"/>
      <c r="LXX2315" s="82"/>
      <c r="LXY2315" s="82"/>
      <c r="LXZ2315" s="82"/>
      <c r="LYA2315" s="82"/>
      <c r="LYB2315" s="82"/>
      <c r="LYC2315" s="82"/>
      <c r="LYD2315" s="82"/>
      <c r="LYE2315" s="82"/>
      <c r="LYF2315" s="82"/>
      <c r="LYG2315" s="82"/>
      <c r="LYH2315" s="82"/>
      <c r="LYI2315" s="82"/>
      <c r="LYJ2315" s="82"/>
      <c r="LYK2315" s="82"/>
      <c r="LYL2315" s="82"/>
      <c r="LYM2315" s="82"/>
      <c r="LYN2315" s="82"/>
      <c r="LYO2315" s="82"/>
      <c r="LYP2315" s="82"/>
      <c r="LYQ2315" s="82"/>
      <c r="LYR2315" s="82"/>
      <c r="LYS2315" s="82"/>
      <c r="LYT2315" s="82"/>
      <c r="LYU2315" s="82"/>
      <c r="LYV2315" s="82"/>
      <c r="LYW2315" s="82"/>
      <c r="LYX2315" s="82"/>
      <c r="LYY2315" s="82"/>
      <c r="LYZ2315" s="82"/>
      <c r="LZA2315" s="82"/>
      <c r="LZB2315" s="82"/>
      <c r="LZC2315" s="82"/>
      <c r="LZD2315" s="82"/>
      <c r="LZE2315" s="82"/>
      <c r="LZF2315" s="82"/>
      <c r="LZG2315" s="82"/>
      <c r="LZH2315" s="82"/>
      <c r="LZI2315" s="82"/>
      <c r="LZJ2315" s="82"/>
      <c r="LZK2315" s="82"/>
      <c r="LZL2315" s="82"/>
      <c r="LZM2315" s="82"/>
      <c r="LZN2315" s="82"/>
      <c r="LZO2315" s="82"/>
      <c r="LZP2315" s="82"/>
      <c r="LZQ2315" s="82"/>
      <c r="LZR2315" s="82"/>
      <c r="LZS2315" s="82"/>
      <c r="LZT2315" s="82"/>
      <c r="LZU2315" s="82"/>
      <c r="LZV2315" s="82"/>
      <c r="LZW2315" s="82"/>
      <c r="LZX2315" s="82"/>
      <c r="LZY2315" s="82"/>
      <c r="LZZ2315" s="82"/>
      <c r="MAA2315" s="82"/>
      <c r="MAB2315" s="82"/>
      <c r="MAC2315" s="82"/>
      <c r="MAD2315" s="82"/>
      <c r="MAE2315" s="82"/>
      <c r="MAF2315" s="82"/>
      <c r="MAG2315" s="82"/>
      <c r="MAH2315" s="82"/>
      <c r="MAI2315" s="82"/>
      <c r="MAJ2315" s="82"/>
      <c r="MAK2315" s="82"/>
      <c r="MAL2315" s="82"/>
      <c r="MAM2315" s="82"/>
      <c r="MAN2315" s="82"/>
      <c r="MAO2315" s="82"/>
      <c r="MAP2315" s="82"/>
      <c r="MAQ2315" s="82"/>
      <c r="MAR2315" s="82"/>
      <c r="MAS2315" s="82"/>
      <c r="MAT2315" s="82"/>
      <c r="MAU2315" s="82"/>
      <c r="MAV2315" s="82"/>
      <c r="MAW2315" s="82"/>
      <c r="MAX2315" s="82"/>
      <c r="MAY2315" s="82"/>
      <c r="MAZ2315" s="82"/>
      <c r="MBA2315" s="82"/>
      <c r="MBB2315" s="82"/>
      <c r="MBC2315" s="82"/>
      <c r="MBD2315" s="82"/>
      <c r="MBE2315" s="82"/>
      <c r="MBF2315" s="82"/>
      <c r="MBG2315" s="82"/>
      <c r="MBH2315" s="82"/>
      <c r="MBI2315" s="82"/>
      <c r="MBJ2315" s="82"/>
      <c r="MBK2315" s="82"/>
      <c r="MBL2315" s="82"/>
      <c r="MBM2315" s="82"/>
      <c r="MBN2315" s="82"/>
      <c r="MBO2315" s="82"/>
      <c r="MBP2315" s="82"/>
      <c r="MBQ2315" s="82"/>
      <c r="MBR2315" s="82"/>
      <c r="MBS2315" s="82"/>
      <c r="MBT2315" s="82"/>
      <c r="MBU2315" s="82"/>
      <c r="MBV2315" s="82"/>
      <c r="MBW2315" s="82"/>
      <c r="MBX2315" s="82"/>
      <c r="MBY2315" s="82"/>
      <c r="MBZ2315" s="82"/>
      <c r="MCA2315" s="82"/>
      <c r="MCB2315" s="82"/>
      <c r="MCC2315" s="82"/>
      <c r="MCD2315" s="82"/>
      <c r="MCE2315" s="82"/>
      <c r="MCF2315" s="82"/>
      <c r="MCG2315" s="82"/>
      <c r="MCH2315" s="82"/>
      <c r="MCI2315" s="82"/>
      <c r="MCJ2315" s="82"/>
      <c r="MCK2315" s="82"/>
      <c r="MCL2315" s="82"/>
      <c r="MCM2315" s="82"/>
      <c r="MCN2315" s="82"/>
      <c r="MCO2315" s="82"/>
      <c r="MCP2315" s="82"/>
      <c r="MCQ2315" s="82"/>
      <c r="MCR2315" s="82"/>
      <c r="MCS2315" s="82"/>
      <c r="MCT2315" s="82"/>
      <c r="MCU2315" s="82"/>
      <c r="MCV2315" s="82"/>
      <c r="MCW2315" s="82"/>
      <c r="MCX2315" s="82"/>
      <c r="MCY2315" s="82"/>
      <c r="MCZ2315" s="82"/>
      <c r="MDA2315" s="82"/>
      <c r="MDB2315" s="82"/>
      <c r="MDC2315" s="82"/>
      <c r="MDD2315" s="82"/>
      <c r="MDE2315" s="82"/>
      <c r="MDF2315" s="82"/>
      <c r="MDG2315" s="82"/>
      <c r="MDH2315" s="82"/>
      <c r="MDI2315" s="82"/>
      <c r="MDJ2315" s="82"/>
      <c r="MDK2315" s="82"/>
      <c r="MDL2315" s="82"/>
      <c r="MDM2315" s="82"/>
      <c r="MDN2315" s="82"/>
      <c r="MDO2315" s="82"/>
      <c r="MDP2315" s="82"/>
      <c r="MDQ2315" s="82"/>
      <c r="MDR2315" s="82"/>
      <c r="MDS2315" s="82"/>
      <c r="MDT2315" s="82"/>
      <c r="MDU2315" s="82"/>
      <c r="MDV2315" s="82"/>
      <c r="MDW2315" s="82"/>
      <c r="MDX2315" s="82"/>
      <c r="MDY2315" s="82"/>
      <c r="MDZ2315" s="82"/>
      <c r="MEA2315" s="82"/>
      <c r="MEB2315" s="82"/>
      <c r="MEC2315" s="82"/>
      <c r="MED2315" s="82"/>
      <c r="MEE2315" s="82"/>
      <c r="MEF2315" s="82"/>
      <c r="MEG2315" s="82"/>
      <c r="MEH2315" s="82"/>
      <c r="MEI2315" s="82"/>
      <c r="MEJ2315" s="82"/>
      <c r="MEK2315" s="82"/>
      <c r="MEL2315" s="82"/>
      <c r="MEM2315" s="82"/>
      <c r="MEN2315" s="82"/>
      <c r="MEO2315" s="82"/>
      <c r="MEP2315" s="82"/>
      <c r="MEQ2315" s="82"/>
      <c r="MER2315" s="82"/>
      <c r="MES2315" s="82"/>
      <c r="MET2315" s="82"/>
      <c r="MEU2315" s="82"/>
      <c r="MEV2315" s="82"/>
      <c r="MEW2315" s="82"/>
      <c r="MEX2315" s="82"/>
      <c r="MEY2315" s="82"/>
      <c r="MEZ2315" s="82"/>
      <c r="MFA2315" s="82"/>
      <c r="MFB2315" s="82"/>
      <c r="MFC2315" s="82"/>
      <c r="MFD2315" s="82"/>
      <c r="MFE2315" s="82"/>
      <c r="MFF2315" s="82"/>
      <c r="MFG2315" s="82"/>
      <c r="MFH2315" s="82"/>
      <c r="MFI2315" s="82"/>
      <c r="MFJ2315" s="82"/>
      <c r="MFK2315" s="82"/>
      <c r="MFL2315" s="82"/>
      <c r="MFM2315" s="82"/>
      <c r="MFN2315" s="82"/>
      <c r="MFO2315" s="82"/>
      <c r="MFP2315" s="82"/>
      <c r="MFQ2315" s="82"/>
      <c r="MFR2315" s="82"/>
      <c r="MFS2315" s="82"/>
      <c r="MFT2315" s="82"/>
      <c r="MFU2315" s="82"/>
      <c r="MFV2315" s="82"/>
      <c r="MFW2315" s="82"/>
      <c r="MFX2315" s="82"/>
      <c r="MFY2315" s="82"/>
      <c r="MFZ2315" s="82"/>
      <c r="MGA2315" s="82"/>
      <c r="MGB2315" s="82"/>
      <c r="MGC2315" s="82"/>
      <c r="MGD2315" s="82"/>
      <c r="MGE2315" s="82"/>
      <c r="MGF2315" s="82"/>
      <c r="MGG2315" s="82"/>
      <c r="MGH2315" s="82"/>
      <c r="MGI2315" s="82"/>
      <c r="MGJ2315" s="82"/>
      <c r="MGK2315" s="82"/>
      <c r="MGL2315" s="82"/>
      <c r="MGM2315" s="82"/>
      <c r="MGN2315" s="82"/>
      <c r="MGO2315" s="82"/>
      <c r="MGP2315" s="82"/>
      <c r="MGQ2315" s="82"/>
      <c r="MGR2315" s="82"/>
      <c r="MGS2315" s="82"/>
      <c r="MGT2315" s="82"/>
      <c r="MGU2315" s="82"/>
      <c r="MGV2315" s="82"/>
      <c r="MGW2315" s="82"/>
      <c r="MGX2315" s="82"/>
      <c r="MGY2315" s="82"/>
      <c r="MGZ2315" s="82"/>
      <c r="MHA2315" s="82"/>
      <c r="MHB2315" s="82"/>
      <c r="MHC2315" s="82"/>
      <c r="MHD2315" s="82"/>
      <c r="MHE2315" s="82"/>
      <c r="MHF2315" s="82"/>
      <c r="MHG2315" s="82"/>
      <c r="MHH2315" s="82"/>
      <c r="MHI2315" s="82"/>
      <c r="MHJ2315" s="82"/>
      <c r="MHK2315" s="82"/>
      <c r="MHL2315" s="82"/>
      <c r="MHM2315" s="82"/>
      <c r="MHN2315" s="82"/>
      <c r="MHO2315" s="82"/>
      <c r="MHP2315" s="82"/>
      <c r="MHQ2315" s="82"/>
      <c r="MHR2315" s="82"/>
      <c r="MHS2315" s="82"/>
      <c r="MHT2315" s="82"/>
      <c r="MHU2315" s="82"/>
      <c r="MHV2315" s="82"/>
      <c r="MHW2315" s="82"/>
      <c r="MHX2315" s="82"/>
      <c r="MHY2315" s="82"/>
      <c r="MHZ2315" s="82"/>
      <c r="MIA2315" s="82"/>
      <c r="MIB2315" s="82"/>
      <c r="MIC2315" s="82"/>
      <c r="MID2315" s="82"/>
      <c r="MIE2315" s="82"/>
      <c r="MIF2315" s="82"/>
      <c r="MIG2315" s="82"/>
      <c r="MIH2315" s="82"/>
      <c r="MII2315" s="82"/>
      <c r="MIJ2315" s="82"/>
      <c r="MIK2315" s="82"/>
      <c r="MIL2315" s="82"/>
      <c r="MIM2315" s="82"/>
      <c r="MIN2315" s="82"/>
      <c r="MIO2315" s="82"/>
      <c r="MIP2315" s="82"/>
      <c r="MIQ2315" s="82"/>
      <c r="MIR2315" s="82"/>
      <c r="MIS2315" s="82"/>
      <c r="MIT2315" s="82"/>
      <c r="MIU2315" s="82"/>
      <c r="MIV2315" s="82"/>
      <c r="MIW2315" s="82"/>
      <c r="MIX2315" s="82"/>
      <c r="MIY2315" s="82"/>
      <c r="MIZ2315" s="82"/>
      <c r="MJA2315" s="82"/>
      <c r="MJB2315" s="82"/>
      <c r="MJC2315" s="82"/>
      <c r="MJD2315" s="82"/>
      <c r="MJE2315" s="82"/>
      <c r="MJF2315" s="82"/>
      <c r="MJG2315" s="82"/>
      <c r="MJH2315" s="82"/>
      <c r="MJI2315" s="82"/>
      <c r="MJJ2315" s="82"/>
      <c r="MJK2315" s="82"/>
      <c r="MJL2315" s="82"/>
      <c r="MJM2315" s="82"/>
      <c r="MJN2315" s="82"/>
      <c r="MJO2315" s="82"/>
      <c r="MJP2315" s="82"/>
      <c r="MJQ2315" s="82"/>
      <c r="MJR2315" s="82"/>
      <c r="MJS2315" s="82"/>
      <c r="MJT2315" s="82"/>
      <c r="MJU2315" s="82"/>
      <c r="MJV2315" s="82"/>
      <c r="MJW2315" s="82"/>
      <c r="MJX2315" s="82"/>
      <c r="MJY2315" s="82"/>
      <c r="MJZ2315" s="82"/>
      <c r="MKA2315" s="82"/>
      <c r="MKB2315" s="82"/>
      <c r="MKC2315" s="82"/>
      <c r="MKD2315" s="82"/>
      <c r="MKE2315" s="82"/>
      <c r="MKF2315" s="82"/>
      <c r="MKG2315" s="82"/>
      <c r="MKH2315" s="82"/>
      <c r="MKI2315" s="82"/>
      <c r="MKJ2315" s="82"/>
      <c r="MKK2315" s="82"/>
      <c r="MKL2315" s="82"/>
      <c r="MKM2315" s="82"/>
      <c r="MKN2315" s="82"/>
      <c r="MKO2315" s="82"/>
      <c r="MKP2315" s="82"/>
      <c r="MKQ2315" s="82"/>
      <c r="MKR2315" s="82"/>
      <c r="MKS2315" s="82"/>
      <c r="MKT2315" s="82"/>
      <c r="MKU2315" s="82"/>
      <c r="MKV2315" s="82"/>
      <c r="MKW2315" s="82"/>
      <c r="MKX2315" s="82"/>
      <c r="MKY2315" s="82"/>
      <c r="MKZ2315" s="82"/>
      <c r="MLA2315" s="82"/>
      <c r="MLB2315" s="82"/>
      <c r="MLC2315" s="82"/>
      <c r="MLD2315" s="82"/>
      <c r="MLE2315" s="82"/>
      <c r="MLF2315" s="82"/>
      <c r="MLG2315" s="82"/>
      <c r="MLH2315" s="82"/>
      <c r="MLI2315" s="82"/>
      <c r="MLJ2315" s="82"/>
      <c r="MLK2315" s="82"/>
      <c r="MLL2315" s="82"/>
      <c r="MLM2315" s="82"/>
      <c r="MLN2315" s="82"/>
      <c r="MLO2315" s="82"/>
      <c r="MLP2315" s="82"/>
      <c r="MLQ2315" s="82"/>
      <c r="MLR2315" s="82"/>
      <c r="MLS2315" s="82"/>
      <c r="MLT2315" s="82"/>
      <c r="MLU2315" s="82"/>
      <c r="MLV2315" s="82"/>
      <c r="MLW2315" s="82"/>
      <c r="MLX2315" s="82"/>
      <c r="MLY2315" s="82"/>
      <c r="MLZ2315" s="82"/>
      <c r="MMA2315" s="82"/>
      <c r="MMB2315" s="82"/>
      <c r="MMC2315" s="82"/>
      <c r="MMD2315" s="82"/>
      <c r="MME2315" s="82"/>
      <c r="MMF2315" s="82"/>
      <c r="MMG2315" s="82"/>
      <c r="MMH2315" s="82"/>
      <c r="MMI2315" s="82"/>
      <c r="MMJ2315" s="82"/>
      <c r="MMK2315" s="82"/>
      <c r="MML2315" s="82"/>
      <c r="MMM2315" s="82"/>
      <c r="MMN2315" s="82"/>
      <c r="MMO2315" s="82"/>
      <c r="MMP2315" s="82"/>
      <c r="MMQ2315" s="82"/>
      <c r="MMR2315" s="82"/>
      <c r="MMS2315" s="82"/>
      <c r="MMT2315" s="82"/>
      <c r="MMU2315" s="82"/>
      <c r="MMV2315" s="82"/>
      <c r="MMW2315" s="82"/>
      <c r="MMX2315" s="82"/>
      <c r="MMY2315" s="82"/>
      <c r="MMZ2315" s="82"/>
      <c r="MNA2315" s="82"/>
      <c r="MNB2315" s="82"/>
      <c r="MNC2315" s="82"/>
      <c r="MND2315" s="82"/>
      <c r="MNE2315" s="82"/>
      <c r="MNF2315" s="82"/>
      <c r="MNG2315" s="82"/>
      <c r="MNH2315" s="82"/>
      <c r="MNI2315" s="82"/>
      <c r="MNJ2315" s="82"/>
      <c r="MNK2315" s="82"/>
      <c r="MNL2315" s="82"/>
      <c r="MNM2315" s="82"/>
      <c r="MNN2315" s="82"/>
      <c r="MNO2315" s="82"/>
      <c r="MNP2315" s="82"/>
      <c r="MNQ2315" s="82"/>
      <c r="MNR2315" s="82"/>
      <c r="MNS2315" s="82"/>
      <c r="MNT2315" s="82"/>
      <c r="MNU2315" s="82"/>
      <c r="MNV2315" s="82"/>
      <c r="MNW2315" s="82"/>
      <c r="MNX2315" s="82"/>
      <c r="MNY2315" s="82"/>
      <c r="MNZ2315" s="82"/>
      <c r="MOA2315" s="82"/>
      <c r="MOB2315" s="82"/>
      <c r="MOC2315" s="82"/>
      <c r="MOD2315" s="82"/>
      <c r="MOE2315" s="82"/>
      <c r="MOF2315" s="82"/>
      <c r="MOG2315" s="82"/>
      <c r="MOH2315" s="82"/>
      <c r="MOI2315" s="82"/>
      <c r="MOJ2315" s="82"/>
      <c r="MOK2315" s="82"/>
      <c r="MOL2315" s="82"/>
      <c r="MOM2315" s="82"/>
      <c r="MON2315" s="82"/>
      <c r="MOO2315" s="82"/>
      <c r="MOP2315" s="82"/>
      <c r="MOQ2315" s="82"/>
      <c r="MOR2315" s="82"/>
      <c r="MOS2315" s="82"/>
      <c r="MOT2315" s="82"/>
      <c r="MOU2315" s="82"/>
      <c r="MOV2315" s="82"/>
      <c r="MOW2315" s="82"/>
      <c r="MOX2315" s="82"/>
      <c r="MOY2315" s="82"/>
      <c r="MOZ2315" s="82"/>
      <c r="MPA2315" s="82"/>
      <c r="MPB2315" s="82"/>
      <c r="MPC2315" s="82"/>
      <c r="MPD2315" s="82"/>
      <c r="MPE2315" s="82"/>
      <c r="MPF2315" s="82"/>
      <c r="MPG2315" s="82"/>
      <c r="MPH2315" s="82"/>
      <c r="MPI2315" s="82"/>
      <c r="MPJ2315" s="82"/>
      <c r="MPK2315" s="82"/>
      <c r="MPL2315" s="82"/>
      <c r="MPM2315" s="82"/>
      <c r="MPN2315" s="82"/>
      <c r="MPO2315" s="82"/>
      <c r="MPP2315" s="82"/>
      <c r="MPQ2315" s="82"/>
      <c r="MPR2315" s="82"/>
      <c r="MPS2315" s="82"/>
      <c r="MPT2315" s="82"/>
      <c r="MPU2315" s="82"/>
      <c r="MPV2315" s="82"/>
      <c r="MPW2315" s="82"/>
      <c r="MPX2315" s="82"/>
      <c r="MPY2315" s="82"/>
      <c r="MPZ2315" s="82"/>
      <c r="MQA2315" s="82"/>
      <c r="MQB2315" s="82"/>
      <c r="MQC2315" s="82"/>
      <c r="MQD2315" s="82"/>
      <c r="MQE2315" s="82"/>
      <c r="MQF2315" s="82"/>
      <c r="MQG2315" s="82"/>
      <c r="MQH2315" s="82"/>
      <c r="MQI2315" s="82"/>
      <c r="MQJ2315" s="82"/>
      <c r="MQK2315" s="82"/>
      <c r="MQL2315" s="82"/>
      <c r="MQM2315" s="82"/>
      <c r="MQN2315" s="82"/>
      <c r="MQO2315" s="82"/>
      <c r="MQP2315" s="82"/>
      <c r="MQQ2315" s="82"/>
      <c r="MQR2315" s="82"/>
      <c r="MQS2315" s="82"/>
      <c r="MQT2315" s="82"/>
      <c r="MQU2315" s="82"/>
      <c r="MQV2315" s="82"/>
      <c r="MQW2315" s="82"/>
      <c r="MQX2315" s="82"/>
      <c r="MQY2315" s="82"/>
      <c r="MQZ2315" s="82"/>
      <c r="MRA2315" s="82"/>
      <c r="MRB2315" s="82"/>
      <c r="MRC2315" s="82"/>
      <c r="MRD2315" s="82"/>
      <c r="MRE2315" s="82"/>
      <c r="MRF2315" s="82"/>
      <c r="MRG2315" s="82"/>
      <c r="MRH2315" s="82"/>
      <c r="MRI2315" s="82"/>
      <c r="MRJ2315" s="82"/>
      <c r="MRK2315" s="82"/>
      <c r="MRL2315" s="82"/>
      <c r="MRM2315" s="82"/>
      <c r="MRN2315" s="82"/>
      <c r="MRO2315" s="82"/>
      <c r="MRP2315" s="82"/>
      <c r="MRQ2315" s="82"/>
      <c r="MRR2315" s="82"/>
      <c r="MRS2315" s="82"/>
      <c r="MRT2315" s="82"/>
      <c r="MRU2315" s="82"/>
      <c r="MRV2315" s="82"/>
      <c r="MRW2315" s="82"/>
      <c r="MRX2315" s="82"/>
      <c r="MRY2315" s="82"/>
      <c r="MRZ2315" s="82"/>
      <c r="MSA2315" s="82"/>
      <c r="MSB2315" s="82"/>
      <c r="MSC2315" s="82"/>
      <c r="MSD2315" s="82"/>
      <c r="MSE2315" s="82"/>
      <c r="MSF2315" s="82"/>
      <c r="MSG2315" s="82"/>
      <c r="MSH2315" s="82"/>
      <c r="MSI2315" s="82"/>
      <c r="MSJ2315" s="82"/>
      <c r="MSK2315" s="82"/>
      <c r="MSL2315" s="82"/>
      <c r="MSM2315" s="82"/>
      <c r="MSN2315" s="82"/>
      <c r="MSO2315" s="82"/>
      <c r="MSP2315" s="82"/>
      <c r="MSQ2315" s="82"/>
      <c r="MSR2315" s="82"/>
      <c r="MSS2315" s="82"/>
      <c r="MST2315" s="82"/>
      <c r="MSU2315" s="82"/>
      <c r="MSV2315" s="82"/>
      <c r="MSW2315" s="82"/>
      <c r="MSX2315" s="82"/>
      <c r="MSY2315" s="82"/>
      <c r="MSZ2315" s="82"/>
      <c r="MTA2315" s="82"/>
      <c r="MTB2315" s="82"/>
      <c r="MTC2315" s="82"/>
      <c r="MTD2315" s="82"/>
      <c r="MTE2315" s="82"/>
      <c r="MTF2315" s="82"/>
      <c r="MTG2315" s="82"/>
      <c r="MTH2315" s="82"/>
      <c r="MTI2315" s="82"/>
      <c r="MTJ2315" s="82"/>
      <c r="MTK2315" s="82"/>
      <c r="MTL2315" s="82"/>
      <c r="MTM2315" s="82"/>
      <c r="MTN2315" s="82"/>
      <c r="MTO2315" s="82"/>
      <c r="MTP2315" s="82"/>
      <c r="MTQ2315" s="82"/>
      <c r="MTR2315" s="82"/>
      <c r="MTS2315" s="82"/>
      <c r="MTT2315" s="82"/>
      <c r="MTU2315" s="82"/>
      <c r="MTV2315" s="82"/>
      <c r="MTW2315" s="82"/>
      <c r="MTX2315" s="82"/>
      <c r="MTY2315" s="82"/>
      <c r="MTZ2315" s="82"/>
      <c r="MUA2315" s="82"/>
      <c r="MUB2315" s="82"/>
      <c r="MUC2315" s="82"/>
      <c r="MUD2315" s="82"/>
      <c r="MUE2315" s="82"/>
      <c r="MUF2315" s="82"/>
      <c r="MUG2315" s="82"/>
      <c r="MUH2315" s="82"/>
      <c r="MUI2315" s="82"/>
      <c r="MUJ2315" s="82"/>
      <c r="MUK2315" s="82"/>
      <c r="MUL2315" s="82"/>
      <c r="MUM2315" s="82"/>
      <c r="MUN2315" s="82"/>
      <c r="MUO2315" s="82"/>
      <c r="MUP2315" s="82"/>
      <c r="MUQ2315" s="82"/>
      <c r="MUR2315" s="82"/>
      <c r="MUS2315" s="82"/>
      <c r="MUT2315" s="82"/>
      <c r="MUU2315" s="82"/>
      <c r="MUV2315" s="82"/>
      <c r="MUW2315" s="82"/>
      <c r="MUX2315" s="82"/>
      <c r="MUY2315" s="82"/>
      <c r="MUZ2315" s="82"/>
      <c r="MVA2315" s="82"/>
      <c r="MVB2315" s="82"/>
      <c r="MVC2315" s="82"/>
      <c r="MVD2315" s="82"/>
      <c r="MVE2315" s="82"/>
      <c r="MVF2315" s="82"/>
      <c r="MVG2315" s="82"/>
      <c r="MVH2315" s="82"/>
      <c r="MVI2315" s="82"/>
      <c r="MVJ2315" s="82"/>
      <c r="MVK2315" s="82"/>
      <c r="MVL2315" s="82"/>
      <c r="MVM2315" s="82"/>
      <c r="MVN2315" s="82"/>
      <c r="MVO2315" s="82"/>
      <c r="MVP2315" s="82"/>
      <c r="MVQ2315" s="82"/>
      <c r="MVR2315" s="82"/>
      <c r="MVS2315" s="82"/>
      <c r="MVT2315" s="82"/>
      <c r="MVU2315" s="82"/>
      <c r="MVV2315" s="82"/>
      <c r="MVW2315" s="82"/>
      <c r="MVX2315" s="82"/>
      <c r="MVY2315" s="82"/>
      <c r="MVZ2315" s="82"/>
      <c r="MWA2315" s="82"/>
      <c r="MWB2315" s="82"/>
      <c r="MWC2315" s="82"/>
      <c r="MWD2315" s="82"/>
      <c r="MWE2315" s="82"/>
      <c r="MWF2315" s="82"/>
      <c r="MWG2315" s="82"/>
      <c r="MWH2315" s="82"/>
      <c r="MWI2315" s="82"/>
      <c r="MWJ2315" s="82"/>
      <c r="MWK2315" s="82"/>
      <c r="MWL2315" s="82"/>
      <c r="MWM2315" s="82"/>
      <c r="MWN2315" s="82"/>
      <c r="MWO2315" s="82"/>
      <c r="MWP2315" s="82"/>
      <c r="MWQ2315" s="82"/>
      <c r="MWR2315" s="82"/>
      <c r="MWS2315" s="82"/>
      <c r="MWT2315" s="82"/>
      <c r="MWU2315" s="82"/>
      <c r="MWV2315" s="82"/>
      <c r="MWW2315" s="82"/>
      <c r="MWX2315" s="82"/>
      <c r="MWY2315" s="82"/>
      <c r="MWZ2315" s="82"/>
      <c r="MXA2315" s="82"/>
      <c r="MXB2315" s="82"/>
      <c r="MXC2315" s="82"/>
      <c r="MXD2315" s="82"/>
      <c r="MXE2315" s="82"/>
      <c r="MXF2315" s="82"/>
      <c r="MXG2315" s="82"/>
      <c r="MXH2315" s="82"/>
      <c r="MXI2315" s="82"/>
      <c r="MXJ2315" s="82"/>
      <c r="MXK2315" s="82"/>
      <c r="MXL2315" s="82"/>
      <c r="MXM2315" s="82"/>
      <c r="MXN2315" s="82"/>
      <c r="MXO2315" s="82"/>
      <c r="MXP2315" s="82"/>
      <c r="MXQ2315" s="82"/>
      <c r="MXR2315" s="82"/>
      <c r="MXS2315" s="82"/>
      <c r="MXT2315" s="82"/>
      <c r="MXU2315" s="82"/>
      <c r="MXV2315" s="82"/>
      <c r="MXW2315" s="82"/>
      <c r="MXX2315" s="82"/>
      <c r="MXY2315" s="82"/>
      <c r="MXZ2315" s="82"/>
      <c r="MYA2315" s="82"/>
      <c r="MYB2315" s="82"/>
      <c r="MYC2315" s="82"/>
      <c r="MYD2315" s="82"/>
      <c r="MYE2315" s="82"/>
      <c r="MYF2315" s="82"/>
      <c r="MYG2315" s="82"/>
      <c r="MYH2315" s="82"/>
      <c r="MYI2315" s="82"/>
      <c r="MYJ2315" s="82"/>
      <c r="MYK2315" s="82"/>
      <c r="MYL2315" s="82"/>
      <c r="MYM2315" s="82"/>
      <c r="MYN2315" s="82"/>
      <c r="MYO2315" s="82"/>
      <c r="MYP2315" s="82"/>
      <c r="MYQ2315" s="82"/>
      <c r="MYR2315" s="82"/>
      <c r="MYS2315" s="82"/>
      <c r="MYT2315" s="82"/>
      <c r="MYU2315" s="82"/>
      <c r="MYV2315" s="82"/>
      <c r="MYW2315" s="82"/>
      <c r="MYX2315" s="82"/>
      <c r="MYY2315" s="82"/>
      <c r="MYZ2315" s="82"/>
      <c r="MZA2315" s="82"/>
      <c r="MZB2315" s="82"/>
      <c r="MZC2315" s="82"/>
      <c r="MZD2315" s="82"/>
      <c r="MZE2315" s="82"/>
      <c r="MZF2315" s="82"/>
      <c r="MZG2315" s="82"/>
      <c r="MZH2315" s="82"/>
      <c r="MZI2315" s="82"/>
      <c r="MZJ2315" s="82"/>
      <c r="MZK2315" s="82"/>
      <c r="MZL2315" s="82"/>
      <c r="MZM2315" s="82"/>
      <c r="MZN2315" s="82"/>
      <c r="MZO2315" s="82"/>
      <c r="MZP2315" s="82"/>
      <c r="MZQ2315" s="82"/>
      <c r="MZR2315" s="82"/>
      <c r="MZS2315" s="82"/>
      <c r="MZT2315" s="82"/>
      <c r="MZU2315" s="82"/>
      <c r="MZV2315" s="82"/>
      <c r="MZW2315" s="82"/>
      <c r="MZX2315" s="82"/>
      <c r="MZY2315" s="82"/>
      <c r="MZZ2315" s="82"/>
      <c r="NAA2315" s="82"/>
      <c r="NAB2315" s="82"/>
      <c r="NAC2315" s="82"/>
      <c r="NAD2315" s="82"/>
      <c r="NAE2315" s="82"/>
      <c r="NAF2315" s="82"/>
      <c r="NAG2315" s="82"/>
      <c r="NAH2315" s="82"/>
      <c r="NAI2315" s="82"/>
      <c r="NAJ2315" s="82"/>
      <c r="NAK2315" s="82"/>
      <c r="NAL2315" s="82"/>
      <c r="NAM2315" s="82"/>
      <c r="NAN2315" s="82"/>
      <c r="NAO2315" s="82"/>
      <c r="NAP2315" s="82"/>
      <c r="NAQ2315" s="82"/>
      <c r="NAR2315" s="82"/>
      <c r="NAS2315" s="82"/>
      <c r="NAT2315" s="82"/>
      <c r="NAU2315" s="82"/>
      <c r="NAV2315" s="82"/>
      <c r="NAW2315" s="82"/>
      <c r="NAX2315" s="82"/>
      <c r="NAY2315" s="82"/>
      <c r="NAZ2315" s="82"/>
      <c r="NBA2315" s="82"/>
      <c r="NBB2315" s="82"/>
      <c r="NBC2315" s="82"/>
      <c r="NBD2315" s="82"/>
      <c r="NBE2315" s="82"/>
      <c r="NBF2315" s="82"/>
      <c r="NBG2315" s="82"/>
      <c r="NBH2315" s="82"/>
      <c r="NBI2315" s="82"/>
      <c r="NBJ2315" s="82"/>
      <c r="NBK2315" s="82"/>
      <c r="NBL2315" s="82"/>
      <c r="NBM2315" s="82"/>
      <c r="NBN2315" s="82"/>
      <c r="NBO2315" s="82"/>
      <c r="NBP2315" s="82"/>
      <c r="NBQ2315" s="82"/>
      <c r="NBR2315" s="82"/>
      <c r="NBS2315" s="82"/>
      <c r="NBT2315" s="82"/>
      <c r="NBU2315" s="82"/>
      <c r="NBV2315" s="82"/>
      <c r="NBW2315" s="82"/>
      <c r="NBX2315" s="82"/>
      <c r="NBY2315" s="82"/>
      <c r="NBZ2315" s="82"/>
      <c r="NCA2315" s="82"/>
      <c r="NCB2315" s="82"/>
      <c r="NCC2315" s="82"/>
      <c r="NCD2315" s="82"/>
      <c r="NCE2315" s="82"/>
      <c r="NCF2315" s="82"/>
      <c r="NCG2315" s="82"/>
      <c r="NCH2315" s="82"/>
      <c r="NCI2315" s="82"/>
      <c r="NCJ2315" s="82"/>
      <c r="NCK2315" s="82"/>
      <c r="NCL2315" s="82"/>
      <c r="NCM2315" s="82"/>
      <c r="NCN2315" s="82"/>
      <c r="NCO2315" s="82"/>
      <c r="NCP2315" s="82"/>
      <c r="NCQ2315" s="82"/>
      <c r="NCR2315" s="82"/>
      <c r="NCS2315" s="82"/>
      <c r="NCT2315" s="82"/>
      <c r="NCU2315" s="82"/>
      <c r="NCV2315" s="82"/>
      <c r="NCW2315" s="82"/>
      <c r="NCX2315" s="82"/>
      <c r="NCY2315" s="82"/>
      <c r="NCZ2315" s="82"/>
      <c r="NDA2315" s="82"/>
      <c r="NDB2315" s="82"/>
      <c r="NDC2315" s="82"/>
      <c r="NDD2315" s="82"/>
      <c r="NDE2315" s="82"/>
      <c r="NDF2315" s="82"/>
      <c r="NDG2315" s="82"/>
      <c r="NDH2315" s="82"/>
      <c r="NDI2315" s="82"/>
      <c r="NDJ2315" s="82"/>
      <c r="NDK2315" s="82"/>
      <c r="NDL2315" s="82"/>
      <c r="NDM2315" s="82"/>
      <c r="NDN2315" s="82"/>
      <c r="NDO2315" s="82"/>
      <c r="NDP2315" s="82"/>
      <c r="NDQ2315" s="82"/>
      <c r="NDR2315" s="82"/>
      <c r="NDS2315" s="82"/>
      <c r="NDT2315" s="82"/>
      <c r="NDU2315" s="82"/>
      <c r="NDV2315" s="82"/>
      <c r="NDW2315" s="82"/>
      <c r="NDX2315" s="82"/>
      <c r="NDY2315" s="82"/>
      <c r="NDZ2315" s="82"/>
      <c r="NEA2315" s="82"/>
      <c r="NEB2315" s="82"/>
      <c r="NEC2315" s="82"/>
      <c r="NED2315" s="82"/>
      <c r="NEE2315" s="82"/>
      <c r="NEF2315" s="82"/>
      <c r="NEG2315" s="82"/>
      <c r="NEH2315" s="82"/>
      <c r="NEI2315" s="82"/>
      <c r="NEJ2315" s="82"/>
      <c r="NEK2315" s="82"/>
      <c r="NEL2315" s="82"/>
      <c r="NEM2315" s="82"/>
      <c r="NEN2315" s="82"/>
      <c r="NEO2315" s="82"/>
      <c r="NEP2315" s="82"/>
      <c r="NEQ2315" s="82"/>
      <c r="NER2315" s="82"/>
      <c r="NES2315" s="82"/>
      <c r="NET2315" s="82"/>
      <c r="NEU2315" s="82"/>
      <c r="NEV2315" s="82"/>
      <c r="NEW2315" s="82"/>
      <c r="NEX2315" s="82"/>
      <c r="NEY2315" s="82"/>
      <c r="NEZ2315" s="82"/>
      <c r="NFA2315" s="82"/>
      <c r="NFB2315" s="82"/>
      <c r="NFC2315" s="82"/>
      <c r="NFD2315" s="82"/>
      <c r="NFE2315" s="82"/>
      <c r="NFF2315" s="82"/>
      <c r="NFG2315" s="82"/>
      <c r="NFH2315" s="82"/>
      <c r="NFI2315" s="82"/>
      <c r="NFJ2315" s="82"/>
      <c r="NFK2315" s="82"/>
      <c r="NFL2315" s="82"/>
      <c r="NFM2315" s="82"/>
      <c r="NFN2315" s="82"/>
      <c r="NFO2315" s="82"/>
      <c r="NFP2315" s="82"/>
      <c r="NFQ2315" s="82"/>
      <c r="NFR2315" s="82"/>
      <c r="NFS2315" s="82"/>
      <c r="NFT2315" s="82"/>
      <c r="NFU2315" s="82"/>
      <c r="NFV2315" s="82"/>
      <c r="NFW2315" s="82"/>
      <c r="NFX2315" s="82"/>
      <c r="NFY2315" s="82"/>
      <c r="NFZ2315" s="82"/>
      <c r="NGA2315" s="82"/>
      <c r="NGB2315" s="82"/>
      <c r="NGC2315" s="82"/>
      <c r="NGD2315" s="82"/>
      <c r="NGE2315" s="82"/>
      <c r="NGF2315" s="82"/>
      <c r="NGG2315" s="82"/>
      <c r="NGH2315" s="82"/>
      <c r="NGI2315" s="82"/>
      <c r="NGJ2315" s="82"/>
      <c r="NGK2315" s="82"/>
      <c r="NGL2315" s="82"/>
      <c r="NGM2315" s="82"/>
      <c r="NGN2315" s="82"/>
      <c r="NGO2315" s="82"/>
      <c r="NGP2315" s="82"/>
      <c r="NGQ2315" s="82"/>
      <c r="NGR2315" s="82"/>
      <c r="NGS2315" s="82"/>
      <c r="NGT2315" s="82"/>
      <c r="NGU2315" s="82"/>
      <c r="NGV2315" s="82"/>
      <c r="NGW2315" s="82"/>
      <c r="NGX2315" s="82"/>
      <c r="NGY2315" s="82"/>
      <c r="NGZ2315" s="82"/>
      <c r="NHA2315" s="82"/>
      <c r="NHB2315" s="82"/>
      <c r="NHC2315" s="82"/>
      <c r="NHD2315" s="82"/>
      <c r="NHE2315" s="82"/>
      <c r="NHF2315" s="82"/>
      <c r="NHG2315" s="82"/>
      <c r="NHH2315" s="82"/>
      <c r="NHI2315" s="82"/>
      <c r="NHJ2315" s="82"/>
      <c r="NHK2315" s="82"/>
      <c r="NHL2315" s="82"/>
      <c r="NHM2315" s="82"/>
      <c r="NHN2315" s="82"/>
      <c r="NHO2315" s="82"/>
      <c r="NHP2315" s="82"/>
      <c r="NHQ2315" s="82"/>
      <c r="NHR2315" s="82"/>
      <c r="NHS2315" s="82"/>
      <c r="NHT2315" s="82"/>
      <c r="NHU2315" s="82"/>
      <c r="NHV2315" s="82"/>
      <c r="NHW2315" s="82"/>
      <c r="NHX2315" s="82"/>
      <c r="NHY2315" s="82"/>
      <c r="NHZ2315" s="82"/>
      <c r="NIA2315" s="82"/>
      <c r="NIB2315" s="82"/>
      <c r="NIC2315" s="82"/>
      <c r="NID2315" s="82"/>
      <c r="NIE2315" s="82"/>
      <c r="NIF2315" s="82"/>
      <c r="NIG2315" s="82"/>
      <c r="NIH2315" s="82"/>
      <c r="NII2315" s="82"/>
      <c r="NIJ2315" s="82"/>
      <c r="NIK2315" s="82"/>
      <c r="NIL2315" s="82"/>
      <c r="NIM2315" s="82"/>
      <c r="NIN2315" s="82"/>
      <c r="NIO2315" s="82"/>
      <c r="NIP2315" s="82"/>
      <c r="NIQ2315" s="82"/>
      <c r="NIR2315" s="82"/>
      <c r="NIS2315" s="82"/>
      <c r="NIT2315" s="82"/>
      <c r="NIU2315" s="82"/>
      <c r="NIV2315" s="82"/>
      <c r="NIW2315" s="82"/>
      <c r="NIX2315" s="82"/>
      <c r="NIY2315" s="82"/>
      <c r="NIZ2315" s="82"/>
      <c r="NJA2315" s="82"/>
      <c r="NJB2315" s="82"/>
      <c r="NJC2315" s="82"/>
      <c r="NJD2315" s="82"/>
      <c r="NJE2315" s="82"/>
      <c r="NJF2315" s="82"/>
      <c r="NJG2315" s="82"/>
      <c r="NJH2315" s="82"/>
      <c r="NJI2315" s="82"/>
      <c r="NJJ2315" s="82"/>
      <c r="NJK2315" s="82"/>
      <c r="NJL2315" s="82"/>
      <c r="NJM2315" s="82"/>
      <c r="NJN2315" s="82"/>
      <c r="NJO2315" s="82"/>
      <c r="NJP2315" s="82"/>
      <c r="NJQ2315" s="82"/>
      <c r="NJR2315" s="82"/>
      <c r="NJS2315" s="82"/>
      <c r="NJT2315" s="82"/>
      <c r="NJU2315" s="82"/>
      <c r="NJV2315" s="82"/>
      <c r="NJW2315" s="82"/>
      <c r="NJX2315" s="82"/>
      <c r="NJY2315" s="82"/>
      <c r="NJZ2315" s="82"/>
      <c r="NKA2315" s="82"/>
      <c r="NKB2315" s="82"/>
      <c r="NKC2315" s="82"/>
      <c r="NKD2315" s="82"/>
      <c r="NKE2315" s="82"/>
      <c r="NKF2315" s="82"/>
      <c r="NKG2315" s="82"/>
      <c r="NKH2315" s="82"/>
      <c r="NKI2315" s="82"/>
      <c r="NKJ2315" s="82"/>
      <c r="NKK2315" s="82"/>
      <c r="NKL2315" s="82"/>
      <c r="NKM2315" s="82"/>
      <c r="NKN2315" s="82"/>
      <c r="NKO2315" s="82"/>
      <c r="NKP2315" s="82"/>
      <c r="NKQ2315" s="82"/>
      <c r="NKR2315" s="82"/>
      <c r="NKS2315" s="82"/>
      <c r="NKT2315" s="82"/>
      <c r="NKU2315" s="82"/>
      <c r="NKV2315" s="82"/>
      <c r="NKW2315" s="82"/>
      <c r="NKX2315" s="82"/>
      <c r="NKY2315" s="82"/>
      <c r="NKZ2315" s="82"/>
      <c r="NLA2315" s="82"/>
      <c r="NLB2315" s="82"/>
      <c r="NLC2315" s="82"/>
      <c r="NLD2315" s="82"/>
      <c r="NLE2315" s="82"/>
      <c r="NLF2315" s="82"/>
      <c r="NLG2315" s="82"/>
      <c r="NLH2315" s="82"/>
      <c r="NLI2315" s="82"/>
      <c r="NLJ2315" s="82"/>
      <c r="NLK2315" s="82"/>
      <c r="NLL2315" s="82"/>
      <c r="NLM2315" s="82"/>
      <c r="NLN2315" s="82"/>
      <c r="NLO2315" s="82"/>
      <c r="NLP2315" s="82"/>
      <c r="NLQ2315" s="82"/>
      <c r="NLR2315" s="82"/>
      <c r="NLS2315" s="82"/>
      <c r="NLT2315" s="82"/>
      <c r="NLU2315" s="82"/>
      <c r="NLV2315" s="82"/>
      <c r="NLW2315" s="82"/>
      <c r="NLX2315" s="82"/>
      <c r="NLY2315" s="82"/>
      <c r="NLZ2315" s="82"/>
      <c r="NMA2315" s="82"/>
      <c r="NMB2315" s="82"/>
      <c r="NMC2315" s="82"/>
      <c r="NMD2315" s="82"/>
      <c r="NME2315" s="82"/>
      <c r="NMF2315" s="82"/>
      <c r="NMG2315" s="82"/>
      <c r="NMH2315" s="82"/>
      <c r="NMI2315" s="82"/>
      <c r="NMJ2315" s="82"/>
      <c r="NMK2315" s="82"/>
      <c r="NML2315" s="82"/>
      <c r="NMM2315" s="82"/>
      <c r="NMN2315" s="82"/>
      <c r="NMO2315" s="82"/>
      <c r="NMP2315" s="82"/>
      <c r="NMQ2315" s="82"/>
      <c r="NMR2315" s="82"/>
      <c r="NMS2315" s="82"/>
      <c r="NMT2315" s="82"/>
      <c r="NMU2315" s="82"/>
      <c r="NMV2315" s="82"/>
      <c r="NMW2315" s="82"/>
      <c r="NMX2315" s="82"/>
      <c r="NMY2315" s="82"/>
      <c r="NMZ2315" s="82"/>
      <c r="NNA2315" s="82"/>
      <c r="NNB2315" s="82"/>
      <c r="NNC2315" s="82"/>
      <c r="NND2315" s="82"/>
      <c r="NNE2315" s="82"/>
      <c r="NNF2315" s="82"/>
      <c r="NNG2315" s="82"/>
      <c r="NNH2315" s="82"/>
      <c r="NNI2315" s="82"/>
      <c r="NNJ2315" s="82"/>
      <c r="NNK2315" s="82"/>
      <c r="NNL2315" s="82"/>
      <c r="NNM2315" s="82"/>
      <c r="NNN2315" s="82"/>
      <c r="NNO2315" s="82"/>
      <c r="NNP2315" s="82"/>
      <c r="NNQ2315" s="82"/>
      <c r="NNR2315" s="82"/>
      <c r="NNS2315" s="82"/>
      <c r="NNT2315" s="82"/>
      <c r="NNU2315" s="82"/>
      <c r="NNV2315" s="82"/>
      <c r="NNW2315" s="82"/>
      <c r="NNX2315" s="82"/>
      <c r="NNY2315" s="82"/>
      <c r="NNZ2315" s="82"/>
      <c r="NOA2315" s="82"/>
      <c r="NOB2315" s="82"/>
      <c r="NOC2315" s="82"/>
      <c r="NOD2315" s="82"/>
      <c r="NOE2315" s="82"/>
      <c r="NOF2315" s="82"/>
      <c r="NOG2315" s="82"/>
      <c r="NOH2315" s="82"/>
      <c r="NOI2315" s="82"/>
      <c r="NOJ2315" s="82"/>
      <c r="NOK2315" s="82"/>
      <c r="NOL2315" s="82"/>
      <c r="NOM2315" s="82"/>
      <c r="NON2315" s="82"/>
      <c r="NOO2315" s="82"/>
      <c r="NOP2315" s="82"/>
      <c r="NOQ2315" s="82"/>
      <c r="NOR2315" s="82"/>
      <c r="NOS2315" s="82"/>
      <c r="NOT2315" s="82"/>
      <c r="NOU2315" s="82"/>
      <c r="NOV2315" s="82"/>
      <c r="NOW2315" s="82"/>
      <c r="NOX2315" s="82"/>
      <c r="NOY2315" s="82"/>
      <c r="NOZ2315" s="82"/>
      <c r="NPA2315" s="82"/>
      <c r="NPB2315" s="82"/>
      <c r="NPC2315" s="82"/>
      <c r="NPD2315" s="82"/>
      <c r="NPE2315" s="82"/>
      <c r="NPF2315" s="82"/>
      <c r="NPG2315" s="82"/>
      <c r="NPH2315" s="82"/>
      <c r="NPI2315" s="82"/>
      <c r="NPJ2315" s="82"/>
      <c r="NPK2315" s="82"/>
      <c r="NPL2315" s="82"/>
      <c r="NPM2315" s="82"/>
      <c r="NPN2315" s="82"/>
      <c r="NPO2315" s="82"/>
      <c r="NPP2315" s="82"/>
      <c r="NPQ2315" s="82"/>
      <c r="NPR2315" s="82"/>
      <c r="NPS2315" s="82"/>
      <c r="NPT2315" s="82"/>
      <c r="NPU2315" s="82"/>
      <c r="NPV2315" s="82"/>
      <c r="NPW2315" s="82"/>
      <c r="NPX2315" s="82"/>
      <c r="NPY2315" s="82"/>
      <c r="NPZ2315" s="82"/>
      <c r="NQA2315" s="82"/>
      <c r="NQB2315" s="82"/>
      <c r="NQC2315" s="82"/>
      <c r="NQD2315" s="82"/>
      <c r="NQE2315" s="82"/>
      <c r="NQF2315" s="82"/>
      <c r="NQG2315" s="82"/>
      <c r="NQH2315" s="82"/>
      <c r="NQI2315" s="82"/>
      <c r="NQJ2315" s="82"/>
      <c r="NQK2315" s="82"/>
      <c r="NQL2315" s="82"/>
      <c r="NQM2315" s="82"/>
      <c r="NQN2315" s="82"/>
      <c r="NQO2315" s="82"/>
      <c r="NQP2315" s="82"/>
      <c r="NQQ2315" s="82"/>
      <c r="NQR2315" s="82"/>
      <c r="NQS2315" s="82"/>
      <c r="NQT2315" s="82"/>
      <c r="NQU2315" s="82"/>
      <c r="NQV2315" s="82"/>
      <c r="NQW2315" s="82"/>
      <c r="NQX2315" s="82"/>
      <c r="NQY2315" s="82"/>
      <c r="NQZ2315" s="82"/>
      <c r="NRA2315" s="82"/>
      <c r="NRB2315" s="82"/>
      <c r="NRC2315" s="82"/>
      <c r="NRD2315" s="82"/>
      <c r="NRE2315" s="82"/>
      <c r="NRF2315" s="82"/>
      <c r="NRG2315" s="82"/>
      <c r="NRH2315" s="82"/>
      <c r="NRI2315" s="82"/>
      <c r="NRJ2315" s="82"/>
      <c r="NRK2315" s="82"/>
      <c r="NRL2315" s="82"/>
      <c r="NRM2315" s="82"/>
      <c r="NRN2315" s="82"/>
      <c r="NRO2315" s="82"/>
      <c r="NRP2315" s="82"/>
      <c r="NRQ2315" s="82"/>
      <c r="NRR2315" s="82"/>
      <c r="NRS2315" s="82"/>
      <c r="NRT2315" s="82"/>
      <c r="NRU2315" s="82"/>
      <c r="NRV2315" s="82"/>
      <c r="NRW2315" s="82"/>
      <c r="NRX2315" s="82"/>
      <c r="NRY2315" s="82"/>
      <c r="NRZ2315" s="82"/>
      <c r="NSA2315" s="82"/>
      <c r="NSB2315" s="82"/>
      <c r="NSC2315" s="82"/>
      <c r="NSD2315" s="82"/>
      <c r="NSE2315" s="82"/>
      <c r="NSF2315" s="82"/>
      <c r="NSG2315" s="82"/>
      <c r="NSH2315" s="82"/>
      <c r="NSI2315" s="82"/>
      <c r="NSJ2315" s="82"/>
      <c r="NSK2315" s="82"/>
      <c r="NSL2315" s="82"/>
      <c r="NSM2315" s="82"/>
      <c r="NSN2315" s="82"/>
      <c r="NSO2315" s="82"/>
      <c r="NSP2315" s="82"/>
      <c r="NSQ2315" s="82"/>
      <c r="NSR2315" s="82"/>
      <c r="NSS2315" s="82"/>
      <c r="NST2315" s="82"/>
      <c r="NSU2315" s="82"/>
      <c r="NSV2315" s="82"/>
      <c r="NSW2315" s="82"/>
      <c r="NSX2315" s="82"/>
      <c r="NSY2315" s="82"/>
      <c r="NSZ2315" s="82"/>
      <c r="NTA2315" s="82"/>
      <c r="NTB2315" s="82"/>
      <c r="NTC2315" s="82"/>
      <c r="NTD2315" s="82"/>
      <c r="NTE2315" s="82"/>
      <c r="NTF2315" s="82"/>
      <c r="NTG2315" s="82"/>
      <c r="NTH2315" s="82"/>
      <c r="NTI2315" s="82"/>
      <c r="NTJ2315" s="82"/>
      <c r="NTK2315" s="82"/>
      <c r="NTL2315" s="82"/>
      <c r="NTM2315" s="82"/>
      <c r="NTN2315" s="82"/>
      <c r="NTO2315" s="82"/>
      <c r="NTP2315" s="82"/>
      <c r="NTQ2315" s="82"/>
      <c r="NTR2315" s="82"/>
      <c r="NTS2315" s="82"/>
      <c r="NTT2315" s="82"/>
      <c r="NTU2315" s="82"/>
      <c r="NTV2315" s="82"/>
      <c r="NTW2315" s="82"/>
      <c r="NTX2315" s="82"/>
      <c r="NTY2315" s="82"/>
      <c r="NTZ2315" s="82"/>
      <c r="NUA2315" s="82"/>
      <c r="NUB2315" s="82"/>
      <c r="NUC2315" s="82"/>
      <c r="NUD2315" s="82"/>
      <c r="NUE2315" s="82"/>
      <c r="NUF2315" s="82"/>
      <c r="NUG2315" s="82"/>
      <c r="NUH2315" s="82"/>
      <c r="NUI2315" s="82"/>
      <c r="NUJ2315" s="82"/>
      <c r="NUK2315" s="82"/>
      <c r="NUL2315" s="82"/>
      <c r="NUM2315" s="82"/>
      <c r="NUN2315" s="82"/>
      <c r="NUO2315" s="82"/>
      <c r="NUP2315" s="82"/>
      <c r="NUQ2315" s="82"/>
      <c r="NUR2315" s="82"/>
      <c r="NUS2315" s="82"/>
      <c r="NUT2315" s="82"/>
      <c r="NUU2315" s="82"/>
      <c r="NUV2315" s="82"/>
      <c r="NUW2315" s="82"/>
      <c r="NUX2315" s="82"/>
      <c r="NUY2315" s="82"/>
      <c r="NUZ2315" s="82"/>
      <c r="NVA2315" s="82"/>
      <c r="NVB2315" s="82"/>
      <c r="NVC2315" s="82"/>
      <c r="NVD2315" s="82"/>
      <c r="NVE2315" s="82"/>
      <c r="NVF2315" s="82"/>
      <c r="NVG2315" s="82"/>
      <c r="NVH2315" s="82"/>
      <c r="NVI2315" s="82"/>
      <c r="NVJ2315" s="82"/>
      <c r="NVK2315" s="82"/>
      <c r="NVL2315" s="82"/>
      <c r="NVM2315" s="82"/>
      <c r="NVN2315" s="82"/>
      <c r="NVO2315" s="82"/>
      <c r="NVP2315" s="82"/>
      <c r="NVQ2315" s="82"/>
      <c r="NVR2315" s="82"/>
      <c r="NVS2315" s="82"/>
      <c r="NVT2315" s="82"/>
      <c r="NVU2315" s="82"/>
      <c r="NVV2315" s="82"/>
      <c r="NVW2315" s="82"/>
      <c r="NVX2315" s="82"/>
      <c r="NVY2315" s="82"/>
      <c r="NVZ2315" s="82"/>
      <c r="NWA2315" s="82"/>
      <c r="NWB2315" s="82"/>
      <c r="NWC2315" s="82"/>
      <c r="NWD2315" s="82"/>
      <c r="NWE2315" s="82"/>
      <c r="NWF2315" s="82"/>
      <c r="NWG2315" s="82"/>
      <c r="NWH2315" s="82"/>
      <c r="NWI2315" s="82"/>
      <c r="NWJ2315" s="82"/>
      <c r="NWK2315" s="82"/>
      <c r="NWL2315" s="82"/>
      <c r="NWM2315" s="82"/>
      <c r="NWN2315" s="82"/>
      <c r="NWO2315" s="82"/>
      <c r="NWP2315" s="82"/>
      <c r="NWQ2315" s="82"/>
      <c r="NWR2315" s="82"/>
      <c r="NWS2315" s="82"/>
      <c r="NWT2315" s="82"/>
      <c r="NWU2315" s="82"/>
      <c r="NWV2315" s="82"/>
      <c r="NWW2315" s="82"/>
      <c r="NWX2315" s="82"/>
      <c r="NWY2315" s="82"/>
      <c r="NWZ2315" s="82"/>
      <c r="NXA2315" s="82"/>
      <c r="NXB2315" s="82"/>
      <c r="NXC2315" s="82"/>
      <c r="NXD2315" s="82"/>
      <c r="NXE2315" s="82"/>
      <c r="NXF2315" s="82"/>
      <c r="NXG2315" s="82"/>
      <c r="NXH2315" s="82"/>
      <c r="NXI2315" s="82"/>
      <c r="NXJ2315" s="82"/>
      <c r="NXK2315" s="82"/>
      <c r="NXL2315" s="82"/>
      <c r="NXM2315" s="82"/>
      <c r="NXN2315" s="82"/>
      <c r="NXO2315" s="82"/>
      <c r="NXP2315" s="82"/>
      <c r="NXQ2315" s="82"/>
      <c r="NXR2315" s="82"/>
      <c r="NXS2315" s="82"/>
      <c r="NXT2315" s="82"/>
      <c r="NXU2315" s="82"/>
      <c r="NXV2315" s="82"/>
      <c r="NXW2315" s="82"/>
      <c r="NXX2315" s="82"/>
      <c r="NXY2315" s="82"/>
      <c r="NXZ2315" s="82"/>
      <c r="NYA2315" s="82"/>
      <c r="NYB2315" s="82"/>
      <c r="NYC2315" s="82"/>
      <c r="NYD2315" s="82"/>
      <c r="NYE2315" s="82"/>
      <c r="NYF2315" s="82"/>
      <c r="NYG2315" s="82"/>
      <c r="NYH2315" s="82"/>
      <c r="NYI2315" s="82"/>
      <c r="NYJ2315" s="82"/>
      <c r="NYK2315" s="82"/>
      <c r="NYL2315" s="82"/>
      <c r="NYM2315" s="82"/>
      <c r="NYN2315" s="82"/>
      <c r="NYO2315" s="82"/>
      <c r="NYP2315" s="82"/>
      <c r="NYQ2315" s="82"/>
      <c r="NYR2315" s="82"/>
      <c r="NYS2315" s="82"/>
      <c r="NYT2315" s="82"/>
      <c r="NYU2315" s="82"/>
      <c r="NYV2315" s="82"/>
      <c r="NYW2315" s="82"/>
      <c r="NYX2315" s="82"/>
      <c r="NYY2315" s="82"/>
      <c r="NYZ2315" s="82"/>
      <c r="NZA2315" s="82"/>
      <c r="NZB2315" s="82"/>
      <c r="NZC2315" s="82"/>
      <c r="NZD2315" s="82"/>
      <c r="NZE2315" s="82"/>
      <c r="NZF2315" s="82"/>
      <c r="NZG2315" s="82"/>
      <c r="NZH2315" s="82"/>
      <c r="NZI2315" s="82"/>
      <c r="NZJ2315" s="82"/>
      <c r="NZK2315" s="82"/>
      <c r="NZL2315" s="82"/>
      <c r="NZM2315" s="82"/>
      <c r="NZN2315" s="82"/>
      <c r="NZO2315" s="82"/>
      <c r="NZP2315" s="82"/>
      <c r="NZQ2315" s="82"/>
      <c r="NZR2315" s="82"/>
      <c r="NZS2315" s="82"/>
      <c r="NZT2315" s="82"/>
      <c r="NZU2315" s="82"/>
      <c r="NZV2315" s="82"/>
      <c r="NZW2315" s="82"/>
      <c r="NZX2315" s="82"/>
      <c r="NZY2315" s="82"/>
      <c r="NZZ2315" s="82"/>
      <c r="OAA2315" s="82"/>
      <c r="OAB2315" s="82"/>
      <c r="OAC2315" s="82"/>
      <c r="OAD2315" s="82"/>
      <c r="OAE2315" s="82"/>
      <c r="OAF2315" s="82"/>
      <c r="OAG2315" s="82"/>
      <c r="OAH2315" s="82"/>
      <c r="OAI2315" s="82"/>
      <c r="OAJ2315" s="82"/>
      <c r="OAK2315" s="82"/>
      <c r="OAL2315" s="82"/>
      <c r="OAM2315" s="82"/>
      <c r="OAN2315" s="82"/>
      <c r="OAO2315" s="82"/>
      <c r="OAP2315" s="82"/>
      <c r="OAQ2315" s="82"/>
      <c r="OAR2315" s="82"/>
      <c r="OAS2315" s="82"/>
      <c r="OAT2315" s="82"/>
      <c r="OAU2315" s="82"/>
      <c r="OAV2315" s="82"/>
      <c r="OAW2315" s="82"/>
      <c r="OAX2315" s="82"/>
      <c r="OAY2315" s="82"/>
      <c r="OAZ2315" s="82"/>
      <c r="OBA2315" s="82"/>
      <c r="OBB2315" s="82"/>
      <c r="OBC2315" s="82"/>
      <c r="OBD2315" s="82"/>
      <c r="OBE2315" s="82"/>
      <c r="OBF2315" s="82"/>
      <c r="OBG2315" s="82"/>
      <c r="OBH2315" s="82"/>
      <c r="OBI2315" s="82"/>
      <c r="OBJ2315" s="82"/>
      <c r="OBK2315" s="82"/>
      <c r="OBL2315" s="82"/>
      <c r="OBM2315" s="82"/>
      <c r="OBN2315" s="82"/>
      <c r="OBO2315" s="82"/>
      <c r="OBP2315" s="82"/>
      <c r="OBQ2315" s="82"/>
      <c r="OBR2315" s="82"/>
      <c r="OBS2315" s="82"/>
      <c r="OBT2315" s="82"/>
      <c r="OBU2315" s="82"/>
      <c r="OBV2315" s="82"/>
      <c r="OBW2315" s="82"/>
      <c r="OBX2315" s="82"/>
      <c r="OBY2315" s="82"/>
      <c r="OBZ2315" s="82"/>
      <c r="OCA2315" s="82"/>
      <c r="OCB2315" s="82"/>
      <c r="OCC2315" s="82"/>
      <c r="OCD2315" s="82"/>
      <c r="OCE2315" s="82"/>
      <c r="OCF2315" s="82"/>
      <c r="OCG2315" s="82"/>
      <c r="OCH2315" s="82"/>
      <c r="OCI2315" s="82"/>
      <c r="OCJ2315" s="82"/>
      <c r="OCK2315" s="82"/>
      <c r="OCL2315" s="82"/>
      <c r="OCM2315" s="82"/>
      <c r="OCN2315" s="82"/>
      <c r="OCO2315" s="82"/>
      <c r="OCP2315" s="82"/>
      <c r="OCQ2315" s="82"/>
      <c r="OCR2315" s="82"/>
      <c r="OCS2315" s="82"/>
      <c r="OCT2315" s="82"/>
      <c r="OCU2315" s="82"/>
      <c r="OCV2315" s="82"/>
      <c r="OCW2315" s="82"/>
      <c r="OCX2315" s="82"/>
      <c r="OCY2315" s="82"/>
      <c r="OCZ2315" s="82"/>
      <c r="ODA2315" s="82"/>
      <c r="ODB2315" s="82"/>
      <c r="ODC2315" s="82"/>
      <c r="ODD2315" s="82"/>
      <c r="ODE2315" s="82"/>
      <c r="ODF2315" s="82"/>
      <c r="ODG2315" s="82"/>
      <c r="ODH2315" s="82"/>
      <c r="ODI2315" s="82"/>
      <c r="ODJ2315" s="82"/>
      <c r="ODK2315" s="82"/>
      <c r="ODL2315" s="82"/>
      <c r="ODM2315" s="82"/>
      <c r="ODN2315" s="82"/>
      <c r="ODO2315" s="82"/>
      <c r="ODP2315" s="82"/>
      <c r="ODQ2315" s="82"/>
      <c r="ODR2315" s="82"/>
      <c r="ODS2315" s="82"/>
      <c r="ODT2315" s="82"/>
      <c r="ODU2315" s="82"/>
      <c r="ODV2315" s="82"/>
      <c r="ODW2315" s="82"/>
      <c r="ODX2315" s="82"/>
      <c r="ODY2315" s="82"/>
      <c r="ODZ2315" s="82"/>
      <c r="OEA2315" s="82"/>
      <c r="OEB2315" s="82"/>
      <c r="OEC2315" s="82"/>
      <c r="OED2315" s="82"/>
      <c r="OEE2315" s="82"/>
      <c r="OEF2315" s="82"/>
      <c r="OEG2315" s="82"/>
      <c r="OEH2315" s="82"/>
      <c r="OEI2315" s="82"/>
      <c r="OEJ2315" s="82"/>
      <c r="OEK2315" s="82"/>
      <c r="OEL2315" s="82"/>
      <c r="OEM2315" s="82"/>
      <c r="OEN2315" s="82"/>
      <c r="OEO2315" s="82"/>
      <c r="OEP2315" s="82"/>
      <c r="OEQ2315" s="82"/>
      <c r="OER2315" s="82"/>
      <c r="OES2315" s="82"/>
      <c r="OET2315" s="82"/>
      <c r="OEU2315" s="82"/>
      <c r="OEV2315" s="82"/>
      <c r="OEW2315" s="82"/>
      <c r="OEX2315" s="82"/>
      <c r="OEY2315" s="82"/>
      <c r="OEZ2315" s="82"/>
      <c r="OFA2315" s="82"/>
      <c r="OFB2315" s="82"/>
      <c r="OFC2315" s="82"/>
      <c r="OFD2315" s="82"/>
      <c r="OFE2315" s="82"/>
      <c r="OFF2315" s="82"/>
      <c r="OFG2315" s="82"/>
      <c r="OFH2315" s="82"/>
      <c r="OFI2315" s="82"/>
      <c r="OFJ2315" s="82"/>
      <c r="OFK2315" s="82"/>
      <c r="OFL2315" s="82"/>
      <c r="OFM2315" s="82"/>
      <c r="OFN2315" s="82"/>
      <c r="OFO2315" s="82"/>
      <c r="OFP2315" s="82"/>
      <c r="OFQ2315" s="82"/>
      <c r="OFR2315" s="82"/>
      <c r="OFS2315" s="82"/>
      <c r="OFT2315" s="82"/>
      <c r="OFU2315" s="82"/>
      <c r="OFV2315" s="82"/>
      <c r="OFW2315" s="82"/>
      <c r="OFX2315" s="82"/>
      <c r="OFY2315" s="82"/>
      <c r="OFZ2315" s="82"/>
      <c r="OGA2315" s="82"/>
      <c r="OGB2315" s="82"/>
      <c r="OGC2315" s="82"/>
      <c r="OGD2315" s="82"/>
      <c r="OGE2315" s="82"/>
      <c r="OGF2315" s="82"/>
      <c r="OGG2315" s="82"/>
      <c r="OGH2315" s="82"/>
      <c r="OGI2315" s="82"/>
      <c r="OGJ2315" s="82"/>
      <c r="OGK2315" s="82"/>
      <c r="OGL2315" s="82"/>
      <c r="OGM2315" s="82"/>
      <c r="OGN2315" s="82"/>
      <c r="OGO2315" s="82"/>
      <c r="OGP2315" s="82"/>
      <c r="OGQ2315" s="82"/>
      <c r="OGR2315" s="82"/>
      <c r="OGS2315" s="82"/>
      <c r="OGT2315" s="82"/>
      <c r="OGU2315" s="82"/>
      <c r="OGV2315" s="82"/>
      <c r="OGW2315" s="82"/>
      <c r="OGX2315" s="82"/>
      <c r="OGY2315" s="82"/>
      <c r="OGZ2315" s="82"/>
      <c r="OHA2315" s="82"/>
      <c r="OHB2315" s="82"/>
      <c r="OHC2315" s="82"/>
      <c r="OHD2315" s="82"/>
      <c r="OHE2315" s="82"/>
      <c r="OHF2315" s="82"/>
      <c r="OHG2315" s="82"/>
      <c r="OHH2315" s="82"/>
      <c r="OHI2315" s="82"/>
      <c r="OHJ2315" s="82"/>
      <c r="OHK2315" s="82"/>
      <c r="OHL2315" s="82"/>
      <c r="OHM2315" s="82"/>
      <c r="OHN2315" s="82"/>
      <c r="OHO2315" s="82"/>
      <c r="OHP2315" s="82"/>
      <c r="OHQ2315" s="82"/>
      <c r="OHR2315" s="82"/>
      <c r="OHS2315" s="82"/>
      <c r="OHT2315" s="82"/>
      <c r="OHU2315" s="82"/>
      <c r="OHV2315" s="82"/>
      <c r="OHW2315" s="82"/>
      <c r="OHX2315" s="82"/>
      <c r="OHY2315" s="82"/>
      <c r="OHZ2315" s="82"/>
      <c r="OIA2315" s="82"/>
      <c r="OIB2315" s="82"/>
      <c r="OIC2315" s="82"/>
      <c r="OID2315" s="82"/>
      <c r="OIE2315" s="82"/>
      <c r="OIF2315" s="82"/>
      <c r="OIG2315" s="82"/>
      <c r="OIH2315" s="82"/>
      <c r="OII2315" s="82"/>
      <c r="OIJ2315" s="82"/>
      <c r="OIK2315" s="82"/>
      <c r="OIL2315" s="82"/>
      <c r="OIM2315" s="82"/>
      <c r="OIN2315" s="82"/>
      <c r="OIO2315" s="82"/>
      <c r="OIP2315" s="82"/>
      <c r="OIQ2315" s="82"/>
      <c r="OIR2315" s="82"/>
      <c r="OIS2315" s="82"/>
      <c r="OIT2315" s="82"/>
      <c r="OIU2315" s="82"/>
      <c r="OIV2315" s="82"/>
      <c r="OIW2315" s="82"/>
      <c r="OIX2315" s="82"/>
      <c r="OIY2315" s="82"/>
      <c r="OIZ2315" s="82"/>
      <c r="OJA2315" s="82"/>
      <c r="OJB2315" s="82"/>
      <c r="OJC2315" s="82"/>
      <c r="OJD2315" s="82"/>
      <c r="OJE2315" s="82"/>
      <c r="OJF2315" s="82"/>
      <c r="OJG2315" s="82"/>
      <c r="OJH2315" s="82"/>
      <c r="OJI2315" s="82"/>
      <c r="OJJ2315" s="82"/>
      <c r="OJK2315" s="82"/>
      <c r="OJL2315" s="82"/>
      <c r="OJM2315" s="82"/>
      <c r="OJN2315" s="82"/>
      <c r="OJO2315" s="82"/>
      <c r="OJP2315" s="82"/>
      <c r="OJQ2315" s="82"/>
      <c r="OJR2315" s="82"/>
      <c r="OJS2315" s="82"/>
      <c r="OJT2315" s="82"/>
      <c r="OJU2315" s="82"/>
      <c r="OJV2315" s="82"/>
      <c r="OJW2315" s="82"/>
      <c r="OJX2315" s="82"/>
      <c r="OJY2315" s="82"/>
      <c r="OJZ2315" s="82"/>
      <c r="OKA2315" s="82"/>
      <c r="OKB2315" s="82"/>
      <c r="OKC2315" s="82"/>
      <c r="OKD2315" s="82"/>
      <c r="OKE2315" s="82"/>
      <c r="OKF2315" s="82"/>
      <c r="OKG2315" s="82"/>
      <c r="OKH2315" s="82"/>
      <c r="OKI2315" s="82"/>
      <c r="OKJ2315" s="82"/>
      <c r="OKK2315" s="82"/>
      <c r="OKL2315" s="82"/>
      <c r="OKM2315" s="82"/>
      <c r="OKN2315" s="82"/>
      <c r="OKO2315" s="82"/>
      <c r="OKP2315" s="82"/>
      <c r="OKQ2315" s="82"/>
      <c r="OKR2315" s="82"/>
      <c r="OKS2315" s="82"/>
      <c r="OKT2315" s="82"/>
      <c r="OKU2315" s="82"/>
      <c r="OKV2315" s="82"/>
      <c r="OKW2315" s="82"/>
      <c r="OKX2315" s="82"/>
      <c r="OKY2315" s="82"/>
      <c r="OKZ2315" s="82"/>
      <c r="OLA2315" s="82"/>
      <c r="OLB2315" s="82"/>
      <c r="OLC2315" s="82"/>
      <c r="OLD2315" s="82"/>
      <c r="OLE2315" s="82"/>
      <c r="OLF2315" s="82"/>
      <c r="OLG2315" s="82"/>
      <c r="OLH2315" s="82"/>
      <c r="OLI2315" s="82"/>
      <c r="OLJ2315" s="82"/>
      <c r="OLK2315" s="82"/>
      <c r="OLL2315" s="82"/>
      <c r="OLM2315" s="82"/>
      <c r="OLN2315" s="82"/>
      <c r="OLO2315" s="82"/>
      <c r="OLP2315" s="82"/>
      <c r="OLQ2315" s="82"/>
      <c r="OLR2315" s="82"/>
      <c r="OLS2315" s="82"/>
      <c r="OLT2315" s="82"/>
      <c r="OLU2315" s="82"/>
      <c r="OLV2315" s="82"/>
      <c r="OLW2315" s="82"/>
      <c r="OLX2315" s="82"/>
      <c r="OLY2315" s="82"/>
      <c r="OLZ2315" s="82"/>
      <c r="OMA2315" s="82"/>
      <c r="OMB2315" s="82"/>
      <c r="OMC2315" s="82"/>
      <c r="OMD2315" s="82"/>
      <c r="OME2315" s="82"/>
      <c r="OMF2315" s="82"/>
      <c r="OMG2315" s="82"/>
      <c r="OMH2315" s="82"/>
      <c r="OMI2315" s="82"/>
      <c r="OMJ2315" s="82"/>
      <c r="OMK2315" s="82"/>
      <c r="OML2315" s="82"/>
      <c r="OMM2315" s="82"/>
      <c r="OMN2315" s="82"/>
      <c r="OMO2315" s="82"/>
      <c r="OMP2315" s="82"/>
      <c r="OMQ2315" s="82"/>
      <c r="OMR2315" s="82"/>
      <c r="OMS2315" s="82"/>
      <c r="OMT2315" s="82"/>
      <c r="OMU2315" s="82"/>
      <c r="OMV2315" s="82"/>
      <c r="OMW2315" s="82"/>
      <c r="OMX2315" s="82"/>
      <c r="OMY2315" s="82"/>
      <c r="OMZ2315" s="82"/>
      <c r="ONA2315" s="82"/>
      <c r="ONB2315" s="82"/>
      <c r="ONC2315" s="82"/>
      <c r="OND2315" s="82"/>
      <c r="ONE2315" s="82"/>
      <c r="ONF2315" s="82"/>
      <c r="ONG2315" s="82"/>
      <c r="ONH2315" s="82"/>
      <c r="ONI2315" s="82"/>
      <c r="ONJ2315" s="82"/>
      <c r="ONK2315" s="82"/>
      <c r="ONL2315" s="82"/>
      <c r="ONM2315" s="82"/>
      <c r="ONN2315" s="82"/>
      <c r="ONO2315" s="82"/>
      <c r="ONP2315" s="82"/>
      <c r="ONQ2315" s="82"/>
      <c r="ONR2315" s="82"/>
      <c r="ONS2315" s="82"/>
      <c r="ONT2315" s="82"/>
      <c r="ONU2315" s="82"/>
      <c r="ONV2315" s="82"/>
      <c r="ONW2315" s="82"/>
      <c r="ONX2315" s="82"/>
      <c r="ONY2315" s="82"/>
      <c r="ONZ2315" s="82"/>
      <c r="OOA2315" s="82"/>
      <c r="OOB2315" s="82"/>
      <c r="OOC2315" s="82"/>
      <c r="OOD2315" s="82"/>
      <c r="OOE2315" s="82"/>
      <c r="OOF2315" s="82"/>
      <c r="OOG2315" s="82"/>
      <c r="OOH2315" s="82"/>
      <c r="OOI2315" s="82"/>
      <c r="OOJ2315" s="82"/>
      <c r="OOK2315" s="82"/>
      <c r="OOL2315" s="82"/>
      <c r="OOM2315" s="82"/>
      <c r="OON2315" s="82"/>
      <c r="OOO2315" s="82"/>
      <c r="OOP2315" s="82"/>
      <c r="OOQ2315" s="82"/>
      <c r="OOR2315" s="82"/>
      <c r="OOS2315" s="82"/>
      <c r="OOT2315" s="82"/>
      <c r="OOU2315" s="82"/>
      <c r="OOV2315" s="82"/>
      <c r="OOW2315" s="82"/>
      <c r="OOX2315" s="82"/>
      <c r="OOY2315" s="82"/>
      <c r="OOZ2315" s="82"/>
      <c r="OPA2315" s="82"/>
      <c r="OPB2315" s="82"/>
      <c r="OPC2315" s="82"/>
      <c r="OPD2315" s="82"/>
      <c r="OPE2315" s="82"/>
      <c r="OPF2315" s="82"/>
      <c r="OPG2315" s="82"/>
      <c r="OPH2315" s="82"/>
      <c r="OPI2315" s="82"/>
      <c r="OPJ2315" s="82"/>
      <c r="OPK2315" s="82"/>
      <c r="OPL2315" s="82"/>
      <c r="OPM2315" s="82"/>
      <c r="OPN2315" s="82"/>
      <c r="OPO2315" s="82"/>
      <c r="OPP2315" s="82"/>
      <c r="OPQ2315" s="82"/>
      <c r="OPR2315" s="82"/>
      <c r="OPS2315" s="82"/>
      <c r="OPT2315" s="82"/>
      <c r="OPU2315" s="82"/>
      <c r="OPV2315" s="82"/>
      <c r="OPW2315" s="82"/>
      <c r="OPX2315" s="82"/>
      <c r="OPY2315" s="82"/>
      <c r="OPZ2315" s="82"/>
      <c r="OQA2315" s="82"/>
      <c r="OQB2315" s="82"/>
      <c r="OQC2315" s="82"/>
      <c r="OQD2315" s="82"/>
      <c r="OQE2315" s="82"/>
      <c r="OQF2315" s="82"/>
      <c r="OQG2315" s="82"/>
      <c r="OQH2315" s="82"/>
      <c r="OQI2315" s="82"/>
      <c r="OQJ2315" s="82"/>
      <c r="OQK2315" s="82"/>
      <c r="OQL2315" s="82"/>
      <c r="OQM2315" s="82"/>
      <c r="OQN2315" s="82"/>
      <c r="OQO2315" s="82"/>
      <c r="OQP2315" s="82"/>
      <c r="OQQ2315" s="82"/>
      <c r="OQR2315" s="82"/>
      <c r="OQS2315" s="82"/>
      <c r="OQT2315" s="82"/>
      <c r="OQU2315" s="82"/>
      <c r="OQV2315" s="82"/>
      <c r="OQW2315" s="82"/>
      <c r="OQX2315" s="82"/>
      <c r="OQY2315" s="82"/>
      <c r="OQZ2315" s="82"/>
      <c r="ORA2315" s="82"/>
      <c r="ORB2315" s="82"/>
      <c r="ORC2315" s="82"/>
      <c r="ORD2315" s="82"/>
      <c r="ORE2315" s="82"/>
      <c r="ORF2315" s="82"/>
      <c r="ORG2315" s="82"/>
      <c r="ORH2315" s="82"/>
      <c r="ORI2315" s="82"/>
      <c r="ORJ2315" s="82"/>
      <c r="ORK2315" s="82"/>
      <c r="ORL2315" s="82"/>
      <c r="ORM2315" s="82"/>
      <c r="ORN2315" s="82"/>
      <c r="ORO2315" s="82"/>
      <c r="ORP2315" s="82"/>
      <c r="ORQ2315" s="82"/>
      <c r="ORR2315" s="82"/>
      <c r="ORS2315" s="82"/>
      <c r="ORT2315" s="82"/>
      <c r="ORU2315" s="82"/>
      <c r="ORV2315" s="82"/>
      <c r="ORW2315" s="82"/>
      <c r="ORX2315" s="82"/>
      <c r="ORY2315" s="82"/>
      <c r="ORZ2315" s="82"/>
      <c r="OSA2315" s="82"/>
      <c r="OSB2315" s="82"/>
      <c r="OSC2315" s="82"/>
      <c r="OSD2315" s="82"/>
      <c r="OSE2315" s="82"/>
      <c r="OSF2315" s="82"/>
      <c r="OSG2315" s="82"/>
      <c r="OSH2315" s="82"/>
      <c r="OSI2315" s="82"/>
      <c r="OSJ2315" s="82"/>
      <c r="OSK2315" s="82"/>
      <c r="OSL2315" s="82"/>
      <c r="OSM2315" s="82"/>
      <c r="OSN2315" s="82"/>
      <c r="OSO2315" s="82"/>
      <c r="OSP2315" s="82"/>
      <c r="OSQ2315" s="82"/>
      <c r="OSR2315" s="82"/>
      <c r="OSS2315" s="82"/>
      <c r="OST2315" s="82"/>
      <c r="OSU2315" s="82"/>
      <c r="OSV2315" s="82"/>
      <c r="OSW2315" s="82"/>
      <c r="OSX2315" s="82"/>
      <c r="OSY2315" s="82"/>
      <c r="OSZ2315" s="82"/>
      <c r="OTA2315" s="82"/>
      <c r="OTB2315" s="82"/>
      <c r="OTC2315" s="82"/>
      <c r="OTD2315" s="82"/>
      <c r="OTE2315" s="82"/>
      <c r="OTF2315" s="82"/>
      <c r="OTG2315" s="82"/>
      <c r="OTH2315" s="82"/>
      <c r="OTI2315" s="82"/>
      <c r="OTJ2315" s="82"/>
      <c r="OTK2315" s="82"/>
      <c r="OTL2315" s="82"/>
      <c r="OTM2315" s="82"/>
      <c r="OTN2315" s="82"/>
      <c r="OTO2315" s="82"/>
      <c r="OTP2315" s="82"/>
      <c r="OTQ2315" s="82"/>
      <c r="OTR2315" s="82"/>
      <c r="OTS2315" s="82"/>
      <c r="OTT2315" s="82"/>
      <c r="OTU2315" s="82"/>
      <c r="OTV2315" s="82"/>
      <c r="OTW2315" s="82"/>
      <c r="OTX2315" s="82"/>
      <c r="OTY2315" s="82"/>
      <c r="OTZ2315" s="82"/>
      <c r="OUA2315" s="82"/>
      <c r="OUB2315" s="82"/>
      <c r="OUC2315" s="82"/>
      <c r="OUD2315" s="82"/>
      <c r="OUE2315" s="82"/>
      <c r="OUF2315" s="82"/>
      <c r="OUG2315" s="82"/>
      <c r="OUH2315" s="82"/>
      <c r="OUI2315" s="82"/>
      <c r="OUJ2315" s="82"/>
      <c r="OUK2315" s="82"/>
      <c r="OUL2315" s="82"/>
      <c r="OUM2315" s="82"/>
      <c r="OUN2315" s="82"/>
      <c r="OUO2315" s="82"/>
      <c r="OUP2315" s="82"/>
      <c r="OUQ2315" s="82"/>
      <c r="OUR2315" s="82"/>
      <c r="OUS2315" s="82"/>
      <c r="OUT2315" s="82"/>
      <c r="OUU2315" s="82"/>
      <c r="OUV2315" s="82"/>
      <c r="OUW2315" s="82"/>
      <c r="OUX2315" s="82"/>
      <c r="OUY2315" s="82"/>
      <c r="OUZ2315" s="82"/>
      <c r="OVA2315" s="82"/>
      <c r="OVB2315" s="82"/>
      <c r="OVC2315" s="82"/>
      <c r="OVD2315" s="82"/>
      <c r="OVE2315" s="82"/>
      <c r="OVF2315" s="82"/>
      <c r="OVG2315" s="82"/>
      <c r="OVH2315" s="82"/>
      <c r="OVI2315" s="82"/>
      <c r="OVJ2315" s="82"/>
      <c r="OVK2315" s="82"/>
      <c r="OVL2315" s="82"/>
      <c r="OVM2315" s="82"/>
      <c r="OVN2315" s="82"/>
      <c r="OVO2315" s="82"/>
      <c r="OVP2315" s="82"/>
      <c r="OVQ2315" s="82"/>
      <c r="OVR2315" s="82"/>
      <c r="OVS2315" s="82"/>
      <c r="OVT2315" s="82"/>
      <c r="OVU2315" s="82"/>
      <c r="OVV2315" s="82"/>
      <c r="OVW2315" s="82"/>
      <c r="OVX2315" s="82"/>
      <c r="OVY2315" s="82"/>
      <c r="OVZ2315" s="82"/>
      <c r="OWA2315" s="82"/>
      <c r="OWB2315" s="82"/>
      <c r="OWC2315" s="82"/>
      <c r="OWD2315" s="82"/>
      <c r="OWE2315" s="82"/>
      <c r="OWF2315" s="82"/>
      <c r="OWG2315" s="82"/>
      <c r="OWH2315" s="82"/>
      <c r="OWI2315" s="82"/>
      <c r="OWJ2315" s="82"/>
      <c r="OWK2315" s="82"/>
      <c r="OWL2315" s="82"/>
      <c r="OWM2315" s="82"/>
      <c r="OWN2315" s="82"/>
      <c r="OWO2315" s="82"/>
      <c r="OWP2315" s="82"/>
      <c r="OWQ2315" s="82"/>
      <c r="OWR2315" s="82"/>
      <c r="OWS2315" s="82"/>
      <c r="OWT2315" s="82"/>
      <c r="OWU2315" s="82"/>
      <c r="OWV2315" s="82"/>
      <c r="OWW2315" s="82"/>
      <c r="OWX2315" s="82"/>
      <c r="OWY2315" s="82"/>
      <c r="OWZ2315" s="82"/>
      <c r="OXA2315" s="82"/>
      <c r="OXB2315" s="82"/>
      <c r="OXC2315" s="82"/>
      <c r="OXD2315" s="82"/>
      <c r="OXE2315" s="82"/>
      <c r="OXF2315" s="82"/>
      <c r="OXG2315" s="82"/>
      <c r="OXH2315" s="82"/>
      <c r="OXI2315" s="82"/>
      <c r="OXJ2315" s="82"/>
      <c r="OXK2315" s="82"/>
      <c r="OXL2315" s="82"/>
      <c r="OXM2315" s="82"/>
      <c r="OXN2315" s="82"/>
      <c r="OXO2315" s="82"/>
      <c r="OXP2315" s="82"/>
      <c r="OXQ2315" s="82"/>
      <c r="OXR2315" s="82"/>
      <c r="OXS2315" s="82"/>
      <c r="OXT2315" s="82"/>
      <c r="OXU2315" s="82"/>
      <c r="OXV2315" s="82"/>
      <c r="OXW2315" s="82"/>
      <c r="OXX2315" s="82"/>
      <c r="OXY2315" s="82"/>
      <c r="OXZ2315" s="82"/>
      <c r="OYA2315" s="82"/>
      <c r="OYB2315" s="82"/>
      <c r="OYC2315" s="82"/>
      <c r="OYD2315" s="82"/>
      <c r="OYE2315" s="82"/>
      <c r="OYF2315" s="82"/>
      <c r="OYG2315" s="82"/>
      <c r="OYH2315" s="82"/>
      <c r="OYI2315" s="82"/>
      <c r="OYJ2315" s="82"/>
      <c r="OYK2315" s="82"/>
      <c r="OYL2315" s="82"/>
      <c r="OYM2315" s="82"/>
      <c r="OYN2315" s="82"/>
      <c r="OYO2315" s="82"/>
      <c r="OYP2315" s="82"/>
      <c r="OYQ2315" s="82"/>
      <c r="OYR2315" s="82"/>
      <c r="OYS2315" s="82"/>
      <c r="OYT2315" s="82"/>
      <c r="OYU2315" s="82"/>
      <c r="OYV2315" s="82"/>
      <c r="OYW2315" s="82"/>
      <c r="OYX2315" s="82"/>
      <c r="OYY2315" s="82"/>
      <c r="OYZ2315" s="82"/>
      <c r="OZA2315" s="82"/>
      <c r="OZB2315" s="82"/>
      <c r="OZC2315" s="82"/>
      <c r="OZD2315" s="82"/>
      <c r="OZE2315" s="82"/>
      <c r="OZF2315" s="82"/>
      <c r="OZG2315" s="82"/>
      <c r="OZH2315" s="82"/>
      <c r="OZI2315" s="82"/>
      <c r="OZJ2315" s="82"/>
      <c r="OZK2315" s="82"/>
      <c r="OZL2315" s="82"/>
      <c r="OZM2315" s="82"/>
      <c r="OZN2315" s="82"/>
      <c r="OZO2315" s="82"/>
      <c r="OZP2315" s="82"/>
      <c r="OZQ2315" s="82"/>
      <c r="OZR2315" s="82"/>
      <c r="OZS2315" s="82"/>
      <c r="OZT2315" s="82"/>
      <c r="OZU2315" s="82"/>
      <c r="OZV2315" s="82"/>
      <c r="OZW2315" s="82"/>
      <c r="OZX2315" s="82"/>
      <c r="OZY2315" s="82"/>
      <c r="OZZ2315" s="82"/>
      <c r="PAA2315" s="82"/>
      <c r="PAB2315" s="82"/>
      <c r="PAC2315" s="82"/>
      <c r="PAD2315" s="82"/>
      <c r="PAE2315" s="82"/>
      <c r="PAF2315" s="82"/>
      <c r="PAG2315" s="82"/>
      <c r="PAH2315" s="82"/>
      <c r="PAI2315" s="82"/>
      <c r="PAJ2315" s="82"/>
      <c r="PAK2315" s="82"/>
      <c r="PAL2315" s="82"/>
      <c r="PAM2315" s="82"/>
      <c r="PAN2315" s="82"/>
      <c r="PAO2315" s="82"/>
      <c r="PAP2315" s="82"/>
      <c r="PAQ2315" s="82"/>
      <c r="PAR2315" s="82"/>
      <c r="PAS2315" s="82"/>
      <c r="PAT2315" s="82"/>
      <c r="PAU2315" s="82"/>
      <c r="PAV2315" s="82"/>
      <c r="PAW2315" s="82"/>
      <c r="PAX2315" s="82"/>
      <c r="PAY2315" s="82"/>
      <c r="PAZ2315" s="82"/>
      <c r="PBA2315" s="82"/>
      <c r="PBB2315" s="82"/>
      <c r="PBC2315" s="82"/>
      <c r="PBD2315" s="82"/>
      <c r="PBE2315" s="82"/>
      <c r="PBF2315" s="82"/>
      <c r="PBG2315" s="82"/>
      <c r="PBH2315" s="82"/>
      <c r="PBI2315" s="82"/>
      <c r="PBJ2315" s="82"/>
      <c r="PBK2315" s="82"/>
      <c r="PBL2315" s="82"/>
      <c r="PBM2315" s="82"/>
      <c r="PBN2315" s="82"/>
      <c r="PBO2315" s="82"/>
      <c r="PBP2315" s="82"/>
      <c r="PBQ2315" s="82"/>
      <c r="PBR2315" s="82"/>
      <c r="PBS2315" s="82"/>
      <c r="PBT2315" s="82"/>
      <c r="PBU2315" s="82"/>
      <c r="PBV2315" s="82"/>
      <c r="PBW2315" s="82"/>
      <c r="PBX2315" s="82"/>
      <c r="PBY2315" s="82"/>
      <c r="PBZ2315" s="82"/>
      <c r="PCA2315" s="82"/>
      <c r="PCB2315" s="82"/>
      <c r="PCC2315" s="82"/>
      <c r="PCD2315" s="82"/>
      <c r="PCE2315" s="82"/>
      <c r="PCF2315" s="82"/>
      <c r="PCG2315" s="82"/>
      <c r="PCH2315" s="82"/>
      <c r="PCI2315" s="82"/>
      <c r="PCJ2315" s="82"/>
      <c r="PCK2315" s="82"/>
      <c r="PCL2315" s="82"/>
      <c r="PCM2315" s="82"/>
      <c r="PCN2315" s="82"/>
      <c r="PCO2315" s="82"/>
      <c r="PCP2315" s="82"/>
      <c r="PCQ2315" s="82"/>
      <c r="PCR2315" s="82"/>
      <c r="PCS2315" s="82"/>
      <c r="PCT2315" s="82"/>
      <c r="PCU2315" s="82"/>
      <c r="PCV2315" s="82"/>
      <c r="PCW2315" s="82"/>
      <c r="PCX2315" s="82"/>
      <c r="PCY2315" s="82"/>
      <c r="PCZ2315" s="82"/>
      <c r="PDA2315" s="82"/>
      <c r="PDB2315" s="82"/>
      <c r="PDC2315" s="82"/>
      <c r="PDD2315" s="82"/>
      <c r="PDE2315" s="82"/>
      <c r="PDF2315" s="82"/>
      <c r="PDG2315" s="82"/>
      <c r="PDH2315" s="82"/>
      <c r="PDI2315" s="82"/>
      <c r="PDJ2315" s="82"/>
      <c r="PDK2315" s="82"/>
      <c r="PDL2315" s="82"/>
      <c r="PDM2315" s="82"/>
      <c r="PDN2315" s="82"/>
      <c r="PDO2315" s="82"/>
      <c r="PDP2315" s="82"/>
      <c r="PDQ2315" s="82"/>
      <c r="PDR2315" s="82"/>
      <c r="PDS2315" s="82"/>
      <c r="PDT2315" s="82"/>
      <c r="PDU2315" s="82"/>
      <c r="PDV2315" s="82"/>
      <c r="PDW2315" s="82"/>
      <c r="PDX2315" s="82"/>
      <c r="PDY2315" s="82"/>
      <c r="PDZ2315" s="82"/>
      <c r="PEA2315" s="82"/>
      <c r="PEB2315" s="82"/>
      <c r="PEC2315" s="82"/>
      <c r="PED2315" s="82"/>
      <c r="PEE2315" s="82"/>
      <c r="PEF2315" s="82"/>
      <c r="PEG2315" s="82"/>
      <c r="PEH2315" s="82"/>
      <c r="PEI2315" s="82"/>
      <c r="PEJ2315" s="82"/>
      <c r="PEK2315" s="82"/>
      <c r="PEL2315" s="82"/>
      <c r="PEM2315" s="82"/>
      <c r="PEN2315" s="82"/>
      <c r="PEO2315" s="82"/>
      <c r="PEP2315" s="82"/>
      <c r="PEQ2315" s="82"/>
      <c r="PER2315" s="82"/>
      <c r="PES2315" s="82"/>
      <c r="PET2315" s="82"/>
      <c r="PEU2315" s="82"/>
      <c r="PEV2315" s="82"/>
      <c r="PEW2315" s="82"/>
      <c r="PEX2315" s="82"/>
      <c r="PEY2315" s="82"/>
      <c r="PEZ2315" s="82"/>
      <c r="PFA2315" s="82"/>
      <c r="PFB2315" s="82"/>
      <c r="PFC2315" s="82"/>
      <c r="PFD2315" s="82"/>
      <c r="PFE2315" s="82"/>
      <c r="PFF2315" s="82"/>
      <c r="PFG2315" s="82"/>
      <c r="PFH2315" s="82"/>
      <c r="PFI2315" s="82"/>
      <c r="PFJ2315" s="82"/>
      <c r="PFK2315" s="82"/>
      <c r="PFL2315" s="82"/>
      <c r="PFM2315" s="82"/>
      <c r="PFN2315" s="82"/>
      <c r="PFO2315" s="82"/>
      <c r="PFP2315" s="82"/>
      <c r="PFQ2315" s="82"/>
      <c r="PFR2315" s="82"/>
      <c r="PFS2315" s="82"/>
      <c r="PFT2315" s="82"/>
      <c r="PFU2315" s="82"/>
      <c r="PFV2315" s="82"/>
      <c r="PFW2315" s="82"/>
      <c r="PFX2315" s="82"/>
      <c r="PFY2315" s="82"/>
      <c r="PFZ2315" s="82"/>
      <c r="PGA2315" s="82"/>
      <c r="PGB2315" s="82"/>
      <c r="PGC2315" s="82"/>
      <c r="PGD2315" s="82"/>
      <c r="PGE2315" s="82"/>
      <c r="PGF2315" s="82"/>
      <c r="PGG2315" s="82"/>
      <c r="PGH2315" s="82"/>
      <c r="PGI2315" s="82"/>
      <c r="PGJ2315" s="82"/>
      <c r="PGK2315" s="82"/>
      <c r="PGL2315" s="82"/>
      <c r="PGM2315" s="82"/>
      <c r="PGN2315" s="82"/>
      <c r="PGO2315" s="82"/>
      <c r="PGP2315" s="82"/>
      <c r="PGQ2315" s="82"/>
      <c r="PGR2315" s="82"/>
      <c r="PGS2315" s="82"/>
      <c r="PGT2315" s="82"/>
      <c r="PGU2315" s="82"/>
      <c r="PGV2315" s="82"/>
      <c r="PGW2315" s="82"/>
      <c r="PGX2315" s="82"/>
      <c r="PGY2315" s="82"/>
      <c r="PGZ2315" s="82"/>
      <c r="PHA2315" s="82"/>
      <c r="PHB2315" s="82"/>
      <c r="PHC2315" s="82"/>
      <c r="PHD2315" s="82"/>
      <c r="PHE2315" s="82"/>
      <c r="PHF2315" s="82"/>
      <c r="PHG2315" s="82"/>
      <c r="PHH2315" s="82"/>
      <c r="PHI2315" s="82"/>
      <c r="PHJ2315" s="82"/>
      <c r="PHK2315" s="82"/>
      <c r="PHL2315" s="82"/>
      <c r="PHM2315" s="82"/>
      <c r="PHN2315" s="82"/>
      <c r="PHO2315" s="82"/>
      <c r="PHP2315" s="82"/>
      <c r="PHQ2315" s="82"/>
      <c r="PHR2315" s="82"/>
      <c r="PHS2315" s="82"/>
      <c r="PHT2315" s="82"/>
      <c r="PHU2315" s="82"/>
      <c r="PHV2315" s="82"/>
      <c r="PHW2315" s="82"/>
      <c r="PHX2315" s="82"/>
      <c r="PHY2315" s="82"/>
      <c r="PHZ2315" s="82"/>
      <c r="PIA2315" s="82"/>
      <c r="PIB2315" s="82"/>
      <c r="PIC2315" s="82"/>
      <c r="PID2315" s="82"/>
      <c r="PIE2315" s="82"/>
      <c r="PIF2315" s="82"/>
      <c r="PIG2315" s="82"/>
      <c r="PIH2315" s="82"/>
      <c r="PII2315" s="82"/>
      <c r="PIJ2315" s="82"/>
      <c r="PIK2315" s="82"/>
      <c r="PIL2315" s="82"/>
      <c r="PIM2315" s="82"/>
      <c r="PIN2315" s="82"/>
      <c r="PIO2315" s="82"/>
      <c r="PIP2315" s="82"/>
      <c r="PIQ2315" s="82"/>
      <c r="PIR2315" s="82"/>
      <c r="PIS2315" s="82"/>
      <c r="PIT2315" s="82"/>
      <c r="PIU2315" s="82"/>
      <c r="PIV2315" s="82"/>
      <c r="PIW2315" s="82"/>
      <c r="PIX2315" s="82"/>
      <c r="PIY2315" s="82"/>
      <c r="PIZ2315" s="82"/>
      <c r="PJA2315" s="82"/>
      <c r="PJB2315" s="82"/>
      <c r="PJC2315" s="82"/>
      <c r="PJD2315" s="82"/>
      <c r="PJE2315" s="82"/>
      <c r="PJF2315" s="82"/>
      <c r="PJG2315" s="82"/>
      <c r="PJH2315" s="82"/>
      <c r="PJI2315" s="82"/>
      <c r="PJJ2315" s="82"/>
      <c r="PJK2315" s="82"/>
      <c r="PJL2315" s="82"/>
      <c r="PJM2315" s="82"/>
      <c r="PJN2315" s="82"/>
      <c r="PJO2315" s="82"/>
      <c r="PJP2315" s="82"/>
      <c r="PJQ2315" s="82"/>
      <c r="PJR2315" s="82"/>
      <c r="PJS2315" s="82"/>
      <c r="PJT2315" s="82"/>
      <c r="PJU2315" s="82"/>
      <c r="PJV2315" s="82"/>
      <c r="PJW2315" s="82"/>
      <c r="PJX2315" s="82"/>
      <c r="PJY2315" s="82"/>
      <c r="PJZ2315" s="82"/>
      <c r="PKA2315" s="82"/>
      <c r="PKB2315" s="82"/>
      <c r="PKC2315" s="82"/>
      <c r="PKD2315" s="82"/>
      <c r="PKE2315" s="82"/>
      <c r="PKF2315" s="82"/>
      <c r="PKG2315" s="82"/>
      <c r="PKH2315" s="82"/>
      <c r="PKI2315" s="82"/>
      <c r="PKJ2315" s="82"/>
      <c r="PKK2315" s="82"/>
      <c r="PKL2315" s="82"/>
      <c r="PKM2315" s="82"/>
      <c r="PKN2315" s="82"/>
      <c r="PKO2315" s="82"/>
      <c r="PKP2315" s="82"/>
      <c r="PKQ2315" s="82"/>
      <c r="PKR2315" s="82"/>
      <c r="PKS2315" s="82"/>
      <c r="PKT2315" s="82"/>
      <c r="PKU2315" s="82"/>
      <c r="PKV2315" s="82"/>
      <c r="PKW2315" s="82"/>
      <c r="PKX2315" s="82"/>
      <c r="PKY2315" s="82"/>
      <c r="PKZ2315" s="82"/>
      <c r="PLA2315" s="82"/>
      <c r="PLB2315" s="82"/>
      <c r="PLC2315" s="82"/>
      <c r="PLD2315" s="82"/>
      <c r="PLE2315" s="82"/>
      <c r="PLF2315" s="82"/>
      <c r="PLG2315" s="82"/>
      <c r="PLH2315" s="82"/>
      <c r="PLI2315" s="82"/>
      <c r="PLJ2315" s="82"/>
      <c r="PLK2315" s="82"/>
      <c r="PLL2315" s="82"/>
      <c r="PLM2315" s="82"/>
      <c r="PLN2315" s="82"/>
      <c r="PLO2315" s="82"/>
      <c r="PLP2315" s="82"/>
      <c r="PLQ2315" s="82"/>
      <c r="PLR2315" s="82"/>
      <c r="PLS2315" s="82"/>
      <c r="PLT2315" s="82"/>
      <c r="PLU2315" s="82"/>
      <c r="PLV2315" s="82"/>
      <c r="PLW2315" s="82"/>
      <c r="PLX2315" s="82"/>
      <c r="PLY2315" s="82"/>
      <c r="PLZ2315" s="82"/>
      <c r="PMA2315" s="82"/>
      <c r="PMB2315" s="82"/>
      <c r="PMC2315" s="82"/>
      <c r="PMD2315" s="82"/>
      <c r="PME2315" s="82"/>
      <c r="PMF2315" s="82"/>
      <c r="PMG2315" s="82"/>
      <c r="PMH2315" s="82"/>
      <c r="PMI2315" s="82"/>
      <c r="PMJ2315" s="82"/>
      <c r="PMK2315" s="82"/>
      <c r="PML2315" s="82"/>
      <c r="PMM2315" s="82"/>
      <c r="PMN2315" s="82"/>
      <c r="PMO2315" s="82"/>
      <c r="PMP2315" s="82"/>
      <c r="PMQ2315" s="82"/>
      <c r="PMR2315" s="82"/>
      <c r="PMS2315" s="82"/>
      <c r="PMT2315" s="82"/>
      <c r="PMU2315" s="82"/>
      <c r="PMV2315" s="82"/>
      <c r="PMW2315" s="82"/>
      <c r="PMX2315" s="82"/>
      <c r="PMY2315" s="82"/>
      <c r="PMZ2315" s="82"/>
      <c r="PNA2315" s="82"/>
      <c r="PNB2315" s="82"/>
      <c r="PNC2315" s="82"/>
      <c r="PND2315" s="82"/>
      <c r="PNE2315" s="82"/>
      <c r="PNF2315" s="82"/>
      <c r="PNG2315" s="82"/>
      <c r="PNH2315" s="82"/>
      <c r="PNI2315" s="82"/>
      <c r="PNJ2315" s="82"/>
      <c r="PNK2315" s="82"/>
      <c r="PNL2315" s="82"/>
      <c r="PNM2315" s="82"/>
      <c r="PNN2315" s="82"/>
      <c r="PNO2315" s="82"/>
      <c r="PNP2315" s="82"/>
      <c r="PNQ2315" s="82"/>
      <c r="PNR2315" s="82"/>
      <c r="PNS2315" s="82"/>
      <c r="PNT2315" s="82"/>
      <c r="PNU2315" s="82"/>
      <c r="PNV2315" s="82"/>
      <c r="PNW2315" s="82"/>
      <c r="PNX2315" s="82"/>
      <c r="PNY2315" s="82"/>
      <c r="PNZ2315" s="82"/>
      <c r="POA2315" s="82"/>
      <c r="POB2315" s="82"/>
      <c r="POC2315" s="82"/>
      <c r="POD2315" s="82"/>
      <c r="POE2315" s="82"/>
      <c r="POF2315" s="82"/>
      <c r="POG2315" s="82"/>
      <c r="POH2315" s="82"/>
      <c r="POI2315" s="82"/>
      <c r="POJ2315" s="82"/>
      <c r="POK2315" s="82"/>
      <c r="POL2315" s="82"/>
      <c r="POM2315" s="82"/>
      <c r="PON2315" s="82"/>
      <c r="POO2315" s="82"/>
      <c r="POP2315" s="82"/>
      <c r="POQ2315" s="82"/>
      <c r="POR2315" s="82"/>
      <c r="POS2315" s="82"/>
      <c r="POT2315" s="82"/>
      <c r="POU2315" s="82"/>
      <c r="POV2315" s="82"/>
      <c r="POW2315" s="82"/>
      <c r="POX2315" s="82"/>
      <c r="POY2315" s="82"/>
      <c r="POZ2315" s="82"/>
      <c r="PPA2315" s="82"/>
      <c r="PPB2315" s="82"/>
      <c r="PPC2315" s="82"/>
      <c r="PPD2315" s="82"/>
      <c r="PPE2315" s="82"/>
      <c r="PPF2315" s="82"/>
      <c r="PPG2315" s="82"/>
      <c r="PPH2315" s="82"/>
      <c r="PPI2315" s="82"/>
      <c r="PPJ2315" s="82"/>
      <c r="PPK2315" s="82"/>
      <c r="PPL2315" s="82"/>
      <c r="PPM2315" s="82"/>
      <c r="PPN2315" s="82"/>
      <c r="PPO2315" s="82"/>
      <c r="PPP2315" s="82"/>
      <c r="PPQ2315" s="82"/>
      <c r="PPR2315" s="82"/>
      <c r="PPS2315" s="82"/>
      <c r="PPT2315" s="82"/>
      <c r="PPU2315" s="82"/>
      <c r="PPV2315" s="82"/>
      <c r="PPW2315" s="82"/>
      <c r="PPX2315" s="82"/>
      <c r="PPY2315" s="82"/>
      <c r="PPZ2315" s="82"/>
      <c r="PQA2315" s="82"/>
      <c r="PQB2315" s="82"/>
      <c r="PQC2315" s="82"/>
      <c r="PQD2315" s="82"/>
      <c r="PQE2315" s="82"/>
      <c r="PQF2315" s="82"/>
      <c r="PQG2315" s="82"/>
      <c r="PQH2315" s="82"/>
      <c r="PQI2315" s="82"/>
      <c r="PQJ2315" s="82"/>
      <c r="PQK2315" s="82"/>
      <c r="PQL2315" s="82"/>
      <c r="PQM2315" s="82"/>
      <c r="PQN2315" s="82"/>
      <c r="PQO2315" s="82"/>
      <c r="PQP2315" s="82"/>
      <c r="PQQ2315" s="82"/>
      <c r="PQR2315" s="82"/>
      <c r="PQS2315" s="82"/>
      <c r="PQT2315" s="82"/>
      <c r="PQU2315" s="82"/>
      <c r="PQV2315" s="82"/>
      <c r="PQW2315" s="82"/>
      <c r="PQX2315" s="82"/>
      <c r="PQY2315" s="82"/>
      <c r="PQZ2315" s="82"/>
      <c r="PRA2315" s="82"/>
      <c r="PRB2315" s="82"/>
      <c r="PRC2315" s="82"/>
      <c r="PRD2315" s="82"/>
      <c r="PRE2315" s="82"/>
      <c r="PRF2315" s="82"/>
      <c r="PRG2315" s="82"/>
      <c r="PRH2315" s="82"/>
      <c r="PRI2315" s="82"/>
      <c r="PRJ2315" s="82"/>
      <c r="PRK2315" s="82"/>
      <c r="PRL2315" s="82"/>
      <c r="PRM2315" s="82"/>
      <c r="PRN2315" s="82"/>
      <c r="PRO2315" s="82"/>
      <c r="PRP2315" s="82"/>
      <c r="PRQ2315" s="82"/>
      <c r="PRR2315" s="82"/>
      <c r="PRS2315" s="82"/>
      <c r="PRT2315" s="82"/>
      <c r="PRU2315" s="82"/>
      <c r="PRV2315" s="82"/>
      <c r="PRW2315" s="82"/>
      <c r="PRX2315" s="82"/>
      <c r="PRY2315" s="82"/>
      <c r="PRZ2315" s="82"/>
      <c r="PSA2315" s="82"/>
      <c r="PSB2315" s="82"/>
      <c r="PSC2315" s="82"/>
      <c r="PSD2315" s="82"/>
      <c r="PSE2315" s="82"/>
      <c r="PSF2315" s="82"/>
      <c r="PSG2315" s="82"/>
      <c r="PSH2315" s="82"/>
      <c r="PSI2315" s="82"/>
      <c r="PSJ2315" s="82"/>
      <c r="PSK2315" s="82"/>
      <c r="PSL2315" s="82"/>
      <c r="PSM2315" s="82"/>
      <c r="PSN2315" s="82"/>
      <c r="PSO2315" s="82"/>
      <c r="PSP2315" s="82"/>
      <c r="PSQ2315" s="82"/>
      <c r="PSR2315" s="82"/>
      <c r="PSS2315" s="82"/>
      <c r="PST2315" s="82"/>
      <c r="PSU2315" s="82"/>
      <c r="PSV2315" s="82"/>
      <c r="PSW2315" s="82"/>
      <c r="PSX2315" s="82"/>
      <c r="PSY2315" s="82"/>
      <c r="PSZ2315" s="82"/>
      <c r="PTA2315" s="82"/>
      <c r="PTB2315" s="82"/>
      <c r="PTC2315" s="82"/>
      <c r="PTD2315" s="82"/>
      <c r="PTE2315" s="82"/>
      <c r="PTF2315" s="82"/>
      <c r="PTG2315" s="82"/>
      <c r="PTH2315" s="82"/>
      <c r="PTI2315" s="82"/>
      <c r="PTJ2315" s="82"/>
      <c r="PTK2315" s="82"/>
      <c r="PTL2315" s="82"/>
      <c r="PTM2315" s="82"/>
      <c r="PTN2315" s="82"/>
      <c r="PTO2315" s="82"/>
      <c r="PTP2315" s="82"/>
      <c r="PTQ2315" s="82"/>
      <c r="PTR2315" s="82"/>
      <c r="PTS2315" s="82"/>
      <c r="PTT2315" s="82"/>
      <c r="PTU2315" s="82"/>
      <c r="PTV2315" s="82"/>
      <c r="PTW2315" s="82"/>
      <c r="PTX2315" s="82"/>
      <c r="PTY2315" s="82"/>
      <c r="PTZ2315" s="82"/>
      <c r="PUA2315" s="82"/>
      <c r="PUB2315" s="82"/>
      <c r="PUC2315" s="82"/>
      <c r="PUD2315" s="82"/>
      <c r="PUE2315" s="82"/>
      <c r="PUF2315" s="82"/>
      <c r="PUG2315" s="82"/>
      <c r="PUH2315" s="82"/>
      <c r="PUI2315" s="82"/>
      <c r="PUJ2315" s="82"/>
      <c r="PUK2315" s="82"/>
      <c r="PUL2315" s="82"/>
      <c r="PUM2315" s="82"/>
      <c r="PUN2315" s="82"/>
      <c r="PUO2315" s="82"/>
      <c r="PUP2315" s="82"/>
      <c r="PUQ2315" s="82"/>
      <c r="PUR2315" s="82"/>
      <c r="PUS2315" s="82"/>
      <c r="PUT2315" s="82"/>
      <c r="PUU2315" s="82"/>
      <c r="PUV2315" s="82"/>
      <c r="PUW2315" s="82"/>
      <c r="PUX2315" s="82"/>
      <c r="PUY2315" s="82"/>
      <c r="PUZ2315" s="82"/>
      <c r="PVA2315" s="82"/>
      <c r="PVB2315" s="82"/>
      <c r="PVC2315" s="82"/>
      <c r="PVD2315" s="82"/>
      <c r="PVE2315" s="82"/>
      <c r="PVF2315" s="82"/>
      <c r="PVG2315" s="82"/>
      <c r="PVH2315" s="82"/>
      <c r="PVI2315" s="82"/>
      <c r="PVJ2315" s="82"/>
      <c r="PVK2315" s="82"/>
      <c r="PVL2315" s="82"/>
      <c r="PVM2315" s="82"/>
      <c r="PVN2315" s="82"/>
      <c r="PVO2315" s="82"/>
      <c r="PVP2315" s="82"/>
      <c r="PVQ2315" s="82"/>
      <c r="PVR2315" s="82"/>
      <c r="PVS2315" s="82"/>
      <c r="PVT2315" s="82"/>
      <c r="PVU2315" s="82"/>
      <c r="PVV2315" s="82"/>
      <c r="PVW2315" s="82"/>
      <c r="PVX2315" s="82"/>
      <c r="PVY2315" s="82"/>
      <c r="PVZ2315" s="82"/>
      <c r="PWA2315" s="82"/>
      <c r="PWB2315" s="82"/>
      <c r="PWC2315" s="82"/>
      <c r="PWD2315" s="82"/>
      <c r="PWE2315" s="82"/>
      <c r="PWF2315" s="82"/>
      <c r="PWG2315" s="82"/>
      <c r="PWH2315" s="82"/>
      <c r="PWI2315" s="82"/>
      <c r="PWJ2315" s="82"/>
      <c r="PWK2315" s="82"/>
      <c r="PWL2315" s="82"/>
      <c r="PWM2315" s="82"/>
      <c r="PWN2315" s="82"/>
      <c r="PWO2315" s="82"/>
      <c r="PWP2315" s="82"/>
      <c r="PWQ2315" s="82"/>
      <c r="PWR2315" s="82"/>
      <c r="PWS2315" s="82"/>
      <c r="PWT2315" s="82"/>
      <c r="PWU2315" s="82"/>
      <c r="PWV2315" s="82"/>
      <c r="PWW2315" s="82"/>
      <c r="PWX2315" s="82"/>
      <c r="PWY2315" s="82"/>
      <c r="PWZ2315" s="82"/>
      <c r="PXA2315" s="82"/>
      <c r="PXB2315" s="82"/>
      <c r="PXC2315" s="82"/>
      <c r="PXD2315" s="82"/>
      <c r="PXE2315" s="82"/>
      <c r="PXF2315" s="82"/>
      <c r="PXG2315" s="82"/>
      <c r="PXH2315" s="82"/>
      <c r="PXI2315" s="82"/>
      <c r="PXJ2315" s="82"/>
      <c r="PXK2315" s="82"/>
      <c r="PXL2315" s="82"/>
      <c r="PXM2315" s="82"/>
      <c r="PXN2315" s="82"/>
      <c r="PXO2315" s="82"/>
      <c r="PXP2315" s="82"/>
      <c r="PXQ2315" s="82"/>
      <c r="PXR2315" s="82"/>
      <c r="PXS2315" s="82"/>
      <c r="PXT2315" s="82"/>
      <c r="PXU2315" s="82"/>
      <c r="PXV2315" s="82"/>
      <c r="PXW2315" s="82"/>
      <c r="PXX2315" s="82"/>
      <c r="PXY2315" s="82"/>
      <c r="PXZ2315" s="82"/>
      <c r="PYA2315" s="82"/>
      <c r="PYB2315" s="82"/>
      <c r="PYC2315" s="82"/>
      <c r="PYD2315" s="82"/>
      <c r="PYE2315" s="82"/>
      <c r="PYF2315" s="82"/>
      <c r="PYG2315" s="82"/>
      <c r="PYH2315" s="82"/>
      <c r="PYI2315" s="82"/>
      <c r="PYJ2315" s="82"/>
      <c r="PYK2315" s="82"/>
      <c r="PYL2315" s="82"/>
      <c r="PYM2315" s="82"/>
      <c r="PYN2315" s="82"/>
      <c r="PYO2315" s="82"/>
      <c r="PYP2315" s="82"/>
      <c r="PYQ2315" s="82"/>
      <c r="PYR2315" s="82"/>
      <c r="PYS2315" s="82"/>
      <c r="PYT2315" s="82"/>
      <c r="PYU2315" s="82"/>
      <c r="PYV2315" s="82"/>
      <c r="PYW2315" s="82"/>
      <c r="PYX2315" s="82"/>
      <c r="PYY2315" s="82"/>
      <c r="PYZ2315" s="82"/>
      <c r="PZA2315" s="82"/>
      <c r="PZB2315" s="82"/>
      <c r="PZC2315" s="82"/>
      <c r="PZD2315" s="82"/>
      <c r="PZE2315" s="82"/>
      <c r="PZF2315" s="82"/>
      <c r="PZG2315" s="82"/>
      <c r="PZH2315" s="82"/>
      <c r="PZI2315" s="82"/>
      <c r="PZJ2315" s="82"/>
      <c r="PZK2315" s="82"/>
      <c r="PZL2315" s="82"/>
      <c r="PZM2315" s="82"/>
      <c r="PZN2315" s="82"/>
      <c r="PZO2315" s="82"/>
      <c r="PZP2315" s="82"/>
      <c r="PZQ2315" s="82"/>
      <c r="PZR2315" s="82"/>
      <c r="PZS2315" s="82"/>
      <c r="PZT2315" s="82"/>
      <c r="PZU2315" s="82"/>
      <c r="PZV2315" s="82"/>
      <c r="PZW2315" s="82"/>
      <c r="PZX2315" s="82"/>
      <c r="PZY2315" s="82"/>
      <c r="PZZ2315" s="82"/>
      <c r="QAA2315" s="82"/>
      <c r="QAB2315" s="82"/>
      <c r="QAC2315" s="82"/>
      <c r="QAD2315" s="82"/>
      <c r="QAE2315" s="82"/>
      <c r="QAF2315" s="82"/>
      <c r="QAG2315" s="82"/>
      <c r="QAH2315" s="82"/>
      <c r="QAI2315" s="82"/>
      <c r="QAJ2315" s="82"/>
      <c r="QAK2315" s="82"/>
      <c r="QAL2315" s="82"/>
      <c r="QAM2315" s="82"/>
      <c r="QAN2315" s="82"/>
      <c r="QAO2315" s="82"/>
      <c r="QAP2315" s="82"/>
      <c r="QAQ2315" s="82"/>
      <c r="QAR2315" s="82"/>
      <c r="QAS2315" s="82"/>
      <c r="QAT2315" s="82"/>
      <c r="QAU2315" s="82"/>
      <c r="QAV2315" s="82"/>
      <c r="QAW2315" s="82"/>
      <c r="QAX2315" s="82"/>
      <c r="QAY2315" s="82"/>
      <c r="QAZ2315" s="82"/>
      <c r="QBA2315" s="82"/>
      <c r="QBB2315" s="82"/>
      <c r="QBC2315" s="82"/>
      <c r="QBD2315" s="82"/>
      <c r="QBE2315" s="82"/>
      <c r="QBF2315" s="82"/>
      <c r="QBG2315" s="82"/>
      <c r="QBH2315" s="82"/>
      <c r="QBI2315" s="82"/>
      <c r="QBJ2315" s="82"/>
      <c r="QBK2315" s="82"/>
      <c r="QBL2315" s="82"/>
      <c r="QBM2315" s="82"/>
      <c r="QBN2315" s="82"/>
      <c r="QBO2315" s="82"/>
      <c r="QBP2315" s="82"/>
      <c r="QBQ2315" s="82"/>
      <c r="QBR2315" s="82"/>
      <c r="QBS2315" s="82"/>
      <c r="QBT2315" s="82"/>
      <c r="QBU2315" s="82"/>
      <c r="QBV2315" s="82"/>
      <c r="QBW2315" s="82"/>
      <c r="QBX2315" s="82"/>
      <c r="QBY2315" s="82"/>
      <c r="QBZ2315" s="82"/>
      <c r="QCA2315" s="82"/>
      <c r="QCB2315" s="82"/>
      <c r="QCC2315" s="82"/>
      <c r="QCD2315" s="82"/>
      <c r="QCE2315" s="82"/>
      <c r="QCF2315" s="82"/>
      <c r="QCG2315" s="82"/>
      <c r="QCH2315" s="82"/>
      <c r="QCI2315" s="82"/>
      <c r="QCJ2315" s="82"/>
      <c r="QCK2315" s="82"/>
      <c r="QCL2315" s="82"/>
      <c r="QCM2315" s="82"/>
      <c r="QCN2315" s="82"/>
      <c r="QCO2315" s="82"/>
      <c r="QCP2315" s="82"/>
      <c r="QCQ2315" s="82"/>
      <c r="QCR2315" s="82"/>
      <c r="QCS2315" s="82"/>
      <c r="QCT2315" s="82"/>
      <c r="QCU2315" s="82"/>
      <c r="QCV2315" s="82"/>
      <c r="QCW2315" s="82"/>
      <c r="QCX2315" s="82"/>
      <c r="QCY2315" s="82"/>
      <c r="QCZ2315" s="82"/>
      <c r="QDA2315" s="82"/>
      <c r="QDB2315" s="82"/>
      <c r="QDC2315" s="82"/>
      <c r="QDD2315" s="82"/>
      <c r="QDE2315" s="82"/>
      <c r="QDF2315" s="82"/>
      <c r="QDG2315" s="82"/>
      <c r="QDH2315" s="82"/>
      <c r="QDI2315" s="82"/>
      <c r="QDJ2315" s="82"/>
      <c r="QDK2315" s="82"/>
      <c r="QDL2315" s="82"/>
      <c r="QDM2315" s="82"/>
      <c r="QDN2315" s="82"/>
      <c r="QDO2315" s="82"/>
      <c r="QDP2315" s="82"/>
      <c r="QDQ2315" s="82"/>
      <c r="QDR2315" s="82"/>
      <c r="QDS2315" s="82"/>
      <c r="QDT2315" s="82"/>
      <c r="QDU2315" s="82"/>
      <c r="QDV2315" s="82"/>
      <c r="QDW2315" s="82"/>
      <c r="QDX2315" s="82"/>
      <c r="QDY2315" s="82"/>
      <c r="QDZ2315" s="82"/>
      <c r="QEA2315" s="82"/>
      <c r="QEB2315" s="82"/>
      <c r="QEC2315" s="82"/>
      <c r="QED2315" s="82"/>
      <c r="QEE2315" s="82"/>
      <c r="QEF2315" s="82"/>
      <c r="QEG2315" s="82"/>
      <c r="QEH2315" s="82"/>
      <c r="QEI2315" s="82"/>
      <c r="QEJ2315" s="82"/>
      <c r="QEK2315" s="82"/>
      <c r="QEL2315" s="82"/>
      <c r="QEM2315" s="82"/>
      <c r="QEN2315" s="82"/>
      <c r="QEO2315" s="82"/>
      <c r="QEP2315" s="82"/>
      <c r="QEQ2315" s="82"/>
      <c r="QER2315" s="82"/>
      <c r="QES2315" s="82"/>
      <c r="QET2315" s="82"/>
      <c r="QEU2315" s="82"/>
      <c r="QEV2315" s="82"/>
      <c r="QEW2315" s="82"/>
      <c r="QEX2315" s="82"/>
      <c r="QEY2315" s="82"/>
      <c r="QEZ2315" s="82"/>
      <c r="QFA2315" s="82"/>
      <c r="QFB2315" s="82"/>
      <c r="QFC2315" s="82"/>
      <c r="QFD2315" s="82"/>
      <c r="QFE2315" s="82"/>
      <c r="QFF2315" s="82"/>
      <c r="QFG2315" s="82"/>
      <c r="QFH2315" s="82"/>
      <c r="QFI2315" s="82"/>
      <c r="QFJ2315" s="82"/>
      <c r="QFK2315" s="82"/>
      <c r="QFL2315" s="82"/>
      <c r="QFM2315" s="82"/>
      <c r="QFN2315" s="82"/>
      <c r="QFO2315" s="82"/>
      <c r="QFP2315" s="82"/>
      <c r="QFQ2315" s="82"/>
      <c r="QFR2315" s="82"/>
      <c r="QFS2315" s="82"/>
      <c r="QFT2315" s="82"/>
      <c r="QFU2315" s="82"/>
      <c r="QFV2315" s="82"/>
      <c r="QFW2315" s="82"/>
      <c r="QFX2315" s="82"/>
      <c r="QFY2315" s="82"/>
      <c r="QFZ2315" s="82"/>
      <c r="QGA2315" s="82"/>
      <c r="QGB2315" s="82"/>
      <c r="QGC2315" s="82"/>
      <c r="QGD2315" s="82"/>
      <c r="QGE2315" s="82"/>
      <c r="QGF2315" s="82"/>
      <c r="QGG2315" s="82"/>
      <c r="QGH2315" s="82"/>
      <c r="QGI2315" s="82"/>
      <c r="QGJ2315" s="82"/>
      <c r="QGK2315" s="82"/>
      <c r="QGL2315" s="82"/>
      <c r="QGM2315" s="82"/>
      <c r="QGN2315" s="82"/>
      <c r="QGO2315" s="82"/>
      <c r="QGP2315" s="82"/>
      <c r="QGQ2315" s="82"/>
      <c r="QGR2315" s="82"/>
      <c r="QGS2315" s="82"/>
      <c r="QGT2315" s="82"/>
      <c r="QGU2315" s="82"/>
      <c r="QGV2315" s="82"/>
      <c r="QGW2315" s="82"/>
      <c r="QGX2315" s="82"/>
      <c r="QGY2315" s="82"/>
      <c r="QGZ2315" s="82"/>
      <c r="QHA2315" s="82"/>
      <c r="QHB2315" s="82"/>
      <c r="QHC2315" s="82"/>
      <c r="QHD2315" s="82"/>
      <c r="QHE2315" s="82"/>
      <c r="QHF2315" s="82"/>
      <c r="QHG2315" s="82"/>
      <c r="QHH2315" s="82"/>
      <c r="QHI2315" s="82"/>
      <c r="QHJ2315" s="82"/>
      <c r="QHK2315" s="82"/>
      <c r="QHL2315" s="82"/>
      <c r="QHM2315" s="82"/>
      <c r="QHN2315" s="82"/>
      <c r="QHO2315" s="82"/>
      <c r="QHP2315" s="82"/>
      <c r="QHQ2315" s="82"/>
      <c r="QHR2315" s="82"/>
      <c r="QHS2315" s="82"/>
      <c r="QHT2315" s="82"/>
      <c r="QHU2315" s="82"/>
      <c r="QHV2315" s="82"/>
      <c r="QHW2315" s="82"/>
      <c r="QHX2315" s="82"/>
      <c r="QHY2315" s="82"/>
      <c r="QHZ2315" s="82"/>
      <c r="QIA2315" s="82"/>
      <c r="QIB2315" s="82"/>
      <c r="QIC2315" s="82"/>
      <c r="QID2315" s="82"/>
      <c r="QIE2315" s="82"/>
      <c r="QIF2315" s="82"/>
      <c r="QIG2315" s="82"/>
      <c r="QIH2315" s="82"/>
      <c r="QII2315" s="82"/>
      <c r="QIJ2315" s="82"/>
      <c r="QIK2315" s="82"/>
      <c r="QIL2315" s="82"/>
      <c r="QIM2315" s="82"/>
      <c r="QIN2315" s="82"/>
      <c r="QIO2315" s="82"/>
      <c r="QIP2315" s="82"/>
      <c r="QIQ2315" s="82"/>
      <c r="QIR2315" s="82"/>
      <c r="QIS2315" s="82"/>
      <c r="QIT2315" s="82"/>
      <c r="QIU2315" s="82"/>
      <c r="QIV2315" s="82"/>
      <c r="QIW2315" s="82"/>
      <c r="QIX2315" s="82"/>
      <c r="QIY2315" s="82"/>
      <c r="QIZ2315" s="82"/>
      <c r="QJA2315" s="82"/>
      <c r="QJB2315" s="82"/>
      <c r="QJC2315" s="82"/>
      <c r="QJD2315" s="82"/>
      <c r="QJE2315" s="82"/>
      <c r="QJF2315" s="82"/>
      <c r="QJG2315" s="82"/>
      <c r="QJH2315" s="82"/>
      <c r="QJI2315" s="82"/>
      <c r="QJJ2315" s="82"/>
      <c r="QJK2315" s="82"/>
      <c r="QJL2315" s="82"/>
      <c r="QJM2315" s="82"/>
      <c r="QJN2315" s="82"/>
      <c r="QJO2315" s="82"/>
      <c r="QJP2315" s="82"/>
      <c r="QJQ2315" s="82"/>
      <c r="QJR2315" s="82"/>
      <c r="QJS2315" s="82"/>
      <c r="QJT2315" s="82"/>
      <c r="QJU2315" s="82"/>
      <c r="QJV2315" s="82"/>
      <c r="QJW2315" s="82"/>
      <c r="QJX2315" s="82"/>
      <c r="QJY2315" s="82"/>
      <c r="QJZ2315" s="82"/>
      <c r="QKA2315" s="82"/>
      <c r="QKB2315" s="82"/>
      <c r="QKC2315" s="82"/>
      <c r="QKD2315" s="82"/>
      <c r="QKE2315" s="82"/>
      <c r="QKF2315" s="82"/>
      <c r="QKG2315" s="82"/>
      <c r="QKH2315" s="82"/>
      <c r="QKI2315" s="82"/>
      <c r="QKJ2315" s="82"/>
      <c r="QKK2315" s="82"/>
      <c r="QKL2315" s="82"/>
      <c r="QKM2315" s="82"/>
      <c r="QKN2315" s="82"/>
      <c r="QKO2315" s="82"/>
      <c r="QKP2315" s="82"/>
      <c r="QKQ2315" s="82"/>
      <c r="QKR2315" s="82"/>
      <c r="QKS2315" s="82"/>
      <c r="QKT2315" s="82"/>
      <c r="QKU2315" s="82"/>
      <c r="QKV2315" s="82"/>
      <c r="QKW2315" s="82"/>
      <c r="QKX2315" s="82"/>
      <c r="QKY2315" s="82"/>
      <c r="QKZ2315" s="82"/>
      <c r="QLA2315" s="82"/>
      <c r="QLB2315" s="82"/>
      <c r="QLC2315" s="82"/>
      <c r="QLD2315" s="82"/>
      <c r="QLE2315" s="82"/>
      <c r="QLF2315" s="82"/>
      <c r="QLG2315" s="82"/>
      <c r="QLH2315" s="82"/>
      <c r="QLI2315" s="82"/>
      <c r="QLJ2315" s="82"/>
      <c r="QLK2315" s="82"/>
      <c r="QLL2315" s="82"/>
      <c r="QLM2315" s="82"/>
      <c r="QLN2315" s="82"/>
      <c r="QLO2315" s="82"/>
      <c r="QLP2315" s="82"/>
      <c r="QLQ2315" s="82"/>
      <c r="QLR2315" s="82"/>
      <c r="QLS2315" s="82"/>
      <c r="QLT2315" s="82"/>
      <c r="QLU2315" s="82"/>
      <c r="QLV2315" s="82"/>
      <c r="QLW2315" s="82"/>
      <c r="QLX2315" s="82"/>
      <c r="QLY2315" s="82"/>
      <c r="QLZ2315" s="82"/>
      <c r="QMA2315" s="82"/>
      <c r="QMB2315" s="82"/>
      <c r="QMC2315" s="82"/>
      <c r="QMD2315" s="82"/>
      <c r="QME2315" s="82"/>
      <c r="QMF2315" s="82"/>
      <c r="QMG2315" s="82"/>
      <c r="QMH2315" s="82"/>
      <c r="QMI2315" s="82"/>
      <c r="QMJ2315" s="82"/>
      <c r="QMK2315" s="82"/>
      <c r="QML2315" s="82"/>
      <c r="QMM2315" s="82"/>
      <c r="QMN2315" s="82"/>
      <c r="QMO2315" s="82"/>
      <c r="QMP2315" s="82"/>
      <c r="QMQ2315" s="82"/>
      <c r="QMR2315" s="82"/>
      <c r="QMS2315" s="82"/>
      <c r="QMT2315" s="82"/>
      <c r="QMU2315" s="82"/>
      <c r="QMV2315" s="82"/>
      <c r="QMW2315" s="82"/>
      <c r="QMX2315" s="82"/>
      <c r="QMY2315" s="82"/>
      <c r="QMZ2315" s="82"/>
      <c r="QNA2315" s="82"/>
      <c r="QNB2315" s="82"/>
      <c r="QNC2315" s="82"/>
      <c r="QND2315" s="82"/>
      <c r="QNE2315" s="82"/>
      <c r="QNF2315" s="82"/>
      <c r="QNG2315" s="82"/>
      <c r="QNH2315" s="82"/>
      <c r="QNI2315" s="82"/>
      <c r="QNJ2315" s="82"/>
      <c r="QNK2315" s="82"/>
      <c r="QNL2315" s="82"/>
      <c r="QNM2315" s="82"/>
      <c r="QNN2315" s="82"/>
      <c r="QNO2315" s="82"/>
      <c r="QNP2315" s="82"/>
      <c r="QNQ2315" s="82"/>
      <c r="QNR2315" s="82"/>
      <c r="QNS2315" s="82"/>
      <c r="QNT2315" s="82"/>
      <c r="QNU2315" s="82"/>
      <c r="QNV2315" s="82"/>
      <c r="QNW2315" s="82"/>
      <c r="QNX2315" s="82"/>
      <c r="QNY2315" s="82"/>
      <c r="QNZ2315" s="82"/>
      <c r="QOA2315" s="82"/>
      <c r="QOB2315" s="82"/>
      <c r="QOC2315" s="82"/>
      <c r="QOD2315" s="82"/>
      <c r="QOE2315" s="82"/>
      <c r="QOF2315" s="82"/>
      <c r="QOG2315" s="82"/>
      <c r="QOH2315" s="82"/>
      <c r="QOI2315" s="82"/>
      <c r="QOJ2315" s="82"/>
      <c r="QOK2315" s="82"/>
      <c r="QOL2315" s="82"/>
      <c r="QOM2315" s="82"/>
      <c r="QON2315" s="82"/>
      <c r="QOO2315" s="82"/>
      <c r="QOP2315" s="82"/>
      <c r="QOQ2315" s="82"/>
      <c r="QOR2315" s="82"/>
      <c r="QOS2315" s="82"/>
      <c r="QOT2315" s="82"/>
      <c r="QOU2315" s="82"/>
      <c r="QOV2315" s="82"/>
      <c r="QOW2315" s="82"/>
      <c r="QOX2315" s="82"/>
      <c r="QOY2315" s="82"/>
      <c r="QOZ2315" s="82"/>
      <c r="QPA2315" s="82"/>
      <c r="QPB2315" s="82"/>
      <c r="QPC2315" s="82"/>
      <c r="QPD2315" s="82"/>
      <c r="QPE2315" s="82"/>
      <c r="QPF2315" s="82"/>
      <c r="QPG2315" s="82"/>
      <c r="QPH2315" s="82"/>
      <c r="QPI2315" s="82"/>
      <c r="QPJ2315" s="82"/>
      <c r="QPK2315" s="82"/>
      <c r="QPL2315" s="82"/>
      <c r="QPM2315" s="82"/>
      <c r="QPN2315" s="82"/>
      <c r="QPO2315" s="82"/>
      <c r="QPP2315" s="82"/>
      <c r="QPQ2315" s="82"/>
      <c r="QPR2315" s="82"/>
      <c r="QPS2315" s="82"/>
      <c r="QPT2315" s="82"/>
      <c r="QPU2315" s="82"/>
      <c r="QPV2315" s="82"/>
      <c r="QPW2315" s="82"/>
      <c r="QPX2315" s="82"/>
      <c r="QPY2315" s="82"/>
      <c r="QPZ2315" s="82"/>
      <c r="QQA2315" s="82"/>
      <c r="QQB2315" s="82"/>
      <c r="QQC2315" s="82"/>
      <c r="QQD2315" s="82"/>
      <c r="QQE2315" s="82"/>
      <c r="QQF2315" s="82"/>
      <c r="QQG2315" s="82"/>
      <c r="QQH2315" s="82"/>
      <c r="QQI2315" s="82"/>
      <c r="QQJ2315" s="82"/>
      <c r="QQK2315" s="82"/>
      <c r="QQL2315" s="82"/>
      <c r="QQM2315" s="82"/>
      <c r="QQN2315" s="82"/>
      <c r="QQO2315" s="82"/>
      <c r="QQP2315" s="82"/>
      <c r="QQQ2315" s="82"/>
      <c r="QQR2315" s="82"/>
      <c r="QQS2315" s="82"/>
      <c r="QQT2315" s="82"/>
      <c r="QQU2315" s="82"/>
      <c r="QQV2315" s="82"/>
      <c r="QQW2315" s="82"/>
      <c r="QQX2315" s="82"/>
      <c r="QQY2315" s="82"/>
      <c r="QQZ2315" s="82"/>
      <c r="QRA2315" s="82"/>
      <c r="QRB2315" s="82"/>
      <c r="QRC2315" s="82"/>
      <c r="QRD2315" s="82"/>
      <c r="QRE2315" s="82"/>
      <c r="QRF2315" s="82"/>
      <c r="QRG2315" s="82"/>
      <c r="QRH2315" s="82"/>
      <c r="QRI2315" s="82"/>
      <c r="QRJ2315" s="82"/>
      <c r="QRK2315" s="82"/>
      <c r="QRL2315" s="82"/>
      <c r="QRM2315" s="82"/>
      <c r="QRN2315" s="82"/>
      <c r="QRO2315" s="82"/>
      <c r="QRP2315" s="82"/>
      <c r="QRQ2315" s="82"/>
      <c r="QRR2315" s="82"/>
      <c r="QRS2315" s="82"/>
      <c r="QRT2315" s="82"/>
      <c r="QRU2315" s="82"/>
      <c r="QRV2315" s="82"/>
      <c r="QRW2315" s="82"/>
      <c r="QRX2315" s="82"/>
      <c r="QRY2315" s="82"/>
      <c r="QRZ2315" s="82"/>
      <c r="QSA2315" s="82"/>
      <c r="QSB2315" s="82"/>
      <c r="QSC2315" s="82"/>
      <c r="QSD2315" s="82"/>
      <c r="QSE2315" s="82"/>
      <c r="QSF2315" s="82"/>
      <c r="QSG2315" s="82"/>
      <c r="QSH2315" s="82"/>
      <c r="QSI2315" s="82"/>
      <c r="QSJ2315" s="82"/>
      <c r="QSK2315" s="82"/>
      <c r="QSL2315" s="82"/>
      <c r="QSM2315" s="82"/>
      <c r="QSN2315" s="82"/>
      <c r="QSO2315" s="82"/>
      <c r="QSP2315" s="82"/>
      <c r="QSQ2315" s="82"/>
      <c r="QSR2315" s="82"/>
      <c r="QSS2315" s="82"/>
      <c r="QST2315" s="82"/>
      <c r="QSU2315" s="82"/>
      <c r="QSV2315" s="82"/>
      <c r="QSW2315" s="82"/>
      <c r="QSX2315" s="82"/>
      <c r="QSY2315" s="82"/>
      <c r="QSZ2315" s="82"/>
      <c r="QTA2315" s="82"/>
      <c r="QTB2315" s="82"/>
      <c r="QTC2315" s="82"/>
      <c r="QTD2315" s="82"/>
      <c r="QTE2315" s="82"/>
      <c r="QTF2315" s="82"/>
      <c r="QTG2315" s="82"/>
      <c r="QTH2315" s="82"/>
      <c r="QTI2315" s="82"/>
      <c r="QTJ2315" s="82"/>
      <c r="QTK2315" s="82"/>
      <c r="QTL2315" s="82"/>
      <c r="QTM2315" s="82"/>
      <c r="QTN2315" s="82"/>
      <c r="QTO2315" s="82"/>
      <c r="QTP2315" s="82"/>
      <c r="QTQ2315" s="82"/>
      <c r="QTR2315" s="82"/>
      <c r="QTS2315" s="82"/>
      <c r="QTT2315" s="82"/>
      <c r="QTU2315" s="82"/>
      <c r="QTV2315" s="82"/>
      <c r="QTW2315" s="82"/>
      <c r="QTX2315" s="82"/>
      <c r="QTY2315" s="82"/>
      <c r="QTZ2315" s="82"/>
      <c r="QUA2315" s="82"/>
      <c r="QUB2315" s="82"/>
      <c r="QUC2315" s="82"/>
      <c r="QUD2315" s="82"/>
      <c r="QUE2315" s="82"/>
      <c r="QUF2315" s="82"/>
      <c r="QUG2315" s="82"/>
      <c r="QUH2315" s="82"/>
      <c r="QUI2315" s="82"/>
      <c r="QUJ2315" s="82"/>
      <c r="QUK2315" s="82"/>
      <c r="QUL2315" s="82"/>
      <c r="QUM2315" s="82"/>
      <c r="QUN2315" s="82"/>
      <c r="QUO2315" s="82"/>
      <c r="QUP2315" s="82"/>
      <c r="QUQ2315" s="82"/>
      <c r="QUR2315" s="82"/>
      <c r="QUS2315" s="82"/>
      <c r="QUT2315" s="82"/>
      <c r="QUU2315" s="82"/>
      <c r="QUV2315" s="82"/>
      <c r="QUW2315" s="82"/>
      <c r="QUX2315" s="82"/>
      <c r="QUY2315" s="82"/>
      <c r="QUZ2315" s="82"/>
      <c r="QVA2315" s="82"/>
      <c r="QVB2315" s="82"/>
      <c r="QVC2315" s="82"/>
      <c r="QVD2315" s="82"/>
      <c r="QVE2315" s="82"/>
      <c r="QVF2315" s="82"/>
      <c r="QVG2315" s="82"/>
      <c r="QVH2315" s="82"/>
      <c r="QVI2315" s="82"/>
      <c r="QVJ2315" s="82"/>
      <c r="QVK2315" s="82"/>
      <c r="QVL2315" s="82"/>
      <c r="QVM2315" s="82"/>
      <c r="QVN2315" s="82"/>
      <c r="QVO2315" s="82"/>
      <c r="QVP2315" s="82"/>
      <c r="QVQ2315" s="82"/>
      <c r="QVR2315" s="82"/>
      <c r="QVS2315" s="82"/>
      <c r="QVT2315" s="82"/>
      <c r="QVU2315" s="82"/>
      <c r="QVV2315" s="82"/>
      <c r="QVW2315" s="82"/>
      <c r="QVX2315" s="82"/>
      <c r="QVY2315" s="82"/>
      <c r="QVZ2315" s="82"/>
      <c r="QWA2315" s="82"/>
      <c r="QWB2315" s="82"/>
      <c r="QWC2315" s="82"/>
      <c r="QWD2315" s="82"/>
      <c r="QWE2315" s="82"/>
      <c r="QWF2315" s="82"/>
      <c r="QWG2315" s="82"/>
      <c r="QWH2315" s="82"/>
      <c r="QWI2315" s="82"/>
      <c r="QWJ2315" s="82"/>
      <c r="QWK2315" s="82"/>
      <c r="QWL2315" s="82"/>
      <c r="QWM2315" s="82"/>
      <c r="QWN2315" s="82"/>
      <c r="QWO2315" s="82"/>
      <c r="QWP2315" s="82"/>
      <c r="QWQ2315" s="82"/>
      <c r="QWR2315" s="82"/>
      <c r="QWS2315" s="82"/>
      <c r="QWT2315" s="82"/>
      <c r="QWU2315" s="82"/>
      <c r="QWV2315" s="82"/>
      <c r="QWW2315" s="82"/>
      <c r="QWX2315" s="82"/>
      <c r="QWY2315" s="82"/>
      <c r="QWZ2315" s="82"/>
      <c r="QXA2315" s="82"/>
      <c r="QXB2315" s="82"/>
      <c r="QXC2315" s="82"/>
      <c r="QXD2315" s="82"/>
      <c r="QXE2315" s="82"/>
      <c r="QXF2315" s="82"/>
      <c r="QXG2315" s="82"/>
      <c r="QXH2315" s="82"/>
      <c r="QXI2315" s="82"/>
      <c r="QXJ2315" s="82"/>
      <c r="QXK2315" s="82"/>
      <c r="QXL2315" s="82"/>
      <c r="QXM2315" s="82"/>
      <c r="QXN2315" s="82"/>
      <c r="QXO2315" s="82"/>
      <c r="QXP2315" s="82"/>
      <c r="QXQ2315" s="82"/>
      <c r="QXR2315" s="82"/>
      <c r="QXS2315" s="82"/>
      <c r="QXT2315" s="82"/>
      <c r="QXU2315" s="82"/>
      <c r="QXV2315" s="82"/>
      <c r="QXW2315" s="82"/>
      <c r="QXX2315" s="82"/>
      <c r="QXY2315" s="82"/>
      <c r="QXZ2315" s="82"/>
      <c r="QYA2315" s="82"/>
      <c r="QYB2315" s="82"/>
      <c r="QYC2315" s="82"/>
      <c r="QYD2315" s="82"/>
      <c r="QYE2315" s="82"/>
      <c r="QYF2315" s="82"/>
      <c r="QYG2315" s="82"/>
      <c r="QYH2315" s="82"/>
      <c r="QYI2315" s="82"/>
      <c r="QYJ2315" s="82"/>
      <c r="QYK2315" s="82"/>
      <c r="QYL2315" s="82"/>
      <c r="QYM2315" s="82"/>
      <c r="QYN2315" s="82"/>
      <c r="QYO2315" s="82"/>
      <c r="QYP2315" s="82"/>
      <c r="QYQ2315" s="82"/>
      <c r="QYR2315" s="82"/>
      <c r="QYS2315" s="82"/>
      <c r="QYT2315" s="82"/>
      <c r="QYU2315" s="82"/>
      <c r="QYV2315" s="82"/>
      <c r="QYW2315" s="82"/>
      <c r="QYX2315" s="82"/>
      <c r="QYY2315" s="82"/>
      <c r="QYZ2315" s="82"/>
      <c r="QZA2315" s="82"/>
      <c r="QZB2315" s="82"/>
      <c r="QZC2315" s="82"/>
      <c r="QZD2315" s="82"/>
      <c r="QZE2315" s="82"/>
      <c r="QZF2315" s="82"/>
      <c r="QZG2315" s="82"/>
      <c r="QZH2315" s="82"/>
      <c r="QZI2315" s="82"/>
      <c r="QZJ2315" s="82"/>
      <c r="QZK2315" s="82"/>
      <c r="QZL2315" s="82"/>
      <c r="QZM2315" s="82"/>
      <c r="QZN2315" s="82"/>
      <c r="QZO2315" s="82"/>
      <c r="QZP2315" s="82"/>
      <c r="QZQ2315" s="82"/>
      <c r="QZR2315" s="82"/>
      <c r="QZS2315" s="82"/>
      <c r="QZT2315" s="82"/>
      <c r="QZU2315" s="82"/>
      <c r="QZV2315" s="82"/>
      <c r="QZW2315" s="82"/>
      <c r="QZX2315" s="82"/>
      <c r="QZY2315" s="82"/>
      <c r="QZZ2315" s="82"/>
      <c r="RAA2315" s="82"/>
      <c r="RAB2315" s="82"/>
      <c r="RAC2315" s="82"/>
      <c r="RAD2315" s="82"/>
      <c r="RAE2315" s="82"/>
      <c r="RAF2315" s="82"/>
      <c r="RAG2315" s="82"/>
      <c r="RAH2315" s="82"/>
      <c r="RAI2315" s="82"/>
      <c r="RAJ2315" s="82"/>
      <c r="RAK2315" s="82"/>
      <c r="RAL2315" s="82"/>
      <c r="RAM2315" s="82"/>
      <c r="RAN2315" s="82"/>
      <c r="RAO2315" s="82"/>
      <c r="RAP2315" s="82"/>
      <c r="RAQ2315" s="82"/>
      <c r="RAR2315" s="82"/>
      <c r="RAS2315" s="82"/>
      <c r="RAT2315" s="82"/>
      <c r="RAU2315" s="82"/>
      <c r="RAV2315" s="82"/>
      <c r="RAW2315" s="82"/>
      <c r="RAX2315" s="82"/>
      <c r="RAY2315" s="82"/>
      <c r="RAZ2315" s="82"/>
      <c r="RBA2315" s="82"/>
      <c r="RBB2315" s="82"/>
      <c r="RBC2315" s="82"/>
      <c r="RBD2315" s="82"/>
      <c r="RBE2315" s="82"/>
      <c r="RBF2315" s="82"/>
      <c r="RBG2315" s="82"/>
      <c r="RBH2315" s="82"/>
      <c r="RBI2315" s="82"/>
      <c r="RBJ2315" s="82"/>
      <c r="RBK2315" s="82"/>
      <c r="RBL2315" s="82"/>
      <c r="RBM2315" s="82"/>
      <c r="RBN2315" s="82"/>
      <c r="RBO2315" s="82"/>
      <c r="RBP2315" s="82"/>
      <c r="RBQ2315" s="82"/>
      <c r="RBR2315" s="82"/>
      <c r="RBS2315" s="82"/>
      <c r="RBT2315" s="82"/>
      <c r="RBU2315" s="82"/>
      <c r="RBV2315" s="82"/>
      <c r="RBW2315" s="82"/>
      <c r="RBX2315" s="82"/>
      <c r="RBY2315" s="82"/>
      <c r="RBZ2315" s="82"/>
      <c r="RCA2315" s="82"/>
      <c r="RCB2315" s="82"/>
      <c r="RCC2315" s="82"/>
      <c r="RCD2315" s="82"/>
      <c r="RCE2315" s="82"/>
      <c r="RCF2315" s="82"/>
      <c r="RCG2315" s="82"/>
      <c r="RCH2315" s="82"/>
      <c r="RCI2315" s="82"/>
      <c r="RCJ2315" s="82"/>
      <c r="RCK2315" s="82"/>
      <c r="RCL2315" s="82"/>
      <c r="RCM2315" s="82"/>
      <c r="RCN2315" s="82"/>
      <c r="RCO2315" s="82"/>
      <c r="RCP2315" s="82"/>
      <c r="RCQ2315" s="82"/>
      <c r="RCR2315" s="82"/>
      <c r="RCS2315" s="82"/>
      <c r="RCT2315" s="82"/>
      <c r="RCU2315" s="82"/>
      <c r="RCV2315" s="82"/>
      <c r="RCW2315" s="82"/>
      <c r="RCX2315" s="82"/>
      <c r="RCY2315" s="82"/>
      <c r="RCZ2315" s="82"/>
      <c r="RDA2315" s="82"/>
      <c r="RDB2315" s="82"/>
      <c r="RDC2315" s="82"/>
      <c r="RDD2315" s="82"/>
      <c r="RDE2315" s="82"/>
      <c r="RDF2315" s="82"/>
      <c r="RDG2315" s="82"/>
      <c r="RDH2315" s="82"/>
      <c r="RDI2315" s="82"/>
      <c r="RDJ2315" s="82"/>
      <c r="RDK2315" s="82"/>
      <c r="RDL2315" s="82"/>
      <c r="RDM2315" s="82"/>
      <c r="RDN2315" s="82"/>
      <c r="RDO2315" s="82"/>
      <c r="RDP2315" s="82"/>
      <c r="RDQ2315" s="82"/>
      <c r="RDR2315" s="82"/>
      <c r="RDS2315" s="82"/>
      <c r="RDT2315" s="82"/>
      <c r="RDU2315" s="82"/>
      <c r="RDV2315" s="82"/>
      <c r="RDW2315" s="82"/>
      <c r="RDX2315" s="82"/>
      <c r="RDY2315" s="82"/>
      <c r="RDZ2315" s="82"/>
      <c r="REA2315" s="82"/>
      <c r="REB2315" s="82"/>
      <c r="REC2315" s="82"/>
      <c r="RED2315" s="82"/>
      <c r="REE2315" s="82"/>
      <c r="REF2315" s="82"/>
      <c r="REG2315" s="82"/>
      <c r="REH2315" s="82"/>
      <c r="REI2315" s="82"/>
      <c r="REJ2315" s="82"/>
      <c r="REK2315" s="82"/>
      <c r="REL2315" s="82"/>
      <c r="REM2315" s="82"/>
      <c r="REN2315" s="82"/>
      <c r="REO2315" s="82"/>
      <c r="REP2315" s="82"/>
      <c r="REQ2315" s="82"/>
      <c r="RER2315" s="82"/>
      <c r="RES2315" s="82"/>
      <c r="RET2315" s="82"/>
      <c r="REU2315" s="82"/>
      <c r="REV2315" s="82"/>
      <c r="REW2315" s="82"/>
      <c r="REX2315" s="82"/>
      <c r="REY2315" s="82"/>
      <c r="REZ2315" s="82"/>
      <c r="RFA2315" s="82"/>
      <c r="RFB2315" s="82"/>
      <c r="RFC2315" s="82"/>
      <c r="RFD2315" s="82"/>
      <c r="RFE2315" s="82"/>
      <c r="RFF2315" s="82"/>
      <c r="RFG2315" s="82"/>
      <c r="RFH2315" s="82"/>
      <c r="RFI2315" s="82"/>
      <c r="RFJ2315" s="82"/>
      <c r="RFK2315" s="82"/>
      <c r="RFL2315" s="82"/>
      <c r="RFM2315" s="82"/>
      <c r="RFN2315" s="82"/>
      <c r="RFO2315" s="82"/>
      <c r="RFP2315" s="82"/>
      <c r="RFQ2315" s="82"/>
      <c r="RFR2315" s="82"/>
      <c r="RFS2315" s="82"/>
      <c r="RFT2315" s="82"/>
      <c r="RFU2315" s="82"/>
      <c r="RFV2315" s="82"/>
      <c r="RFW2315" s="82"/>
      <c r="RFX2315" s="82"/>
      <c r="RFY2315" s="82"/>
      <c r="RFZ2315" s="82"/>
      <c r="RGA2315" s="82"/>
      <c r="RGB2315" s="82"/>
      <c r="RGC2315" s="82"/>
      <c r="RGD2315" s="82"/>
      <c r="RGE2315" s="82"/>
      <c r="RGF2315" s="82"/>
      <c r="RGG2315" s="82"/>
      <c r="RGH2315" s="82"/>
      <c r="RGI2315" s="82"/>
      <c r="RGJ2315" s="82"/>
      <c r="RGK2315" s="82"/>
      <c r="RGL2315" s="82"/>
      <c r="RGM2315" s="82"/>
      <c r="RGN2315" s="82"/>
      <c r="RGO2315" s="82"/>
      <c r="RGP2315" s="82"/>
      <c r="RGQ2315" s="82"/>
      <c r="RGR2315" s="82"/>
      <c r="RGS2315" s="82"/>
      <c r="RGT2315" s="82"/>
      <c r="RGU2315" s="82"/>
      <c r="RGV2315" s="82"/>
      <c r="RGW2315" s="82"/>
      <c r="RGX2315" s="82"/>
      <c r="RGY2315" s="82"/>
      <c r="RGZ2315" s="82"/>
      <c r="RHA2315" s="82"/>
      <c r="RHB2315" s="82"/>
      <c r="RHC2315" s="82"/>
      <c r="RHD2315" s="82"/>
      <c r="RHE2315" s="82"/>
      <c r="RHF2315" s="82"/>
      <c r="RHG2315" s="82"/>
      <c r="RHH2315" s="82"/>
      <c r="RHI2315" s="82"/>
      <c r="RHJ2315" s="82"/>
      <c r="RHK2315" s="82"/>
      <c r="RHL2315" s="82"/>
      <c r="RHM2315" s="82"/>
      <c r="RHN2315" s="82"/>
      <c r="RHO2315" s="82"/>
      <c r="RHP2315" s="82"/>
      <c r="RHQ2315" s="82"/>
      <c r="RHR2315" s="82"/>
      <c r="RHS2315" s="82"/>
      <c r="RHT2315" s="82"/>
      <c r="RHU2315" s="82"/>
      <c r="RHV2315" s="82"/>
      <c r="RHW2315" s="82"/>
      <c r="RHX2315" s="82"/>
      <c r="RHY2315" s="82"/>
      <c r="RHZ2315" s="82"/>
      <c r="RIA2315" s="82"/>
      <c r="RIB2315" s="82"/>
      <c r="RIC2315" s="82"/>
      <c r="RID2315" s="82"/>
      <c r="RIE2315" s="82"/>
      <c r="RIF2315" s="82"/>
      <c r="RIG2315" s="82"/>
      <c r="RIH2315" s="82"/>
      <c r="RII2315" s="82"/>
      <c r="RIJ2315" s="82"/>
      <c r="RIK2315" s="82"/>
      <c r="RIL2315" s="82"/>
      <c r="RIM2315" s="82"/>
      <c r="RIN2315" s="82"/>
      <c r="RIO2315" s="82"/>
      <c r="RIP2315" s="82"/>
      <c r="RIQ2315" s="82"/>
      <c r="RIR2315" s="82"/>
      <c r="RIS2315" s="82"/>
      <c r="RIT2315" s="82"/>
      <c r="RIU2315" s="82"/>
      <c r="RIV2315" s="82"/>
      <c r="RIW2315" s="82"/>
      <c r="RIX2315" s="82"/>
      <c r="RIY2315" s="82"/>
      <c r="RIZ2315" s="82"/>
      <c r="RJA2315" s="82"/>
      <c r="RJB2315" s="82"/>
      <c r="RJC2315" s="82"/>
      <c r="RJD2315" s="82"/>
      <c r="RJE2315" s="82"/>
      <c r="RJF2315" s="82"/>
      <c r="RJG2315" s="82"/>
      <c r="RJH2315" s="82"/>
      <c r="RJI2315" s="82"/>
      <c r="RJJ2315" s="82"/>
      <c r="RJK2315" s="82"/>
      <c r="RJL2315" s="82"/>
      <c r="RJM2315" s="82"/>
      <c r="RJN2315" s="82"/>
      <c r="RJO2315" s="82"/>
      <c r="RJP2315" s="82"/>
      <c r="RJQ2315" s="82"/>
      <c r="RJR2315" s="82"/>
      <c r="RJS2315" s="82"/>
      <c r="RJT2315" s="82"/>
      <c r="RJU2315" s="82"/>
      <c r="RJV2315" s="82"/>
      <c r="RJW2315" s="82"/>
      <c r="RJX2315" s="82"/>
      <c r="RJY2315" s="82"/>
      <c r="RJZ2315" s="82"/>
      <c r="RKA2315" s="82"/>
      <c r="RKB2315" s="82"/>
      <c r="RKC2315" s="82"/>
      <c r="RKD2315" s="82"/>
      <c r="RKE2315" s="82"/>
      <c r="RKF2315" s="82"/>
      <c r="RKG2315" s="82"/>
      <c r="RKH2315" s="82"/>
      <c r="RKI2315" s="82"/>
      <c r="RKJ2315" s="82"/>
      <c r="RKK2315" s="82"/>
      <c r="RKL2315" s="82"/>
      <c r="RKM2315" s="82"/>
      <c r="RKN2315" s="82"/>
      <c r="RKO2315" s="82"/>
      <c r="RKP2315" s="82"/>
      <c r="RKQ2315" s="82"/>
      <c r="RKR2315" s="82"/>
      <c r="RKS2315" s="82"/>
      <c r="RKT2315" s="82"/>
      <c r="RKU2315" s="82"/>
      <c r="RKV2315" s="82"/>
      <c r="RKW2315" s="82"/>
      <c r="RKX2315" s="82"/>
      <c r="RKY2315" s="82"/>
      <c r="RKZ2315" s="82"/>
      <c r="RLA2315" s="82"/>
      <c r="RLB2315" s="82"/>
      <c r="RLC2315" s="82"/>
      <c r="RLD2315" s="82"/>
      <c r="RLE2315" s="82"/>
      <c r="RLF2315" s="82"/>
      <c r="RLG2315" s="82"/>
      <c r="RLH2315" s="82"/>
      <c r="RLI2315" s="82"/>
      <c r="RLJ2315" s="82"/>
      <c r="RLK2315" s="82"/>
      <c r="RLL2315" s="82"/>
      <c r="RLM2315" s="82"/>
      <c r="RLN2315" s="82"/>
      <c r="RLO2315" s="82"/>
      <c r="RLP2315" s="82"/>
      <c r="RLQ2315" s="82"/>
      <c r="RLR2315" s="82"/>
      <c r="RLS2315" s="82"/>
      <c r="RLT2315" s="82"/>
      <c r="RLU2315" s="82"/>
      <c r="RLV2315" s="82"/>
      <c r="RLW2315" s="82"/>
      <c r="RLX2315" s="82"/>
      <c r="RLY2315" s="82"/>
      <c r="RLZ2315" s="82"/>
      <c r="RMA2315" s="82"/>
      <c r="RMB2315" s="82"/>
      <c r="RMC2315" s="82"/>
      <c r="RMD2315" s="82"/>
      <c r="RME2315" s="82"/>
      <c r="RMF2315" s="82"/>
      <c r="RMG2315" s="82"/>
      <c r="RMH2315" s="82"/>
      <c r="RMI2315" s="82"/>
      <c r="RMJ2315" s="82"/>
      <c r="RMK2315" s="82"/>
      <c r="RML2315" s="82"/>
      <c r="RMM2315" s="82"/>
      <c r="RMN2315" s="82"/>
      <c r="RMO2315" s="82"/>
      <c r="RMP2315" s="82"/>
      <c r="RMQ2315" s="82"/>
      <c r="RMR2315" s="82"/>
      <c r="RMS2315" s="82"/>
      <c r="RMT2315" s="82"/>
      <c r="RMU2315" s="82"/>
      <c r="RMV2315" s="82"/>
      <c r="RMW2315" s="82"/>
      <c r="RMX2315" s="82"/>
      <c r="RMY2315" s="82"/>
      <c r="RMZ2315" s="82"/>
      <c r="RNA2315" s="82"/>
      <c r="RNB2315" s="82"/>
      <c r="RNC2315" s="82"/>
      <c r="RND2315" s="82"/>
      <c r="RNE2315" s="82"/>
      <c r="RNF2315" s="82"/>
      <c r="RNG2315" s="82"/>
      <c r="RNH2315" s="82"/>
      <c r="RNI2315" s="82"/>
      <c r="RNJ2315" s="82"/>
      <c r="RNK2315" s="82"/>
      <c r="RNL2315" s="82"/>
      <c r="RNM2315" s="82"/>
      <c r="RNN2315" s="82"/>
      <c r="RNO2315" s="82"/>
      <c r="RNP2315" s="82"/>
      <c r="RNQ2315" s="82"/>
      <c r="RNR2315" s="82"/>
      <c r="RNS2315" s="82"/>
      <c r="RNT2315" s="82"/>
      <c r="RNU2315" s="82"/>
      <c r="RNV2315" s="82"/>
      <c r="RNW2315" s="82"/>
      <c r="RNX2315" s="82"/>
      <c r="RNY2315" s="82"/>
      <c r="RNZ2315" s="82"/>
      <c r="ROA2315" s="82"/>
      <c r="ROB2315" s="82"/>
      <c r="ROC2315" s="82"/>
      <c r="ROD2315" s="82"/>
      <c r="ROE2315" s="82"/>
      <c r="ROF2315" s="82"/>
      <c r="ROG2315" s="82"/>
      <c r="ROH2315" s="82"/>
      <c r="ROI2315" s="82"/>
      <c r="ROJ2315" s="82"/>
      <c r="ROK2315" s="82"/>
      <c r="ROL2315" s="82"/>
      <c r="ROM2315" s="82"/>
      <c r="RON2315" s="82"/>
      <c r="ROO2315" s="82"/>
      <c r="ROP2315" s="82"/>
      <c r="ROQ2315" s="82"/>
      <c r="ROR2315" s="82"/>
      <c r="ROS2315" s="82"/>
      <c r="ROT2315" s="82"/>
      <c r="ROU2315" s="82"/>
      <c r="ROV2315" s="82"/>
      <c r="ROW2315" s="82"/>
      <c r="ROX2315" s="82"/>
      <c r="ROY2315" s="82"/>
      <c r="ROZ2315" s="82"/>
      <c r="RPA2315" s="82"/>
      <c r="RPB2315" s="82"/>
      <c r="RPC2315" s="82"/>
      <c r="RPD2315" s="82"/>
      <c r="RPE2315" s="82"/>
      <c r="RPF2315" s="82"/>
      <c r="RPG2315" s="82"/>
      <c r="RPH2315" s="82"/>
      <c r="RPI2315" s="82"/>
      <c r="RPJ2315" s="82"/>
      <c r="RPK2315" s="82"/>
      <c r="RPL2315" s="82"/>
      <c r="RPM2315" s="82"/>
      <c r="RPN2315" s="82"/>
      <c r="RPO2315" s="82"/>
      <c r="RPP2315" s="82"/>
      <c r="RPQ2315" s="82"/>
      <c r="RPR2315" s="82"/>
      <c r="RPS2315" s="82"/>
      <c r="RPT2315" s="82"/>
      <c r="RPU2315" s="82"/>
      <c r="RPV2315" s="82"/>
      <c r="RPW2315" s="82"/>
      <c r="RPX2315" s="82"/>
      <c r="RPY2315" s="82"/>
      <c r="RPZ2315" s="82"/>
      <c r="RQA2315" s="82"/>
      <c r="RQB2315" s="82"/>
      <c r="RQC2315" s="82"/>
      <c r="RQD2315" s="82"/>
      <c r="RQE2315" s="82"/>
      <c r="RQF2315" s="82"/>
      <c r="RQG2315" s="82"/>
      <c r="RQH2315" s="82"/>
      <c r="RQI2315" s="82"/>
      <c r="RQJ2315" s="82"/>
      <c r="RQK2315" s="82"/>
      <c r="RQL2315" s="82"/>
      <c r="RQM2315" s="82"/>
      <c r="RQN2315" s="82"/>
      <c r="RQO2315" s="82"/>
      <c r="RQP2315" s="82"/>
      <c r="RQQ2315" s="82"/>
      <c r="RQR2315" s="82"/>
      <c r="RQS2315" s="82"/>
      <c r="RQT2315" s="82"/>
      <c r="RQU2315" s="82"/>
      <c r="RQV2315" s="82"/>
      <c r="RQW2315" s="82"/>
      <c r="RQX2315" s="82"/>
      <c r="RQY2315" s="82"/>
      <c r="RQZ2315" s="82"/>
      <c r="RRA2315" s="82"/>
      <c r="RRB2315" s="82"/>
      <c r="RRC2315" s="82"/>
      <c r="RRD2315" s="82"/>
      <c r="RRE2315" s="82"/>
      <c r="RRF2315" s="82"/>
      <c r="RRG2315" s="82"/>
      <c r="RRH2315" s="82"/>
      <c r="RRI2315" s="82"/>
      <c r="RRJ2315" s="82"/>
      <c r="RRK2315" s="82"/>
      <c r="RRL2315" s="82"/>
      <c r="RRM2315" s="82"/>
      <c r="RRN2315" s="82"/>
      <c r="RRO2315" s="82"/>
      <c r="RRP2315" s="82"/>
      <c r="RRQ2315" s="82"/>
      <c r="RRR2315" s="82"/>
      <c r="RRS2315" s="82"/>
      <c r="RRT2315" s="82"/>
      <c r="RRU2315" s="82"/>
      <c r="RRV2315" s="82"/>
      <c r="RRW2315" s="82"/>
      <c r="RRX2315" s="82"/>
      <c r="RRY2315" s="82"/>
      <c r="RRZ2315" s="82"/>
      <c r="RSA2315" s="82"/>
      <c r="RSB2315" s="82"/>
      <c r="RSC2315" s="82"/>
      <c r="RSD2315" s="82"/>
      <c r="RSE2315" s="82"/>
      <c r="RSF2315" s="82"/>
      <c r="RSG2315" s="82"/>
      <c r="RSH2315" s="82"/>
      <c r="RSI2315" s="82"/>
      <c r="RSJ2315" s="82"/>
      <c r="RSK2315" s="82"/>
      <c r="RSL2315" s="82"/>
      <c r="RSM2315" s="82"/>
      <c r="RSN2315" s="82"/>
      <c r="RSO2315" s="82"/>
      <c r="RSP2315" s="82"/>
      <c r="RSQ2315" s="82"/>
      <c r="RSR2315" s="82"/>
      <c r="RSS2315" s="82"/>
      <c r="RST2315" s="82"/>
      <c r="RSU2315" s="82"/>
      <c r="RSV2315" s="82"/>
      <c r="RSW2315" s="82"/>
      <c r="RSX2315" s="82"/>
      <c r="RSY2315" s="82"/>
      <c r="RSZ2315" s="82"/>
      <c r="RTA2315" s="82"/>
      <c r="RTB2315" s="82"/>
      <c r="RTC2315" s="82"/>
      <c r="RTD2315" s="82"/>
      <c r="RTE2315" s="82"/>
      <c r="RTF2315" s="82"/>
      <c r="RTG2315" s="82"/>
      <c r="RTH2315" s="82"/>
      <c r="RTI2315" s="82"/>
      <c r="RTJ2315" s="82"/>
      <c r="RTK2315" s="82"/>
      <c r="RTL2315" s="82"/>
      <c r="RTM2315" s="82"/>
      <c r="RTN2315" s="82"/>
      <c r="RTO2315" s="82"/>
      <c r="RTP2315" s="82"/>
      <c r="RTQ2315" s="82"/>
      <c r="RTR2315" s="82"/>
      <c r="RTS2315" s="82"/>
      <c r="RTT2315" s="82"/>
      <c r="RTU2315" s="82"/>
      <c r="RTV2315" s="82"/>
      <c r="RTW2315" s="82"/>
      <c r="RTX2315" s="82"/>
      <c r="RTY2315" s="82"/>
      <c r="RTZ2315" s="82"/>
      <c r="RUA2315" s="82"/>
      <c r="RUB2315" s="82"/>
      <c r="RUC2315" s="82"/>
      <c r="RUD2315" s="82"/>
      <c r="RUE2315" s="82"/>
      <c r="RUF2315" s="82"/>
      <c r="RUG2315" s="82"/>
      <c r="RUH2315" s="82"/>
      <c r="RUI2315" s="82"/>
      <c r="RUJ2315" s="82"/>
      <c r="RUK2315" s="82"/>
      <c r="RUL2315" s="82"/>
      <c r="RUM2315" s="82"/>
      <c r="RUN2315" s="82"/>
      <c r="RUO2315" s="82"/>
      <c r="RUP2315" s="82"/>
      <c r="RUQ2315" s="82"/>
      <c r="RUR2315" s="82"/>
      <c r="RUS2315" s="82"/>
      <c r="RUT2315" s="82"/>
      <c r="RUU2315" s="82"/>
      <c r="RUV2315" s="82"/>
      <c r="RUW2315" s="82"/>
      <c r="RUX2315" s="82"/>
      <c r="RUY2315" s="82"/>
      <c r="RUZ2315" s="82"/>
      <c r="RVA2315" s="82"/>
      <c r="RVB2315" s="82"/>
      <c r="RVC2315" s="82"/>
      <c r="RVD2315" s="82"/>
      <c r="RVE2315" s="82"/>
      <c r="RVF2315" s="82"/>
      <c r="RVG2315" s="82"/>
      <c r="RVH2315" s="82"/>
      <c r="RVI2315" s="82"/>
      <c r="RVJ2315" s="82"/>
      <c r="RVK2315" s="82"/>
      <c r="RVL2315" s="82"/>
      <c r="RVM2315" s="82"/>
      <c r="RVN2315" s="82"/>
      <c r="RVO2315" s="82"/>
      <c r="RVP2315" s="82"/>
      <c r="RVQ2315" s="82"/>
      <c r="RVR2315" s="82"/>
      <c r="RVS2315" s="82"/>
      <c r="RVT2315" s="82"/>
      <c r="RVU2315" s="82"/>
      <c r="RVV2315" s="82"/>
      <c r="RVW2315" s="82"/>
      <c r="RVX2315" s="82"/>
      <c r="RVY2315" s="82"/>
      <c r="RVZ2315" s="82"/>
      <c r="RWA2315" s="82"/>
      <c r="RWB2315" s="82"/>
      <c r="RWC2315" s="82"/>
      <c r="RWD2315" s="82"/>
      <c r="RWE2315" s="82"/>
      <c r="RWF2315" s="82"/>
      <c r="RWG2315" s="82"/>
      <c r="RWH2315" s="82"/>
      <c r="RWI2315" s="82"/>
      <c r="RWJ2315" s="82"/>
      <c r="RWK2315" s="82"/>
      <c r="RWL2315" s="82"/>
      <c r="RWM2315" s="82"/>
      <c r="RWN2315" s="82"/>
      <c r="RWO2315" s="82"/>
      <c r="RWP2315" s="82"/>
      <c r="RWQ2315" s="82"/>
      <c r="RWR2315" s="82"/>
      <c r="RWS2315" s="82"/>
      <c r="RWT2315" s="82"/>
      <c r="RWU2315" s="82"/>
      <c r="RWV2315" s="82"/>
      <c r="RWW2315" s="82"/>
      <c r="RWX2315" s="82"/>
      <c r="RWY2315" s="82"/>
      <c r="RWZ2315" s="82"/>
      <c r="RXA2315" s="82"/>
      <c r="RXB2315" s="82"/>
      <c r="RXC2315" s="82"/>
      <c r="RXD2315" s="82"/>
      <c r="RXE2315" s="82"/>
      <c r="RXF2315" s="82"/>
      <c r="RXG2315" s="82"/>
      <c r="RXH2315" s="82"/>
      <c r="RXI2315" s="82"/>
      <c r="RXJ2315" s="82"/>
      <c r="RXK2315" s="82"/>
      <c r="RXL2315" s="82"/>
      <c r="RXM2315" s="82"/>
      <c r="RXN2315" s="82"/>
      <c r="RXO2315" s="82"/>
      <c r="RXP2315" s="82"/>
      <c r="RXQ2315" s="82"/>
      <c r="RXR2315" s="82"/>
      <c r="RXS2315" s="82"/>
      <c r="RXT2315" s="82"/>
      <c r="RXU2315" s="82"/>
      <c r="RXV2315" s="82"/>
      <c r="RXW2315" s="82"/>
      <c r="RXX2315" s="82"/>
      <c r="RXY2315" s="82"/>
      <c r="RXZ2315" s="82"/>
      <c r="RYA2315" s="82"/>
      <c r="RYB2315" s="82"/>
      <c r="RYC2315" s="82"/>
      <c r="RYD2315" s="82"/>
      <c r="RYE2315" s="82"/>
      <c r="RYF2315" s="82"/>
      <c r="RYG2315" s="82"/>
      <c r="RYH2315" s="82"/>
      <c r="RYI2315" s="82"/>
      <c r="RYJ2315" s="82"/>
      <c r="RYK2315" s="82"/>
      <c r="RYL2315" s="82"/>
      <c r="RYM2315" s="82"/>
      <c r="RYN2315" s="82"/>
      <c r="RYO2315" s="82"/>
      <c r="RYP2315" s="82"/>
      <c r="RYQ2315" s="82"/>
      <c r="RYR2315" s="82"/>
      <c r="RYS2315" s="82"/>
      <c r="RYT2315" s="82"/>
      <c r="RYU2315" s="82"/>
      <c r="RYV2315" s="82"/>
      <c r="RYW2315" s="82"/>
      <c r="RYX2315" s="82"/>
      <c r="RYY2315" s="82"/>
      <c r="RYZ2315" s="82"/>
      <c r="RZA2315" s="82"/>
      <c r="RZB2315" s="82"/>
      <c r="RZC2315" s="82"/>
      <c r="RZD2315" s="82"/>
      <c r="RZE2315" s="82"/>
      <c r="RZF2315" s="82"/>
      <c r="RZG2315" s="82"/>
      <c r="RZH2315" s="82"/>
      <c r="RZI2315" s="82"/>
      <c r="RZJ2315" s="82"/>
      <c r="RZK2315" s="82"/>
      <c r="RZL2315" s="82"/>
      <c r="RZM2315" s="82"/>
      <c r="RZN2315" s="82"/>
      <c r="RZO2315" s="82"/>
      <c r="RZP2315" s="82"/>
      <c r="RZQ2315" s="82"/>
      <c r="RZR2315" s="82"/>
      <c r="RZS2315" s="82"/>
      <c r="RZT2315" s="82"/>
      <c r="RZU2315" s="82"/>
      <c r="RZV2315" s="82"/>
      <c r="RZW2315" s="82"/>
      <c r="RZX2315" s="82"/>
      <c r="RZY2315" s="82"/>
      <c r="RZZ2315" s="82"/>
      <c r="SAA2315" s="82"/>
      <c r="SAB2315" s="82"/>
      <c r="SAC2315" s="82"/>
      <c r="SAD2315" s="82"/>
      <c r="SAE2315" s="82"/>
      <c r="SAF2315" s="82"/>
      <c r="SAG2315" s="82"/>
      <c r="SAH2315" s="82"/>
      <c r="SAI2315" s="82"/>
      <c r="SAJ2315" s="82"/>
      <c r="SAK2315" s="82"/>
      <c r="SAL2315" s="82"/>
      <c r="SAM2315" s="82"/>
      <c r="SAN2315" s="82"/>
      <c r="SAO2315" s="82"/>
      <c r="SAP2315" s="82"/>
      <c r="SAQ2315" s="82"/>
      <c r="SAR2315" s="82"/>
      <c r="SAS2315" s="82"/>
      <c r="SAT2315" s="82"/>
      <c r="SAU2315" s="82"/>
      <c r="SAV2315" s="82"/>
      <c r="SAW2315" s="82"/>
      <c r="SAX2315" s="82"/>
      <c r="SAY2315" s="82"/>
      <c r="SAZ2315" s="82"/>
      <c r="SBA2315" s="82"/>
      <c r="SBB2315" s="82"/>
      <c r="SBC2315" s="82"/>
      <c r="SBD2315" s="82"/>
      <c r="SBE2315" s="82"/>
      <c r="SBF2315" s="82"/>
      <c r="SBG2315" s="82"/>
      <c r="SBH2315" s="82"/>
      <c r="SBI2315" s="82"/>
      <c r="SBJ2315" s="82"/>
      <c r="SBK2315" s="82"/>
      <c r="SBL2315" s="82"/>
      <c r="SBM2315" s="82"/>
      <c r="SBN2315" s="82"/>
      <c r="SBO2315" s="82"/>
      <c r="SBP2315" s="82"/>
      <c r="SBQ2315" s="82"/>
      <c r="SBR2315" s="82"/>
      <c r="SBS2315" s="82"/>
      <c r="SBT2315" s="82"/>
      <c r="SBU2315" s="82"/>
      <c r="SBV2315" s="82"/>
      <c r="SBW2315" s="82"/>
      <c r="SBX2315" s="82"/>
      <c r="SBY2315" s="82"/>
      <c r="SBZ2315" s="82"/>
      <c r="SCA2315" s="82"/>
      <c r="SCB2315" s="82"/>
      <c r="SCC2315" s="82"/>
      <c r="SCD2315" s="82"/>
      <c r="SCE2315" s="82"/>
      <c r="SCF2315" s="82"/>
      <c r="SCG2315" s="82"/>
      <c r="SCH2315" s="82"/>
      <c r="SCI2315" s="82"/>
      <c r="SCJ2315" s="82"/>
      <c r="SCK2315" s="82"/>
      <c r="SCL2315" s="82"/>
      <c r="SCM2315" s="82"/>
      <c r="SCN2315" s="82"/>
      <c r="SCO2315" s="82"/>
      <c r="SCP2315" s="82"/>
      <c r="SCQ2315" s="82"/>
      <c r="SCR2315" s="82"/>
      <c r="SCS2315" s="82"/>
      <c r="SCT2315" s="82"/>
      <c r="SCU2315" s="82"/>
      <c r="SCV2315" s="82"/>
      <c r="SCW2315" s="82"/>
      <c r="SCX2315" s="82"/>
      <c r="SCY2315" s="82"/>
      <c r="SCZ2315" s="82"/>
      <c r="SDA2315" s="82"/>
      <c r="SDB2315" s="82"/>
      <c r="SDC2315" s="82"/>
      <c r="SDD2315" s="82"/>
      <c r="SDE2315" s="82"/>
      <c r="SDF2315" s="82"/>
      <c r="SDG2315" s="82"/>
      <c r="SDH2315" s="82"/>
      <c r="SDI2315" s="82"/>
      <c r="SDJ2315" s="82"/>
      <c r="SDK2315" s="82"/>
      <c r="SDL2315" s="82"/>
      <c r="SDM2315" s="82"/>
      <c r="SDN2315" s="82"/>
      <c r="SDO2315" s="82"/>
      <c r="SDP2315" s="82"/>
      <c r="SDQ2315" s="82"/>
      <c r="SDR2315" s="82"/>
      <c r="SDS2315" s="82"/>
      <c r="SDT2315" s="82"/>
      <c r="SDU2315" s="82"/>
      <c r="SDV2315" s="82"/>
      <c r="SDW2315" s="82"/>
      <c r="SDX2315" s="82"/>
      <c r="SDY2315" s="82"/>
      <c r="SDZ2315" s="82"/>
      <c r="SEA2315" s="82"/>
      <c r="SEB2315" s="82"/>
      <c r="SEC2315" s="82"/>
      <c r="SED2315" s="82"/>
      <c r="SEE2315" s="82"/>
      <c r="SEF2315" s="82"/>
      <c r="SEG2315" s="82"/>
      <c r="SEH2315" s="82"/>
      <c r="SEI2315" s="82"/>
      <c r="SEJ2315" s="82"/>
      <c r="SEK2315" s="82"/>
      <c r="SEL2315" s="82"/>
      <c r="SEM2315" s="82"/>
      <c r="SEN2315" s="82"/>
      <c r="SEO2315" s="82"/>
      <c r="SEP2315" s="82"/>
      <c r="SEQ2315" s="82"/>
      <c r="SER2315" s="82"/>
      <c r="SES2315" s="82"/>
      <c r="SET2315" s="82"/>
      <c r="SEU2315" s="82"/>
      <c r="SEV2315" s="82"/>
      <c r="SEW2315" s="82"/>
      <c r="SEX2315" s="82"/>
      <c r="SEY2315" s="82"/>
      <c r="SEZ2315" s="82"/>
      <c r="SFA2315" s="82"/>
      <c r="SFB2315" s="82"/>
      <c r="SFC2315" s="82"/>
      <c r="SFD2315" s="82"/>
      <c r="SFE2315" s="82"/>
      <c r="SFF2315" s="82"/>
      <c r="SFG2315" s="82"/>
      <c r="SFH2315" s="82"/>
      <c r="SFI2315" s="82"/>
      <c r="SFJ2315" s="82"/>
      <c r="SFK2315" s="82"/>
      <c r="SFL2315" s="82"/>
      <c r="SFM2315" s="82"/>
      <c r="SFN2315" s="82"/>
      <c r="SFO2315" s="82"/>
      <c r="SFP2315" s="82"/>
      <c r="SFQ2315" s="82"/>
      <c r="SFR2315" s="82"/>
      <c r="SFS2315" s="82"/>
      <c r="SFT2315" s="82"/>
      <c r="SFU2315" s="82"/>
      <c r="SFV2315" s="82"/>
      <c r="SFW2315" s="82"/>
      <c r="SFX2315" s="82"/>
      <c r="SFY2315" s="82"/>
      <c r="SFZ2315" s="82"/>
      <c r="SGA2315" s="82"/>
      <c r="SGB2315" s="82"/>
      <c r="SGC2315" s="82"/>
      <c r="SGD2315" s="82"/>
      <c r="SGE2315" s="82"/>
      <c r="SGF2315" s="82"/>
      <c r="SGG2315" s="82"/>
      <c r="SGH2315" s="82"/>
      <c r="SGI2315" s="82"/>
      <c r="SGJ2315" s="82"/>
      <c r="SGK2315" s="82"/>
      <c r="SGL2315" s="82"/>
      <c r="SGM2315" s="82"/>
      <c r="SGN2315" s="82"/>
      <c r="SGO2315" s="82"/>
      <c r="SGP2315" s="82"/>
      <c r="SGQ2315" s="82"/>
      <c r="SGR2315" s="82"/>
      <c r="SGS2315" s="82"/>
      <c r="SGT2315" s="82"/>
      <c r="SGU2315" s="82"/>
      <c r="SGV2315" s="82"/>
      <c r="SGW2315" s="82"/>
      <c r="SGX2315" s="82"/>
      <c r="SGY2315" s="82"/>
      <c r="SGZ2315" s="82"/>
      <c r="SHA2315" s="82"/>
      <c r="SHB2315" s="82"/>
      <c r="SHC2315" s="82"/>
      <c r="SHD2315" s="82"/>
      <c r="SHE2315" s="82"/>
      <c r="SHF2315" s="82"/>
      <c r="SHG2315" s="82"/>
      <c r="SHH2315" s="82"/>
      <c r="SHI2315" s="82"/>
      <c r="SHJ2315" s="82"/>
      <c r="SHK2315" s="82"/>
      <c r="SHL2315" s="82"/>
      <c r="SHM2315" s="82"/>
      <c r="SHN2315" s="82"/>
      <c r="SHO2315" s="82"/>
      <c r="SHP2315" s="82"/>
      <c r="SHQ2315" s="82"/>
      <c r="SHR2315" s="82"/>
      <c r="SHS2315" s="82"/>
      <c r="SHT2315" s="82"/>
      <c r="SHU2315" s="82"/>
      <c r="SHV2315" s="82"/>
      <c r="SHW2315" s="82"/>
      <c r="SHX2315" s="82"/>
      <c r="SHY2315" s="82"/>
      <c r="SHZ2315" s="82"/>
      <c r="SIA2315" s="82"/>
      <c r="SIB2315" s="82"/>
      <c r="SIC2315" s="82"/>
      <c r="SID2315" s="82"/>
      <c r="SIE2315" s="82"/>
      <c r="SIF2315" s="82"/>
      <c r="SIG2315" s="82"/>
      <c r="SIH2315" s="82"/>
      <c r="SII2315" s="82"/>
      <c r="SIJ2315" s="82"/>
      <c r="SIK2315" s="82"/>
      <c r="SIL2315" s="82"/>
      <c r="SIM2315" s="82"/>
      <c r="SIN2315" s="82"/>
      <c r="SIO2315" s="82"/>
      <c r="SIP2315" s="82"/>
      <c r="SIQ2315" s="82"/>
      <c r="SIR2315" s="82"/>
      <c r="SIS2315" s="82"/>
      <c r="SIT2315" s="82"/>
      <c r="SIU2315" s="82"/>
      <c r="SIV2315" s="82"/>
      <c r="SIW2315" s="82"/>
      <c r="SIX2315" s="82"/>
      <c r="SIY2315" s="82"/>
      <c r="SIZ2315" s="82"/>
      <c r="SJA2315" s="82"/>
      <c r="SJB2315" s="82"/>
      <c r="SJC2315" s="82"/>
      <c r="SJD2315" s="82"/>
      <c r="SJE2315" s="82"/>
      <c r="SJF2315" s="82"/>
      <c r="SJG2315" s="82"/>
      <c r="SJH2315" s="82"/>
      <c r="SJI2315" s="82"/>
      <c r="SJJ2315" s="82"/>
      <c r="SJK2315" s="82"/>
      <c r="SJL2315" s="82"/>
      <c r="SJM2315" s="82"/>
      <c r="SJN2315" s="82"/>
      <c r="SJO2315" s="82"/>
      <c r="SJP2315" s="82"/>
      <c r="SJQ2315" s="82"/>
      <c r="SJR2315" s="82"/>
      <c r="SJS2315" s="82"/>
      <c r="SJT2315" s="82"/>
      <c r="SJU2315" s="82"/>
      <c r="SJV2315" s="82"/>
      <c r="SJW2315" s="82"/>
      <c r="SJX2315" s="82"/>
      <c r="SJY2315" s="82"/>
      <c r="SJZ2315" s="82"/>
      <c r="SKA2315" s="82"/>
      <c r="SKB2315" s="82"/>
      <c r="SKC2315" s="82"/>
      <c r="SKD2315" s="82"/>
      <c r="SKE2315" s="82"/>
      <c r="SKF2315" s="82"/>
      <c r="SKG2315" s="82"/>
      <c r="SKH2315" s="82"/>
      <c r="SKI2315" s="82"/>
      <c r="SKJ2315" s="82"/>
      <c r="SKK2315" s="82"/>
      <c r="SKL2315" s="82"/>
      <c r="SKM2315" s="82"/>
      <c r="SKN2315" s="82"/>
      <c r="SKO2315" s="82"/>
      <c r="SKP2315" s="82"/>
      <c r="SKQ2315" s="82"/>
      <c r="SKR2315" s="82"/>
      <c r="SKS2315" s="82"/>
      <c r="SKT2315" s="82"/>
      <c r="SKU2315" s="82"/>
      <c r="SKV2315" s="82"/>
      <c r="SKW2315" s="82"/>
      <c r="SKX2315" s="82"/>
      <c r="SKY2315" s="82"/>
      <c r="SKZ2315" s="82"/>
      <c r="SLA2315" s="82"/>
      <c r="SLB2315" s="82"/>
      <c r="SLC2315" s="82"/>
      <c r="SLD2315" s="82"/>
      <c r="SLE2315" s="82"/>
      <c r="SLF2315" s="82"/>
      <c r="SLG2315" s="82"/>
      <c r="SLH2315" s="82"/>
      <c r="SLI2315" s="82"/>
      <c r="SLJ2315" s="82"/>
      <c r="SLK2315" s="82"/>
      <c r="SLL2315" s="82"/>
      <c r="SLM2315" s="82"/>
      <c r="SLN2315" s="82"/>
      <c r="SLO2315" s="82"/>
      <c r="SLP2315" s="82"/>
      <c r="SLQ2315" s="82"/>
      <c r="SLR2315" s="82"/>
      <c r="SLS2315" s="82"/>
      <c r="SLT2315" s="82"/>
      <c r="SLU2315" s="82"/>
      <c r="SLV2315" s="82"/>
      <c r="SLW2315" s="82"/>
      <c r="SLX2315" s="82"/>
      <c r="SLY2315" s="82"/>
      <c r="SLZ2315" s="82"/>
      <c r="SMA2315" s="82"/>
      <c r="SMB2315" s="82"/>
      <c r="SMC2315" s="82"/>
      <c r="SMD2315" s="82"/>
      <c r="SME2315" s="82"/>
      <c r="SMF2315" s="82"/>
      <c r="SMG2315" s="82"/>
      <c r="SMH2315" s="82"/>
      <c r="SMI2315" s="82"/>
      <c r="SMJ2315" s="82"/>
      <c r="SMK2315" s="82"/>
      <c r="SML2315" s="82"/>
      <c r="SMM2315" s="82"/>
      <c r="SMN2315" s="82"/>
      <c r="SMO2315" s="82"/>
      <c r="SMP2315" s="82"/>
      <c r="SMQ2315" s="82"/>
      <c r="SMR2315" s="82"/>
      <c r="SMS2315" s="82"/>
      <c r="SMT2315" s="82"/>
      <c r="SMU2315" s="82"/>
      <c r="SMV2315" s="82"/>
      <c r="SMW2315" s="82"/>
      <c r="SMX2315" s="82"/>
      <c r="SMY2315" s="82"/>
      <c r="SMZ2315" s="82"/>
      <c r="SNA2315" s="82"/>
      <c r="SNB2315" s="82"/>
      <c r="SNC2315" s="82"/>
      <c r="SND2315" s="82"/>
      <c r="SNE2315" s="82"/>
      <c r="SNF2315" s="82"/>
      <c r="SNG2315" s="82"/>
      <c r="SNH2315" s="82"/>
      <c r="SNI2315" s="82"/>
      <c r="SNJ2315" s="82"/>
      <c r="SNK2315" s="82"/>
      <c r="SNL2315" s="82"/>
      <c r="SNM2315" s="82"/>
      <c r="SNN2315" s="82"/>
      <c r="SNO2315" s="82"/>
      <c r="SNP2315" s="82"/>
      <c r="SNQ2315" s="82"/>
      <c r="SNR2315" s="82"/>
      <c r="SNS2315" s="82"/>
      <c r="SNT2315" s="82"/>
      <c r="SNU2315" s="82"/>
      <c r="SNV2315" s="82"/>
      <c r="SNW2315" s="82"/>
      <c r="SNX2315" s="82"/>
      <c r="SNY2315" s="82"/>
      <c r="SNZ2315" s="82"/>
      <c r="SOA2315" s="82"/>
      <c r="SOB2315" s="82"/>
      <c r="SOC2315" s="82"/>
      <c r="SOD2315" s="82"/>
      <c r="SOE2315" s="82"/>
      <c r="SOF2315" s="82"/>
      <c r="SOG2315" s="82"/>
      <c r="SOH2315" s="82"/>
      <c r="SOI2315" s="82"/>
      <c r="SOJ2315" s="82"/>
      <c r="SOK2315" s="82"/>
      <c r="SOL2315" s="82"/>
      <c r="SOM2315" s="82"/>
      <c r="SON2315" s="82"/>
      <c r="SOO2315" s="82"/>
      <c r="SOP2315" s="82"/>
      <c r="SOQ2315" s="82"/>
      <c r="SOR2315" s="82"/>
      <c r="SOS2315" s="82"/>
      <c r="SOT2315" s="82"/>
      <c r="SOU2315" s="82"/>
      <c r="SOV2315" s="82"/>
      <c r="SOW2315" s="82"/>
      <c r="SOX2315" s="82"/>
      <c r="SOY2315" s="82"/>
      <c r="SOZ2315" s="82"/>
      <c r="SPA2315" s="82"/>
      <c r="SPB2315" s="82"/>
      <c r="SPC2315" s="82"/>
      <c r="SPD2315" s="82"/>
      <c r="SPE2315" s="82"/>
      <c r="SPF2315" s="82"/>
      <c r="SPG2315" s="82"/>
      <c r="SPH2315" s="82"/>
      <c r="SPI2315" s="82"/>
      <c r="SPJ2315" s="82"/>
      <c r="SPK2315" s="82"/>
      <c r="SPL2315" s="82"/>
      <c r="SPM2315" s="82"/>
      <c r="SPN2315" s="82"/>
      <c r="SPO2315" s="82"/>
      <c r="SPP2315" s="82"/>
      <c r="SPQ2315" s="82"/>
      <c r="SPR2315" s="82"/>
      <c r="SPS2315" s="82"/>
      <c r="SPT2315" s="82"/>
      <c r="SPU2315" s="82"/>
      <c r="SPV2315" s="82"/>
      <c r="SPW2315" s="82"/>
      <c r="SPX2315" s="82"/>
      <c r="SPY2315" s="82"/>
      <c r="SPZ2315" s="82"/>
      <c r="SQA2315" s="82"/>
      <c r="SQB2315" s="82"/>
      <c r="SQC2315" s="82"/>
      <c r="SQD2315" s="82"/>
      <c r="SQE2315" s="82"/>
      <c r="SQF2315" s="82"/>
      <c r="SQG2315" s="82"/>
      <c r="SQH2315" s="82"/>
      <c r="SQI2315" s="82"/>
      <c r="SQJ2315" s="82"/>
      <c r="SQK2315" s="82"/>
      <c r="SQL2315" s="82"/>
      <c r="SQM2315" s="82"/>
      <c r="SQN2315" s="82"/>
      <c r="SQO2315" s="82"/>
      <c r="SQP2315" s="82"/>
      <c r="SQQ2315" s="82"/>
      <c r="SQR2315" s="82"/>
      <c r="SQS2315" s="82"/>
      <c r="SQT2315" s="82"/>
      <c r="SQU2315" s="82"/>
      <c r="SQV2315" s="82"/>
      <c r="SQW2315" s="82"/>
      <c r="SQX2315" s="82"/>
      <c r="SQY2315" s="82"/>
      <c r="SQZ2315" s="82"/>
      <c r="SRA2315" s="82"/>
      <c r="SRB2315" s="82"/>
      <c r="SRC2315" s="82"/>
      <c r="SRD2315" s="82"/>
      <c r="SRE2315" s="82"/>
      <c r="SRF2315" s="82"/>
      <c r="SRG2315" s="82"/>
      <c r="SRH2315" s="82"/>
      <c r="SRI2315" s="82"/>
      <c r="SRJ2315" s="82"/>
      <c r="SRK2315" s="82"/>
      <c r="SRL2315" s="82"/>
      <c r="SRM2315" s="82"/>
      <c r="SRN2315" s="82"/>
      <c r="SRO2315" s="82"/>
      <c r="SRP2315" s="82"/>
      <c r="SRQ2315" s="82"/>
      <c r="SRR2315" s="82"/>
      <c r="SRS2315" s="82"/>
      <c r="SRT2315" s="82"/>
      <c r="SRU2315" s="82"/>
      <c r="SRV2315" s="82"/>
      <c r="SRW2315" s="82"/>
      <c r="SRX2315" s="82"/>
      <c r="SRY2315" s="82"/>
      <c r="SRZ2315" s="82"/>
      <c r="SSA2315" s="82"/>
      <c r="SSB2315" s="82"/>
      <c r="SSC2315" s="82"/>
      <c r="SSD2315" s="82"/>
      <c r="SSE2315" s="82"/>
      <c r="SSF2315" s="82"/>
      <c r="SSG2315" s="82"/>
      <c r="SSH2315" s="82"/>
      <c r="SSI2315" s="82"/>
      <c r="SSJ2315" s="82"/>
      <c r="SSK2315" s="82"/>
      <c r="SSL2315" s="82"/>
      <c r="SSM2315" s="82"/>
      <c r="SSN2315" s="82"/>
      <c r="SSO2315" s="82"/>
      <c r="SSP2315" s="82"/>
      <c r="SSQ2315" s="82"/>
      <c r="SSR2315" s="82"/>
      <c r="SSS2315" s="82"/>
      <c r="SST2315" s="82"/>
      <c r="SSU2315" s="82"/>
      <c r="SSV2315" s="82"/>
      <c r="SSW2315" s="82"/>
      <c r="SSX2315" s="82"/>
      <c r="SSY2315" s="82"/>
      <c r="SSZ2315" s="82"/>
      <c r="STA2315" s="82"/>
      <c r="STB2315" s="82"/>
      <c r="STC2315" s="82"/>
      <c r="STD2315" s="82"/>
      <c r="STE2315" s="82"/>
      <c r="STF2315" s="82"/>
      <c r="STG2315" s="82"/>
      <c r="STH2315" s="82"/>
      <c r="STI2315" s="82"/>
      <c r="STJ2315" s="82"/>
      <c r="STK2315" s="82"/>
      <c r="STL2315" s="82"/>
      <c r="STM2315" s="82"/>
      <c r="STN2315" s="82"/>
      <c r="STO2315" s="82"/>
      <c r="STP2315" s="82"/>
      <c r="STQ2315" s="82"/>
      <c r="STR2315" s="82"/>
      <c r="STS2315" s="82"/>
      <c r="STT2315" s="82"/>
      <c r="STU2315" s="82"/>
      <c r="STV2315" s="82"/>
      <c r="STW2315" s="82"/>
      <c r="STX2315" s="82"/>
      <c r="STY2315" s="82"/>
      <c r="STZ2315" s="82"/>
      <c r="SUA2315" s="82"/>
      <c r="SUB2315" s="82"/>
      <c r="SUC2315" s="82"/>
      <c r="SUD2315" s="82"/>
      <c r="SUE2315" s="82"/>
      <c r="SUF2315" s="82"/>
      <c r="SUG2315" s="82"/>
      <c r="SUH2315" s="82"/>
      <c r="SUI2315" s="82"/>
      <c r="SUJ2315" s="82"/>
      <c r="SUK2315" s="82"/>
      <c r="SUL2315" s="82"/>
      <c r="SUM2315" s="82"/>
      <c r="SUN2315" s="82"/>
      <c r="SUO2315" s="82"/>
      <c r="SUP2315" s="82"/>
      <c r="SUQ2315" s="82"/>
      <c r="SUR2315" s="82"/>
      <c r="SUS2315" s="82"/>
      <c r="SUT2315" s="82"/>
      <c r="SUU2315" s="82"/>
      <c r="SUV2315" s="82"/>
      <c r="SUW2315" s="82"/>
      <c r="SUX2315" s="82"/>
      <c r="SUY2315" s="82"/>
      <c r="SUZ2315" s="82"/>
      <c r="SVA2315" s="82"/>
      <c r="SVB2315" s="82"/>
      <c r="SVC2315" s="82"/>
      <c r="SVD2315" s="82"/>
      <c r="SVE2315" s="82"/>
      <c r="SVF2315" s="82"/>
      <c r="SVG2315" s="82"/>
      <c r="SVH2315" s="82"/>
      <c r="SVI2315" s="82"/>
      <c r="SVJ2315" s="82"/>
      <c r="SVK2315" s="82"/>
      <c r="SVL2315" s="82"/>
      <c r="SVM2315" s="82"/>
      <c r="SVN2315" s="82"/>
      <c r="SVO2315" s="82"/>
      <c r="SVP2315" s="82"/>
      <c r="SVQ2315" s="82"/>
      <c r="SVR2315" s="82"/>
      <c r="SVS2315" s="82"/>
      <c r="SVT2315" s="82"/>
      <c r="SVU2315" s="82"/>
      <c r="SVV2315" s="82"/>
      <c r="SVW2315" s="82"/>
      <c r="SVX2315" s="82"/>
      <c r="SVY2315" s="82"/>
      <c r="SVZ2315" s="82"/>
      <c r="SWA2315" s="82"/>
      <c r="SWB2315" s="82"/>
      <c r="SWC2315" s="82"/>
      <c r="SWD2315" s="82"/>
      <c r="SWE2315" s="82"/>
      <c r="SWF2315" s="82"/>
      <c r="SWG2315" s="82"/>
      <c r="SWH2315" s="82"/>
      <c r="SWI2315" s="82"/>
      <c r="SWJ2315" s="82"/>
      <c r="SWK2315" s="82"/>
      <c r="SWL2315" s="82"/>
      <c r="SWM2315" s="82"/>
      <c r="SWN2315" s="82"/>
      <c r="SWO2315" s="82"/>
      <c r="SWP2315" s="82"/>
      <c r="SWQ2315" s="82"/>
      <c r="SWR2315" s="82"/>
      <c r="SWS2315" s="82"/>
      <c r="SWT2315" s="82"/>
      <c r="SWU2315" s="82"/>
      <c r="SWV2315" s="82"/>
      <c r="SWW2315" s="82"/>
      <c r="SWX2315" s="82"/>
      <c r="SWY2315" s="82"/>
      <c r="SWZ2315" s="82"/>
      <c r="SXA2315" s="82"/>
      <c r="SXB2315" s="82"/>
      <c r="SXC2315" s="82"/>
      <c r="SXD2315" s="82"/>
      <c r="SXE2315" s="82"/>
      <c r="SXF2315" s="82"/>
      <c r="SXG2315" s="82"/>
      <c r="SXH2315" s="82"/>
      <c r="SXI2315" s="82"/>
      <c r="SXJ2315" s="82"/>
      <c r="SXK2315" s="82"/>
      <c r="SXL2315" s="82"/>
      <c r="SXM2315" s="82"/>
      <c r="SXN2315" s="82"/>
      <c r="SXO2315" s="82"/>
      <c r="SXP2315" s="82"/>
      <c r="SXQ2315" s="82"/>
      <c r="SXR2315" s="82"/>
      <c r="SXS2315" s="82"/>
      <c r="SXT2315" s="82"/>
      <c r="SXU2315" s="82"/>
      <c r="SXV2315" s="82"/>
      <c r="SXW2315" s="82"/>
      <c r="SXX2315" s="82"/>
      <c r="SXY2315" s="82"/>
      <c r="SXZ2315" s="82"/>
      <c r="SYA2315" s="82"/>
      <c r="SYB2315" s="82"/>
      <c r="SYC2315" s="82"/>
      <c r="SYD2315" s="82"/>
      <c r="SYE2315" s="82"/>
      <c r="SYF2315" s="82"/>
      <c r="SYG2315" s="82"/>
      <c r="SYH2315" s="82"/>
      <c r="SYI2315" s="82"/>
      <c r="SYJ2315" s="82"/>
      <c r="SYK2315" s="82"/>
      <c r="SYL2315" s="82"/>
      <c r="SYM2315" s="82"/>
      <c r="SYN2315" s="82"/>
      <c r="SYO2315" s="82"/>
      <c r="SYP2315" s="82"/>
      <c r="SYQ2315" s="82"/>
      <c r="SYR2315" s="82"/>
      <c r="SYS2315" s="82"/>
      <c r="SYT2315" s="82"/>
      <c r="SYU2315" s="82"/>
      <c r="SYV2315" s="82"/>
      <c r="SYW2315" s="82"/>
      <c r="SYX2315" s="82"/>
      <c r="SYY2315" s="82"/>
      <c r="SYZ2315" s="82"/>
      <c r="SZA2315" s="82"/>
      <c r="SZB2315" s="82"/>
      <c r="SZC2315" s="82"/>
      <c r="SZD2315" s="82"/>
      <c r="SZE2315" s="82"/>
      <c r="SZF2315" s="82"/>
      <c r="SZG2315" s="82"/>
      <c r="SZH2315" s="82"/>
      <c r="SZI2315" s="82"/>
      <c r="SZJ2315" s="82"/>
      <c r="SZK2315" s="82"/>
      <c r="SZL2315" s="82"/>
      <c r="SZM2315" s="82"/>
      <c r="SZN2315" s="82"/>
      <c r="SZO2315" s="82"/>
      <c r="SZP2315" s="82"/>
      <c r="SZQ2315" s="82"/>
      <c r="SZR2315" s="82"/>
      <c r="SZS2315" s="82"/>
      <c r="SZT2315" s="82"/>
      <c r="SZU2315" s="82"/>
      <c r="SZV2315" s="82"/>
      <c r="SZW2315" s="82"/>
      <c r="SZX2315" s="82"/>
      <c r="SZY2315" s="82"/>
      <c r="SZZ2315" s="82"/>
      <c r="TAA2315" s="82"/>
      <c r="TAB2315" s="82"/>
      <c r="TAC2315" s="82"/>
      <c r="TAD2315" s="82"/>
      <c r="TAE2315" s="82"/>
      <c r="TAF2315" s="82"/>
      <c r="TAG2315" s="82"/>
      <c r="TAH2315" s="82"/>
      <c r="TAI2315" s="82"/>
      <c r="TAJ2315" s="82"/>
      <c r="TAK2315" s="82"/>
      <c r="TAL2315" s="82"/>
      <c r="TAM2315" s="82"/>
      <c r="TAN2315" s="82"/>
      <c r="TAO2315" s="82"/>
      <c r="TAP2315" s="82"/>
      <c r="TAQ2315" s="82"/>
      <c r="TAR2315" s="82"/>
      <c r="TAS2315" s="82"/>
      <c r="TAT2315" s="82"/>
      <c r="TAU2315" s="82"/>
      <c r="TAV2315" s="82"/>
      <c r="TAW2315" s="82"/>
      <c r="TAX2315" s="82"/>
      <c r="TAY2315" s="82"/>
      <c r="TAZ2315" s="82"/>
      <c r="TBA2315" s="82"/>
      <c r="TBB2315" s="82"/>
      <c r="TBC2315" s="82"/>
      <c r="TBD2315" s="82"/>
      <c r="TBE2315" s="82"/>
      <c r="TBF2315" s="82"/>
      <c r="TBG2315" s="82"/>
      <c r="TBH2315" s="82"/>
      <c r="TBI2315" s="82"/>
      <c r="TBJ2315" s="82"/>
      <c r="TBK2315" s="82"/>
      <c r="TBL2315" s="82"/>
      <c r="TBM2315" s="82"/>
      <c r="TBN2315" s="82"/>
      <c r="TBO2315" s="82"/>
      <c r="TBP2315" s="82"/>
      <c r="TBQ2315" s="82"/>
      <c r="TBR2315" s="82"/>
      <c r="TBS2315" s="82"/>
      <c r="TBT2315" s="82"/>
      <c r="TBU2315" s="82"/>
      <c r="TBV2315" s="82"/>
      <c r="TBW2315" s="82"/>
      <c r="TBX2315" s="82"/>
      <c r="TBY2315" s="82"/>
      <c r="TBZ2315" s="82"/>
      <c r="TCA2315" s="82"/>
      <c r="TCB2315" s="82"/>
      <c r="TCC2315" s="82"/>
      <c r="TCD2315" s="82"/>
      <c r="TCE2315" s="82"/>
      <c r="TCF2315" s="82"/>
      <c r="TCG2315" s="82"/>
      <c r="TCH2315" s="82"/>
      <c r="TCI2315" s="82"/>
      <c r="TCJ2315" s="82"/>
      <c r="TCK2315" s="82"/>
      <c r="TCL2315" s="82"/>
      <c r="TCM2315" s="82"/>
      <c r="TCN2315" s="82"/>
      <c r="TCO2315" s="82"/>
      <c r="TCP2315" s="82"/>
      <c r="TCQ2315" s="82"/>
      <c r="TCR2315" s="82"/>
      <c r="TCS2315" s="82"/>
      <c r="TCT2315" s="82"/>
      <c r="TCU2315" s="82"/>
      <c r="TCV2315" s="82"/>
      <c r="TCW2315" s="82"/>
      <c r="TCX2315" s="82"/>
      <c r="TCY2315" s="82"/>
      <c r="TCZ2315" s="82"/>
      <c r="TDA2315" s="82"/>
      <c r="TDB2315" s="82"/>
      <c r="TDC2315" s="82"/>
      <c r="TDD2315" s="82"/>
      <c r="TDE2315" s="82"/>
      <c r="TDF2315" s="82"/>
      <c r="TDG2315" s="82"/>
      <c r="TDH2315" s="82"/>
      <c r="TDI2315" s="82"/>
      <c r="TDJ2315" s="82"/>
      <c r="TDK2315" s="82"/>
      <c r="TDL2315" s="82"/>
      <c r="TDM2315" s="82"/>
      <c r="TDN2315" s="82"/>
      <c r="TDO2315" s="82"/>
      <c r="TDP2315" s="82"/>
      <c r="TDQ2315" s="82"/>
      <c r="TDR2315" s="82"/>
      <c r="TDS2315" s="82"/>
      <c r="TDT2315" s="82"/>
      <c r="TDU2315" s="82"/>
      <c r="TDV2315" s="82"/>
      <c r="TDW2315" s="82"/>
      <c r="TDX2315" s="82"/>
      <c r="TDY2315" s="82"/>
      <c r="TDZ2315" s="82"/>
      <c r="TEA2315" s="82"/>
      <c r="TEB2315" s="82"/>
      <c r="TEC2315" s="82"/>
      <c r="TED2315" s="82"/>
      <c r="TEE2315" s="82"/>
      <c r="TEF2315" s="82"/>
      <c r="TEG2315" s="82"/>
      <c r="TEH2315" s="82"/>
      <c r="TEI2315" s="82"/>
      <c r="TEJ2315" s="82"/>
      <c r="TEK2315" s="82"/>
      <c r="TEL2315" s="82"/>
      <c r="TEM2315" s="82"/>
      <c r="TEN2315" s="82"/>
      <c r="TEO2315" s="82"/>
      <c r="TEP2315" s="82"/>
      <c r="TEQ2315" s="82"/>
      <c r="TER2315" s="82"/>
      <c r="TES2315" s="82"/>
      <c r="TET2315" s="82"/>
      <c r="TEU2315" s="82"/>
      <c r="TEV2315" s="82"/>
      <c r="TEW2315" s="82"/>
      <c r="TEX2315" s="82"/>
      <c r="TEY2315" s="82"/>
      <c r="TEZ2315" s="82"/>
      <c r="TFA2315" s="82"/>
      <c r="TFB2315" s="82"/>
      <c r="TFC2315" s="82"/>
      <c r="TFD2315" s="82"/>
      <c r="TFE2315" s="82"/>
      <c r="TFF2315" s="82"/>
      <c r="TFG2315" s="82"/>
      <c r="TFH2315" s="82"/>
      <c r="TFI2315" s="82"/>
      <c r="TFJ2315" s="82"/>
      <c r="TFK2315" s="82"/>
      <c r="TFL2315" s="82"/>
      <c r="TFM2315" s="82"/>
      <c r="TFN2315" s="82"/>
      <c r="TFO2315" s="82"/>
      <c r="TFP2315" s="82"/>
      <c r="TFQ2315" s="82"/>
      <c r="TFR2315" s="82"/>
      <c r="TFS2315" s="82"/>
      <c r="TFT2315" s="82"/>
      <c r="TFU2315" s="82"/>
      <c r="TFV2315" s="82"/>
      <c r="TFW2315" s="82"/>
      <c r="TFX2315" s="82"/>
      <c r="TFY2315" s="82"/>
      <c r="TFZ2315" s="82"/>
      <c r="TGA2315" s="82"/>
      <c r="TGB2315" s="82"/>
      <c r="TGC2315" s="82"/>
      <c r="TGD2315" s="82"/>
      <c r="TGE2315" s="82"/>
      <c r="TGF2315" s="82"/>
      <c r="TGG2315" s="82"/>
      <c r="TGH2315" s="82"/>
      <c r="TGI2315" s="82"/>
      <c r="TGJ2315" s="82"/>
      <c r="TGK2315" s="82"/>
      <c r="TGL2315" s="82"/>
      <c r="TGM2315" s="82"/>
      <c r="TGN2315" s="82"/>
      <c r="TGO2315" s="82"/>
      <c r="TGP2315" s="82"/>
      <c r="TGQ2315" s="82"/>
      <c r="TGR2315" s="82"/>
      <c r="TGS2315" s="82"/>
      <c r="TGT2315" s="82"/>
      <c r="TGU2315" s="82"/>
      <c r="TGV2315" s="82"/>
      <c r="TGW2315" s="82"/>
      <c r="TGX2315" s="82"/>
      <c r="TGY2315" s="82"/>
      <c r="TGZ2315" s="82"/>
      <c r="THA2315" s="82"/>
      <c r="THB2315" s="82"/>
      <c r="THC2315" s="82"/>
      <c r="THD2315" s="82"/>
      <c r="THE2315" s="82"/>
      <c r="THF2315" s="82"/>
      <c r="THG2315" s="82"/>
      <c r="THH2315" s="82"/>
      <c r="THI2315" s="82"/>
      <c r="THJ2315" s="82"/>
      <c r="THK2315" s="82"/>
      <c r="THL2315" s="82"/>
      <c r="THM2315" s="82"/>
      <c r="THN2315" s="82"/>
      <c r="THO2315" s="82"/>
      <c r="THP2315" s="82"/>
      <c r="THQ2315" s="82"/>
      <c r="THR2315" s="82"/>
      <c r="THS2315" s="82"/>
      <c r="THT2315" s="82"/>
      <c r="THU2315" s="82"/>
      <c r="THV2315" s="82"/>
      <c r="THW2315" s="82"/>
      <c r="THX2315" s="82"/>
      <c r="THY2315" s="82"/>
      <c r="THZ2315" s="82"/>
      <c r="TIA2315" s="82"/>
      <c r="TIB2315" s="82"/>
      <c r="TIC2315" s="82"/>
      <c r="TID2315" s="82"/>
      <c r="TIE2315" s="82"/>
      <c r="TIF2315" s="82"/>
      <c r="TIG2315" s="82"/>
      <c r="TIH2315" s="82"/>
      <c r="TII2315" s="82"/>
      <c r="TIJ2315" s="82"/>
      <c r="TIK2315" s="82"/>
      <c r="TIL2315" s="82"/>
      <c r="TIM2315" s="82"/>
      <c r="TIN2315" s="82"/>
      <c r="TIO2315" s="82"/>
      <c r="TIP2315" s="82"/>
      <c r="TIQ2315" s="82"/>
      <c r="TIR2315" s="82"/>
      <c r="TIS2315" s="82"/>
      <c r="TIT2315" s="82"/>
      <c r="TIU2315" s="82"/>
      <c r="TIV2315" s="82"/>
      <c r="TIW2315" s="82"/>
      <c r="TIX2315" s="82"/>
      <c r="TIY2315" s="82"/>
      <c r="TIZ2315" s="82"/>
      <c r="TJA2315" s="82"/>
      <c r="TJB2315" s="82"/>
      <c r="TJC2315" s="82"/>
      <c r="TJD2315" s="82"/>
      <c r="TJE2315" s="82"/>
      <c r="TJF2315" s="82"/>
      <c r="TJG2315" s="82"/>
      <c r="TJH2315" s="82"/>
      <c r="TJI2315" s="82"/>
      <c r="TJJ2315" s="82"/>
      <c r="TJK2315" s="82"/>
      <c r="TJL2315" s="82"/>
      <c r="TJM2315" s="82"/>
      <c r="TJN2315" s="82"/>
      <c r="TJO2315" s="82"/>
      <c r="TJP2315" s="82"/>
      <c r="TJQ2315" s="82"/>
      <c r="TJR2315" s="82"/>
      <c r="TJS2315" s="82"/>
      <c r="TJT2315" s="82"/>
      <c r="TJU2315" s="82"/>
      <c r="TJV2315" s="82"/>
      <c r="TJW2315" s="82"/>
      <c r="TJX2315" s="82"/>
      <c r="TJY2315" s="82"/>
      <c r="TJZ2315" s="82"/>
      <c r="TKA2315" s="82"/>
      <c r="TKB2315" s="82"/>
      <c r="TKC2315" s="82"/>
      <c r="TKD2315" s="82"/>
      <c r="TKE2315" s="82"/>
      <c r="TKF2315" s="82"/>
      <c r="TKG2315" s="82"/>
      <c r="TKH2315" s="82"/>
      <c r="TKI2315" s="82"/>
      <c r="TKJ2315" s="82"/>
      <c r="TKK2315" s="82"/>
      <c r="TKL2315" s="82"/>
      <c r="TKM2315" s="82"/>
      <c r="TKN2315" s="82"/>
      <c r="TKO2315" s="82"/>
      <c r="TKP2315" s="82"/>
      <c r="TKQ2315" s="82"/>
      <c r="TKR2315" s="82"/>
      <c r="TKS2315" s="82"/>
      <c r="TKT2315" s="82"/>
      <c r="TKU2315" s="82"/>
      <c r="TKV2315" s="82"/>
      <c r="TKW2315" s="82"/>
      <c r="TKX2315" s="82"/>
      <c r="TKY2315" s="82"/>
      <c r="TKZ2315" s="82"/>
      <c r="TLA2315" s="82"/>
      <c r="TLB2315" s="82"/>
      <c r="TLC2315" s="82"/>
      <c r="TLD2315" s="82"/>
      <c r="TLE2315" s="82"/>
      <c r="TLF2315" s="82"/>
      <c r="TLG2315" s="82"/>
      <c r="TLH2315" s="82"/>
      <c r="TLI2315" s="82"/>
      <c r="TLJ2315" s="82"/>
      <c r="TLK2315" s="82"/>
      <c r="TLL2315" s="82"/>
      <c r="TLM2315" s="82"/>
      <c r="TLN2315" s="82"/>
      <c r="TLO2315" s="82"/>
      <c r="TLP2315" s="82"/>
      <c r="TLQ2315" s="82"/>
      <c r="TLR2315" s="82"/>
      <c r="TLS2315" s="82"/>
      <c r="TLT2315" s="82"/>
      <c r="TLU2315" s="82"/>
      <c r="TLV2315" s="82"/>
      <c r="TLW2315" s="82"/>
      <c r="TLX2315" s="82"/>
      <c r="TLY2315" s="82"/>
      <c r="TLZ2315" s="82"/>
      <c r="TMA2315" s="82"/>
      <c r="TMB2315" s="82"/>
      <c r="TMC2315" s="82"/>
      <c r="TMD2315" s="82"/>
      <c r="TME2315" s="82"/>
      <c r="TMF2315" s="82"/>
      <c r="TMG2315" s="82"/>
      <c r="TMH2315" s="82"/>
      <c r="TMI2315" s="82"/>
      <c r="TMJ2315" s="82"/>
      <c r="TMK2315" s="82"/>
      <c r="TML2315" s="82"/>
      <c r="TMM2315" s="82"/>
      <c r="TMN2315" s="82"/>
      <c r="TMO2315" s="82"/>
      <c r="TMP2315" s="82"/>
      <c r="TMQ2315" s="82"/>
      <c r="TMR2315" s="82"/>
      <c r="TMS2315" s="82"/>
      <c r="TMT2315" s="82"/>
      <c r="TMU2315" s="82"/>
      <c r="TMV2315" s="82"/>
      <c r="TMW2315" s="82"/>
      <c r="TMX2315" s="82"/>
      <c r="TMY2315" s="82"/>
      <c r="TMZ2315" s="82"/>
      <c r="TNA2315" s="82"/>
      <c r="TNB2315" s="82"/>
      <c r="TNC2315" s="82"/>
      <c r="TND2315" s="82"/>
      <c r="TNE2315" s="82"/>
      <c r="TNF2315" s="82"/>
      <c r="TNG2315" s="82"/>
      <c r="TNH2315" s="82"/>
      <c r="TNI2315" s="82"/>
      <c r="TNJ2315" s="82"/>
      <c r="TNK2315" s="82"/>
      <c r="TNL2315" s="82"/>
      <c r="TNM2315" s="82"/>
      <c r="TNN2315" s="82"/>
      <c r="TNO2315" s="82"/>
      <c r="TNP2315" s="82"/>
      <c r="TNQ2315" s="82"/>
      <c r="TNR2315" s="82"/>
      <c r="TNS2315" s="82"/>
      <c r="TNT2315" s="82"/>
      <c r="TNU2315" s="82"/>
      <c r="TNV2315" s="82"/>
      <c r="TNW2315" s="82"/>
      <c r="TNX2315" s="82"/>
      <c r="TNY2315" s="82"/>
      <c r="TNZ2315" s="82"/>
      <c r="TOA2315" s="82"/>
      <c r="TOB2315" s="82"/>
      <c r="TOC2315" s="82"/>
      <c r="TOD2315" s="82"/>
      <c r="TOE2315" s="82"/>
      <c r="TOF2315" s="82"/>
      <c r="TOG2315" s="82"/>
      <c r="TOH2315" s="82"/>
      <c r="TOI2315" s="82"/>
      <c r="TOJ2315" s="82"/>
      <c r="TOK2315" s="82"/>
      <c r="TOL2315" s="82"/>
      <c r="TOM2315" s="82"/>
      <c r="TON2315" s="82"/>
      <c r="TOO2315" s="82"/>
      <c r="TOP2315" s="82"/>
      <c r="TOQ2315" s="82"/>
      <c r="TOR2315" s="82"/>
      <c r="TOS2315" s="82"/>
      <c r="TOT2315" s="82"/>
      <c r="TOU2315" s="82"/>
      <c r="TOV2315" s="82"/>
      <c r="TOW2315" s="82"/>
      <c r="TOX2315" s="82"/>
      <c r="TOY2315" s="82"/>
      <c r="TOZ2315" s="82"/>
      <c r="TPA2315" s="82"/>
      <c r="TPB2315" s="82"/>
      <c r="TPC2315" s="82"/>
      <c r="TPD2315" s="82"/>
      <c r="TPE2315" s="82"/>
      <c r="TPF2315" s="82"/>
      <c r="TPG2315" s="82"/>
      <c r="TPH2315" s="82"/>
      <c r="TPI2315" s="82"/>
      <c r="TPJ2315" s="82"/>
      <c r="TPK2315" s="82"/>
      <c r="TPL2315" s="82"/>
      <c r="TPM2315" s="82"/>
      <c r="TPN2315" s="82"/>
      <c r="TPO2315" s="82"/>
      <c r="TPP2315" s="82"/>
      <c r="TPQ2315" s="82"/>
      <c r="TPR2315" s="82"/>
      <c r="TPS2315" s="82"/>
      <c r="TPT2315" s="82"/>
      <c r="TPU2315" s="82"/>
      <c r="TPV2315" s="82"/>
      <c r="TPW2315" s="82"/>
      <c r="TPX2315" s="82"/>
      <c r="TPY2315" s="82"/>
      <c r="TPZ2315" s="82"/>
      <c r="TQA2315" s="82"/>
      <c r="TQB2315" s="82"/>
      <c r="TQC2315" s="82"/>
      <c r="TQD2315" s="82"/>
      <c r="TQE2315" s="82"/>
      <c r="TQF2315" s="82"/>
      <c r="TQG2315" s="82"/>
      <c r="TQH2315" s="82"/>
      <c r="TQI2315" s="82"/>
      <c r="TQJ2315" s="82"/>
      <c r="TQK2315" s="82"/>
      <c r="TQL2315" s="82"/>
      <c r="TQM2315" s="82"/>
      <c r="TQN2315" s="82"/>
      <c r="TQO2315" s="82"/>
      <c r="TQP2315" s="82"/>
      <c r="TQQ2315" s="82"/>
      <c r="TQR2315" s="82"/>
      <c r="TQS2315" s="82"/>
      <c r="TQT2315" s="82"/>
      <c r="TQU2315" s="82"/>
      <c r="TQV2315" s="82"/>
      <c r="TQW2315" s="82"/>
      <c r="TQX2315" s="82"/>
      <c r="TQY2315" s="82"/>
      <c r="TQZ2315" s="82"/>
      <c r="TRA2315" s="82"/>
      <c r="TRB2315" s="82"/>
      <c r="TRC2315" s="82"/>
      <c r="TRD2315" s="82"/>
      <c r="TRE2315" s="82"/>
      <c r="TRF2315" s="82"/>
      <c r="TRG2315" s="82"/>
      <c r="TRH2315" s="82"/>
      <c r="TRI2315" s="82"/>
      <c r="TRJ2315" s="82"/>
      <c r="TRK2315" s="82"/>
      <c r="TRL2315" s="82"/>
      <c r="TRM2315" s="82"/>
      <c r="TRN2315" s="82"/>
      <c r="TRO2315" s="82"/>
      <c r="TRP2315" s="82"/>
      <c r="TRQ2315" s="82"/>
      <c r="TRR2315" s="82"/>
      <c r="TRS2315" s="82"/>
      <c r="TRT2315" s="82"/>
      <c r="TRU2315" s="82"/>
      <c r="TRV2315" s="82"/>
      <c r="TRW2315" s="82"/>
      <c r="TRX2315" s="82"/>
      <c r="TRY2315" s="82"/>
      <c r="TRZ2315" s="82"/>
      <c r="TSA2315" s="82"/>
      <c r="TSB2315" s="82"/>
      <c r="TSC2315" s="82"/>
      <c r="TSD2315" s="82"/>
      <c r="TSE2315" s="82"/>
      <c r="TSF2315" s="82"/>
      <c r="TSG2315" s="82"/>
      <c r="TSH2315" s="82"/>
      <c r="TSI2315" s="82"/>
      <c r="TSJ2315" s="82"/>
      <c r="TSK2315" s="82"/>
      <c r="TSL2315" s="82"/>
      <c r="TSM2315" s="82"/>
      <c r="TSN2315" s="82"/>
      <c r="TSO2315" s="82"/>
      <c r="TSP2315" s="82"/>
      <c r="TSQ2315" s="82"/>
      <c r="TSR2315" s="82"/>
      <c r="TSS2315" s="82"/>
      <c r="TST2315" s="82"/>
      <c r="TSU2315" s="82"/>
      <c r="TSV2315" s="82"/>
      <c r="TSW2315" s="82"/>
      <c r="TSX2315" s="82"/>
      <c r="TSY2315" s="82"/>
      <c r="TSZ2315" s="82"/>
      <c r="TTA2315" s="82"/>
      <c r="TTB2315" s="82"/>
      <c r="TTC2315" s="82"/>
      <c r="TTD2315" s="82"/>
      <c r="TTE2315" s="82"/>
      <c r="TTF2315" s="82"/>
      <c r="TTG2315" s="82"/>
      <c r="TTH2315" s="82"/>
      <c r="TTI2315" s="82"/>
      <c r="TTJ2315" s="82"/>
      <c r="TTK2315" s="82"/>
      <c r="TTL2315" s="82"/>
      <c r="TTM2315" s="82"/>
      <c r="TTN2315" s="82"/>
      <c r="TTO2315" s="82"/>
      <c r="TTP2315" s="82"/>
      <c r="TTQ2315" s="82"/>
      <c r="TTR2315" s="82"/>
      <c r="TTS2315" s="82"/>
      <c r="TTT2315" s="82"/>
      <c r="TTU2315" s="82"/>
      <c r="TTV2315" s="82"/>
      <c r="TTW2315" s="82"/>
      <c r="TTX2315" s="82"/>
      <c r="TTY2315" s="82"/>
      <c r="TTZ2315" s="82"/>
      <c r="TUA2315" s="82"/>
      <c r="TUB2315" s="82"/>
      <c r="TUC2315" s="82"/>
      <c r="TUD2315" s="82"/>
      <c r="TUE2315" s="82"/>
      <c r="TUF2315" s="82"/>
      <c r="TUG2315" s="82"/>
      <c r="TUH2315" s="82"/>
      <c r="TUI2315" s="82"/>
      <c r="TUJ2315" s="82"/>
      <c r="TUK2315" s="82"/>
      <c r="TUL2315" s="82"/>
      <c r="TUM2315" s="82"/>
      <c r="TUN2315" s="82"/>
      <c r="TUO2315" s="82"/>
      <c r="TUP2315" s="82"/>
      <c r="TUQ2315" s="82"/>
      <c r="TUR2315" s="82"/>
      <c r="TUS2315" s="82"/>
      <c r="TUT2315" s="82"/>
      <c r="TUU2315" s="82"/>
      <c r="TUV2315" s="82"/>
      <c r="TUW2315" s="82"/>
      <c r="TUX2315" s="82"/>
      <c r="TUY2315" s="82"/>
      <c r="TUZ2315" s="82"/>
      <c r="TVA2315" s="82"/>
      <c r="TVB2315" s="82"/>
      <c r="TVC2315" s="82"/>
      <c r="TVD2315" s="82"/>
      <c r="TVE2315" s="82"/>
      <c r="TVF2315" s="82"/>
      <c r="TVG2315" s="82"/>
      <c r="TVH2315" s="82"/>
      <c r="TVI2315" s="82"/>
      <c r="TVJ2315" s="82"/>
      <c r="TVK2315" s="82"/>
      <c r="TVL2315" s="82"/>
      <c r="TVM2315" s="82"/>
      <c r="TVN2315" s="82"/>
      <c r="TVO2315" s="82"/>
      <c r="TVP2315" s="82"/>
      <c r="TVQ2315" s="82"/>
      <c r="TVR2315" s="82"/>
      <c r="TVS2315" s="82"/>
      <c r="TVT2315" s="82"/>
      <c r="TVU2315" s="82"/>
      <c r="TVV2315" s="82"/>
      <c r="TVW2315" s="82"/>
      <c r="TVX2315" s="82"/>
      <c r="TVY2315" s="82"/>
      <c r="TVZ2315" s="82"/>
      <c r="TWA2315" s="82"/>
      <c r="TWB2315" s="82"/>
      <c r="TWC2315" s="82"/>
      <c r="TWD2315" s="82"/>
      <c r="TWE2315" s="82"/>
      <c r="TWF2315" s="82"/>
      <c r="TWG2315" s="82"/>
      <c r="TWH2315" s="82"/>
      <c r="TWI2315" s="82"/>
      <c r="TWJ2315" s="82"/>
      <c r="TWK2315" s="82"/>
      <c r="TWL2315" s="82"/>
      <c r="TWM2315" s="82"/>
      <c r="TWN2315" s="82"/>
      <c r="TWO2315" s="82"/>
      <c r="TWP2315" s="82"/>
      <c r="TWQ2315" s="82"/>
      <c r="TWR2315" s="82"/>
      <c r="TWS2315" s="82"/>
      <c r="TWT2315" s="82"/>
      <c r="TWU2315" s="82"/>
      <c r="TWV2315" s="82"/>
      <c r="TWW2315" s="82"/>
      <c r="TWX2315" s="82"/>
      <c r="TWY2315" s="82"/>
      <c r="TWZ2315" s="82"/>
      <c r="TXA2315" s="82"/>
      <c r="TXB2315" s="82"/>
      <c r="TXC2315" s="82"/>
      <c r="TXD2315" s="82"/>
      <c r="TXE2315" s="82"/>
      <c r="TXF2315" s="82"/>
      <c r="TXG2315" s="82"/>
      <c r="TXH2315" s="82"/>
      <c r="TXI2315" s="82"/>
      <c r="TXJ2315" s="82"/>
      <c r="TXK2315" s="82"/>
      <c r="TXL2315" s="82"/>
      <c r="TXM2315" s="82"/>
      <c r="TXN2315" s="82"/>
      <c r="TXO2315" s="82"/>
      <c r="TXP2315" s="82"/>
      <c r="TXQ2315" s="82"/>
      <c r="TXR2315" s="82"/>
      <c r="TXS2315" s="82"/>
      <c r="TXT2315" s="82"/>
      <c r="TXU2315" s="82"/>
      <c r="TXV2315" s="82"/>
      <c r="TXW2315" s="82"/>
      <c r="TXX2315" s="82"/>
      <c r="TXY2315" s="82"/>
      <c r="TXZ2315" s="82"/>
      <c r="TYA2315" s="82"/>
      <c r="TYB2315" s="82"/>
      <c r="TYC2315" s="82"/>
      <c r="TYD2315" s="82"/>
      <c r="TYE2315" s="82"/>
      <c r="TYF2315" s="82"/>
      <c r="TYG2315" s="82"/>
      <c r="TYH2315" s="82"/>
      <c r="TYI2315" s="82"/>
      <c r="TYJ2315" s="82"/>
      <c r="TYK2315" s="82"/>
      <c r="TYL2315" s="82"/>
      <c r="TYM2315" s="82"/>
      <c r="TYN2315" s="82"/>
      <c r="TYO2315" s="82"/>
      <c r="TYP2315" s="82"/>
      <c r="TYQ2315" s="82"/>
      <c r="TYR2315" s="82"/>
      <c r="TYS2315" s="82"/>
      <c r="TYT2315" s="82"/>
      <c r="TYU2315" s="82"/>
      <c r="TYV2315" s="82"/>
      <c r="TYW2315" s="82"/>
      <c r="TYX2315" s="82"/>
      <c r="TYY2315" s="82"/>
      <c r="TYZ2315" s="82"/>
      <c r="TZA2315" s="82"/>
      <c r="TZB2315" s="82"/>
      <c r="TZC2315" s="82"/>
      <c r="TZD2315" s="82"/>
      <c r="TZE2315" s="82"/>
      <c r="TZF2315" s="82"/>
      <c r="TZG2315" s="82"/>
      <c r="TZH2315" s="82"/>
      <c r="TZI2315" s="82"/>
      <c r="TZJ2315" s="82"/>
      <c r="TZK2315" s="82"/>
      <c r="TZL2315" s="82"/>
      <c r="TZM2315" s="82"/>
      <c r="TZN2315" s="82"/>
      <c r="TZO2315" s="82"/>
      <c r="TZP2315" s="82"/>
      <c r="TZQ2315" s="82"/>
      <c r="TZR2315" s="82"/>
      <c r="TZS2315" s="82"/>
      <c r="TZT2315" s="82"/>
      <c r="TZU2315" s="82"/>
      <c r="TZV2315" s="82"/>
      <c r="TZW2315" s="82"/>
      <c r="TZX2315" s="82"/>
      <c r="TZY2315" s="82"/>
      <c r="TZZ2315" s="82"/>
      <c r="UAA2315" s="82"/>
      <c r="UAB2315" s="82"/>
      <c r="UAC2315" s="82"/>
      <c r="UAD2315" s="82"/>
      <c r="UAE2315" s="82"/>
      <c r="UAF2315" s="82"/>
      <c r="UAG2315" s="82"/>
      <c r="UAH2315" s="82"/>
      <c r="UAI2315" s="82"/>
      <c r="UAJ2315" s="82"/>
      <c r="UAK2315" s="82"/>
      <c r="UAL2315" s="82"/>
      <c r="UAM2315" s="82"/>
      <c r="UAN2315" s="82"/>
      <c r="UAO2315" s="82"/>
      <c r="UAP2315" s="82"/>
      <c r="UAQ2315" s="82"/>
      <c r="UAR2315" s="82"/>
      <c r="UAS2315" s="82"/>
      <c r="UAT2315" s="82"/>
      <c r="UAU2315" s="82"/>
      <c r="UAV2315" s="82"/>
      <c r="UAW2315" s="82"/>
      <c r="UAX2315" s="82"/>
      <c r="UAY2315" s="82"/>
      <c r="UAZ2315" s="82"/>
      <c r="UBA2315" s="82"/>
      <c r="UBB2315" s="82"/>
      <c r="UBC2315" s="82"/>
      <c r="UBD2315" s="82"/>
      <c r="UBE2315" s="82"/>
      <c r="UBF2315" s="82"/>
      <c r="UBG2315" s="82"/>
      <c r="UBH2315" s="82"/>
      <c r="UBI2315" s="82"/>
      <c r="UBJ2315" s="82"/>
      <c r="UBK2315" s="82"/>
      <c r="UBL2315" s="82"/>
      <c r="UBM2315" s="82"/>
      <c r="UBN2315" s="82"/>
      <c r="UBO2315" s="82"/>
      <c r="UBP2315" s="82"/>
      <c r="UBQ2315" s="82"/>
      <c r="UBR2315" s="82"/>
      <c r="UBS2315" s="82"/>
      <c r="UBT2315" s="82"/>
      <c r="UBU2315" s="82"/>
      <c r="UBV2315" s="82"/>
      <c r="UBW2315" s="82"/>
      <c r="UBX2315" s="82"/>
      <c r="UBY2315" s="82"/>
      <c r="UBZ2315" s="82"/>
      <c r="UCA2315" s="82"/>
      <c r="UCB2315" s="82"/>
      <c r="UCC2315" s="82"/>
      <c r="UCD2315" s="82"/>
      <c r="UCE2315" s="82"/>
      <c r="UCF2315" s="82"/>
      <c r="UCG2315" s="82"/>
      <c r="UCH2315" s="82"/>
      <c r="UCI2315" s="82"/>
      <c r="UCJ2315" s="82"/>
      <c r="UCK2315" s="82"/>
      <c r="UCL2315" s="82"/>
      <c r="UCM2315" s="82"/>
      <c r="UCN2315" s="82"/>
      <c r="UCO2315" s="82"/>
      <c r="UCP2315" s="82"/>
      <c r="UCQ2315" s="82"/>
      <c r="UCR2315" s="82"/>
      <c r="UCS2315" s="82"/>
      <c r="UCT2315" s="82"/>
      <c r="UCU2315" s="82"/>
      <c r="UCV2315" s="82"/>
      <c r="UCW2315" s="82"/>
      <c r="UCX2315" s="82"/>
      <c r="UCY2315" s="82"/>
      <c r="UCZ2315" s="82"/>
      <c r="UDA2315" s="82"/>
      <c r="UDB2315" s="82"/>
      <c r="UDC2315" s="82"/>
      <c r="UDD2315" s="82"/>
      <c r="UDE2315" s="82"/>
      <c r="UDF2315" s="82"/>
      <c r="UDG2315" s="82"/>
      <c r="UDH2315" s="82"/>
      <c r="UDI2315" s="82"/>
      <c r="UDJ2315" s="82"/>
      <c r="UDK2315" s="82"/>
      <c r="UDL2315" s="82"/>
      <c r="UDM2315" s="82"/>
      <c r="UDN2315" s="82"/>
      <c r="UDO2315" s="82"/>
      <c r="UDP2315" s="82"/>
      <c r="UDQ2315" s="82"/>
      <c r="UDR2315" s="82"/>
      <c r="UDS2315" s="82"/>
      <c r="UDT2315" s="82"/>
      <c r="UDU2315" s="82"/>
      <c r="UDV2315" s="82"/>
      <c r="UDW2315" s="82"/>
      <c r="UDX2315" s="82"/>
      <c r="UDY2315" s="82"/>
      <c r="UDZ2315" s="82"/>
      <c r="UEA2315" s="82"/>
      <c r="UEB2315" s="82"/>
      <c r="UEC2315" s="82"/>
      <c r="UED2315" s="82"/>
      <c r="UEE2315" s="82"/>
      <c r="UEF2315" s="82"/>
      <c r="UEG2315" s="82"/>
      <c r="UEH2315" s="82"/>
      <c r="UEI2315" s="82"/>
      <c r="UEJ2315" s="82"/>
      <c r="UEK2315" s="82"/>
      <c r="UEL2315" s="82"/>
      <c r="UEM2315" s="82"/>
      <c r="UEN2315" s="82"/>
      <c r="UEO2315" s="82"/>
      <c r="UEP2315" s="82"/>
      <c r="UEQ2315" s="82"/>
      <c r="UER2315" s="82"/>
      <c r="UES2315" s="82"/>
      <c r="UET2315" s="82"/>
      <c r="UEU2315" s="82"/>
      <c r="UEV2315" s="82"/>
      <c r="UEW2315" s="82"/>
      <c r="UEX2315" s="82"/>
      <c r="UEY2315" s="82"/>
      <c r="UEZ2315" s="82"/>
      <c r="UFA2315" s="82"/>
      <c r="UFB2315" s="82"/>
      <c r="UFC2315" s="82"/>
      <c r="UFD2315" s="82"/>
      <c r="UFE2315" s="82"/>
      <c r="UFF2315" s="82"/>
      <c r="UFG2315" s="82"/>
      <c r="UFH2315" s="82"/>
      <c r="UFI2315" s="82"/>
      <c r="UFJ2315" s="82"/>
      <c r="UFK2315" s="82"/>
      <c r="UFL2315" s="82"/>
      <c r="UFM2315" s="82"/>
      <c r="UFN2315" s="82"/>
      <c r="UFO2315" s="82"/>
      <c r="UFP2315" s="82"/>
      <c r="UFQ2315" s="82"/>
      <c r="UFR2315" s="82"/>
      <c r="UFS2315" s="82"/>
      <c r="UFT2315" s="82"/>
      <c r="UFU2315" s="82"/>
      <c r="UFV2315" s="82"/>
      <c r="UFW2315" s="82"/>
      <c r="UFX2315" s="82"/>
      <c r="UFY2315" s="82"/>
      <c r="UFZ2315" s="82"/>
      <c r="UGA2315" s="82"/>
      <c r="UGB2315" s="82"/>
      <c r="UGC2315" s="82"/>
      <c r="UGD2315" s="82"/>
      <c r="UGE2315" s="82"/>
      <c r="UGF2315" s="82"/>
      <c r="UGG2315" s="82"/>
      <c r="UGH2315" s="82"/>
      <c r="UGI2315" s="82"/>
      <c r="UGJ2315" s="82"/>
      <c r="UGK2315" s="82"/>
      <c r="UGL2315" s="82"/>
      <c r="UGM2315" s="82"/>
      <c r="UGN2315" s="82"/>
      <c r="UGO2315" s="82"/>
      <c r="UGP2315" s="82"/>
      <c r="UGQ2315" s="82"/>
      <c r="UGR2315" s="82"/>
      <c r="UGS2315" s="82"/>
      <c r="UGT2315" s="82"/>
      <c r="UGU2315" s="82"/>
      <c r="UGV2315" s="82"/>
      <c r="UGW2315" s="82"/>
      <c r="UGX2315" s="82"/>
      <c r="UGY2315" s="82"/>
      <c r="UGZ2315" s="82"/>
      <c r="UHA2315" s="82"/>
      <c r="UHB2315" s="82"/>
      <c r="UHC2315" s="82"/>
      <c r="UHD2315" s="82"/>
      <c r="UHE2315" s="82"/>
      <c r="UHF2315" s="82"/>
      <c r="UHG2315" s="82"/>
      <c r="UHH2315" s="82"/>
      <c r="UHI2315" s="82"/>
      <c r="UHJ2315" s="82"/>
      <c r="UHK2315" s="82"/>
      <c r="UHL2315" s="82"/>
      <c r="UHM2315" s="82"/>
      <c r="UHN2315" s="82"/>
      <c r="UHO2315" s="82"/>
      <c r="UHP2315" s="82"/>
      <c r="UHQ2315" s="82"/>
      <c r="UHR2315" s="82"/>
      <c r="UHS2315" s="82"/>
      <c r="UHT2315" s="82"/>
      <c r="UHU2315" s="82"/>
      <c r="UHV2315" s="82"/>
      <c r="UHW2315" s="82"/>
      <c r="UHX2315" s="82"/>
      <c r="UHY2315" s="82"/>
      <c r="UHZ2315" s="82"/>
      <c r="UIA2315" s="82"/>
      <c r="UIB2315" s="82"/>
      <c r="UIC2315" s="82"/>
      <c r="UID2315" s="82"/>
      <c r="UIE2315" s="82"/>
      <c r="UIF2315" s="82"/>
      <c r="UIG2315" s="82"/>
      <c r="UIH2315" s="82"/>
      <c r="UII2315" s="82"/>
      <c r="UIJ2315" s="82"/>
      <c r="UIK2315" s="82"/>
      <c r="UIL2315" s="82"/>
      <c r="UIM2315" s="82"/>
      <c r="UIN2315" s="82"/>
      <c r="UIO2315" s="82"/>
      <c r="UIP2315" s="82"/>
      <c r="UIQ2315" s="82"/>
      <c r="UIR2315" s="82"/>
      <c r="UIS2315" s="82"/>
      <c r="UIT2315" s="82"/>
      <c r="UIU2315" s="82"/>
      <c r="UIV2315" s="82"/>
      <c r="UIW2315" s="82"/>
      <c r="UIX2315" s="82"/>
      <c r="UIY2315" s="82"/>
      <c r="UIZ2315" s="82"/>
      <c r="UJA2315" s="82"/>
      <c r="UJB2315" s="82"/>
      <c r="UJC2315" s="82"/>
      <c r="UJD2315" s="82"/>
      <c r="UJE2315" s="82"/>
      <c r="UJF2315" s="82"/>
      <c r="UJG2315" s="82"/>
      <c r="UJH2315" s="82"/>
      <c r="UJI2315" s="82"/>
      <c r="UJJ2315" s="82"/>
      <c r="UJK2315" s="82"/>
      <c r="UJL2315" s="82"/>
      <c r="UJM2315" s="82"/>
      <c r="UJN2315" s="82"/>
      <c r="UJO2315" s="82"/>
      <c r="UJP2315" s="82"/>
      <c r="UJQ2315" s="82"/>
      <c r="UJR2315" s="82"/>
      <c r="UJS2315" s="82"/>
      <c r="UJT2315" s="82"/>
      <c r="UJU2315" s="82"/>
      <c r="UJV2315" s="82"/>
      <c r="UJW2315" s="82"/>
      <c r="UJX2315" s="82"/>
      <c r="UJY2315" s="82"/>
      <c r="UJZ2315" s="82"/>
      <c r="UKA2315" s="82"/>
      <c r="UKB2315" s="82"/>
      <c r="UKC2315" s="82"/>
      <c r="UKD2315" s="82"/>
      <c r="UKE2315" s="82"/>
      <c r="UKF2315" s="82"/>
      <c r="UKG2315" s="82"/>
      <c r="UKH2315" s="82"/>
      <c r="UKI2315" s="82"/>
      <c r="UKJ2315" s="82"/>
      <c r="UKK2315" s="82"/>
      <c r="UKL2315" s="82"/>
      <c r="UKM2315" s="82"/>
      <c r="UKN2315" s="82"/>
      <c r="UKO2315" s="82"/>
      <c r="UKP2315" s="82"/>
      <c r="UKQ2315" s="82"/>
      <c r="UKR2315" s="82"/>
      <c r="UKS2315" s="82"/>
      <c r="UKT2315" s="82"/>
      <c r="UKU2315" s="82"/>
      <c r="UKV2315" s="82"/>
      <c r="UKW2315" s="82"/>
      <c r="UKX2315" s="82"/>
      <c r="UKY2315" s="82"/>
      <c r="UKZ2315" s="82"/>
      <c r="ULA2315" s="82"/>
      <c r="ULB2315" s="82"/>
      <c r="ULC2315" s="82"/>
      <c r="ULD2315" s="82"/>
      <c r="ULE2315" s="82"/>
      <c r="ULF2315" s="82"/>
      <c r="ULG2315" s="82"/>
      <c r="ULH2315" s="82"/>
      <c r="ULI2315" s="82"/>
      <c r="ULJ2315" s="82"/>
      <c r="ULK2315" s="82"/>
      <c r="ULL2315" s="82"/>
      <c r="ULM2315" s="82"/>
      <c r="ULN2315" s="82"/>
      <c r="ULO2315" s="82"/>
      <c r="ULP2315" s="82"/>
      <c r="ULQ2315" s="82"/>
      <c r="ULR2315" s="82"/>
      <c r="ULS2315" s="82"/>
      <c r="ULT2315" s="82"/>
      <c r="ULU2315" s="82"/>
      <c r="ULV2315" s="82"/>
      <c r="ULW2315" s="82"/>
      <c r="ULX2315" s="82"/>
      <c r="ULY2315" s="82"/>
      <c r="ULZ2315" s="82"/>
      <c r="UMA2315" s="82"/>
      <c r="UMB2315" s="82"/>
      <c r="UMC2315" s="82"/>
      <c r="UMD2315" s="82"/>
      <c r="UME2315" s="82"/>
      <c r="UMF2315" s="82"/>
      <c r="UMG2315" s="82"/>
      <c r="UMH2315" s="82"/>
      <c r="UMI2315" s="82"/>
      <c r="UMJ2315" s="82"/>
      <c r="UMK2315" s="82"/>
      <c r="UML2315" s="82"/>
      <c r="UMM2315" s="82"/>
      <c r="UMN2315" s="82"/>
      <c r="UMO2315" s="82"/>
      <c r="UMP2315" s="82"/>
      <c r="UMQ2315" s="82"/>
      <c r="UMR2315" s="82"/>
      <c r="UMS2315" s="82"/>
      <c r="UMT2315" s="82"/>
      <c r="UMU2315" s="82"/>
      <c r="UMV2315" s="82"/>
      <c r="UMW2315" s="82"/>
      <c r="UMX2315" s="82"/>
      <c r="UMY2315" s="82"/>
      <c r="UMZ2315" s="82"/>
      <c r="UNA2315" s="82"/>
      <c r="UNB2315" s="82"/>
      <c r="UNC2315" s="82"/>
      <c r="UND2315" s="82"/>
      <c r="UNE2315" s="82"/>
      <c r="UNF2315" s="82"/>
      <c r="UNG2315" s="82"/>
      <c r="UNH2315" s="82"/>
      <c r="UNI2315" s="82"/>
      <c r="UNJ2315" s="82"/>
      <c r="UNK2315" s="82"/>
      <c r="UNL2315" s="82"/>
      <c r="UNM2315" s="82"/>
      <c r="UNN2315" s="82"/>
      <c r="UNO2315" s="82"/>
      <c r="UNP2315" s="82"/>
      <c r="UNQ2315" s="82"/>
      <c r="UNR2315" s="82"/>
      <c r="UNS2315" s="82"/>
      <c r="UNT2315" s="82"/>
      <c r="UNU2315" s="82"/>
      <c r="UNV2315" s="82"/>
      <c r="UNW2315" s="82"/>
      <c r="UNX2315" s="82"/>
      <c r="UNY2315" s="82"/>
      <c r="UNZ2315" s="82"/>
      <c r="UOA2315" s="82"/>
      <c r="UOB2315" s="82"/>
      <c r="UOC2315" s="82"/>
      <c r="UOD2315" s="82"/>
      <c r="UOE2315" s="82"/>
      <c r="UOF2315" s="82"/>
      <c r="UOG2315" s="82"/>
      <c r="UOH2315" s="82"/>
      <c r="UOI2315" s="82"/>
      <c r="UOJ2315" s="82"/>
      <c r="UOK2315" s="82"/>
      <c r="UOL2315" s="82"/>
      <c r="UOM2315" s="82"/>
      <c r="UON2315" s="82"/>
      <c r="UOO2315" s="82"/>
      <c r="UOP2315" s="82"/>
      <c r="UOQ2315" s="82"/>
      <c r="UOR2315" s="82"/>
      <c r="UOS2315" s="82"/>
      <c r="UOT2315" s="82"/>
      <c r="UOU2315" s="82"/>
      <c r="UOV2315" s="82"/>
      <c r="UOW2315" s="82"/>
      <c r="UOX2315" s="82"/>
      <c r="UOY2315" s="82"/>
      <c r="UOZ2315" s="82"/>
      <c r="UPA2315" s="82"/>
      <c r="UPB2315" s="82"/>
      <c r="UPC2315" s="82"/>
      <c r="UPD2315" s="82"/>
      <c r="UPE2315" s="82"/>
      <c r="UPF2315" s="82"/>
      <c r="UPG2315" s="82"/>
      <c r="UPH2315" s="82"/>
      <c r="UPI2315" s="82"/>
      <c r="UPJ2315" s="82"/>
      <c r="UPK2315" s="82"/>
      <c r="UPL2315" s="82"/>
      <c r="UPM2315" s="82"/>
      <c r="UPN2315" s="82"/>
      <c r="UPO2315" s="82"/>
      <c r="UPP2315" s="82"/>
      <c r="UPQ2315" s="82"/>
      <c r="UPR2315" s="82"/>
      <c r="UPS2315" s="82"/>
      <c r="UPT2315" s="82"/>
      <c r="UPU2315" s="82"/>
      <c r="UPV2315" s="82"/>
      <c r="UPW2315" s="82"/>
      <c r="UPX2315" s="82"/>
      <c r="UPY2315" s="82"/>
      <c r="UPZ2315" s="82"/>
      <c r="UQA2315" s="82"/>
      <c r="UQB2315" s="82"/>
      <c r="UQC2315" s="82"/>
      <c r="UQD2315" s="82"/>
      <c r="UQE2315" s="82"/>
      <c r="UQF2315" s="82"/>
      <c r="UQG2315" s="82"/>
      <c r="UQH2315" s="82"/>
      <c r="UQI2315" s="82"/>
      <c r="UQJ2315" s="82"/>
      <c r="UQK2315" s="82"/>
      <c r="UQL2315" s="82"/>
      <c r="UQM2315" s="82"/>
      <c r="UQN2315" s="82"/>
      <c r="UQO2315" s="82"/>
      <c r="UQP2315" s="82"/>
      <c r="UQQ2315" s="82"/>
      <c r="UQR2315" s="82"/>
      <c r="UQS2315" s="82"/>
      <c r="UQT2315" s="82"/>
      <c r="UQU2315" s="82"/>
      <c r="UQV2315" s="82"/>
      <c r="UQW2315" s="82"/>
      <c r="UQX2315" s="82"/>
      <c r="UQY2315" s="82"/>
      <c r="UQZ2315" s="82"/>
      <c r="URA2315" s="82"/>
      <c r="URB2315" s="82"/>
      <c r="URC2315" s="82"/>
      <c r="URD2315" s="82"/>
      <c r="URE2315" s="82"/>
      <c r="URF2315" s="82"/>
      <c r="URG2315" s="82"/>
      <c r="URH2315" s="82"/>
      <c r="URI2315" s="82"/>
      <c r="URJ2315" s="82"/>
      <c r="URK2315" s="82"/>
      <c r="URL2315" s="82"/>
      <c r="URM2315" s="82"/>
      <c r="URN2315" s="82"/>
      <c r="URO2315" s="82"/>
      <c r="URP2315" s="82"/>
      <c r="URQ2315" s="82"/>
      <c r="URR2315" s="82"/>
      <c r="URS2315" s="82"/>
      <c r="URT2315" s="82"/>
      <c r="URU2315" s="82"/>
      <c r="URV2315" s="82"/>
      <c r="URW2315" s="82"/>
      <c r="URX2315" s="82"/>
      <c r="URY2315" s="82"/>
      <c r="URZ2315" s="82"/>
      <c r="USA2315" s="82"/>
      <c r="USB2315" s="82"/>
      <c r="USC2315" s="82"/>
      <c r="USD2315" s="82"/>
      <c r="USE2315" s="82"/>
      <c r="USF2315" s="82"/>
      <c r="USG2315" s="82"/>
      <c r="USH2315" s="82"/>
      <c r="USI2315" s="82"/>
      <c r="USJ2315" s="82"/>
      <c r="USK2315" s="82"/>
      <c r="USL2315" s="82"/>
      <c r="USM2315" s="82"/>
      <c r="USN2315" s="82"/>
      <c r="USO2315" s="82"/>
      <c r="USP2315" s="82"/>
      <c r="USQ2315" s="82"/>
      <c r="USR2315" s="82"/>
      <c r="USS2315" s="82"/>
      <c r="UST2315" s="82"/>
      <c r="USU2315" s="82"/>
      <c r="USV2315" s="82"/>
      <c r="USW2315" s="82"/>
      <c r="USX2315" s="82"/>
      <c r="USY2315" s="82"/>
      <c r="USZ2315" s="82"/>
      <c r="UTA2315" s="82"/>
      <c r="UTB2315" s="82"/>
      <c r="UTC2315" s="82"/>
      <c r="UTD2315" s="82"/>
      <c r="UTE2315" s="82"/>
      <c r="UTF2315" s="82"/>
      <c r="UTG2315" s="82"/>
      <c r="UTH2315" s="82"/>
      <c r="UTI2315" s="82"/>
      <c r="UTJ2315" s="82"/>
      <c r="UTK2315" s="82"/>
      <c r="UTL2315" s="82"/>
      <c r="UTM2315" s="82"/>
      <c r="UTN2315" s="82"/>
      <c r="UTO2315" s="82"/>
      <c r="UTP2315" s="82"/>
      <c r="UTQ2315" s="82"/>
      <c r="UTR2315" s="82"/>
      <c r="UTS2315" s="82"/>
      <c r="UTT2315" s="82"/>
      <c r="UTU2315" s="82"/>
      <c r="UTV2315" s="82"/>
      <c r="UTW2315" s="82"/>
      <c r="UTX2315" s="82"/>
      <c r="UTY2315" s="82"/>
      <c r="UTZ2315" s="82"/>
      <c r="UUA2315" s="82"/>
      <c r="UUB2315" s="82"/>
      <c r="UUC2315" s="82"/>
      <c r="UUD2315" s="82"/>
      <c r="UUE2315" s="82"/>
      <c r="UUF2315" s="82"/>
      <c r="UUG2315" s="82"/>
      <c r="UUH2315" s="82"/>
      <c r="UUI2315" s="82"/>
      <c r="UUJ2315" s="82"/>
      <c r="UUK2315" s="82"/>
      <c r="UUL2315" s="82"/>
      <c r="UUM2315" s="82"/>
      <c r="UUN2315" s="82"/>
      <c r="UUO2315" s="82"/>
      <c r="UUP2315" s="82"/>
      <c r="UUQ2315" s="82"/>
      <c r="UUR2315" s="82"/>
      <c r="UUS2315" s="82"/>
      <c r="UUT2315" s="82"/>
      <c r="UUU2315" s="82"/>
      <c r="UUV2315" s="82"/>
      <c r="UUW2315" s="82"/>
      <c r="UUX2315" s="82"/>
      <c r="UUY2315" s="82"/>
      <c r="UUZ2315" s="82"/>
      <c r="UVA2315" s="82"/>
      <c r="UVB2315" s="82"/>
      <c r="UVC2315" s="82"/>
      <c r="UVD2315" s="82"/>
      <c r="UVE2315" s="82"/>
      <c r="UVF2315" s="82"/>
      <c r="UVG2315" s="82"/>
      <c r="UVH2315" s="82"/>
      <c r="UVI2315" s="82"/>
      <c r="UVJ2315" s="82"/>
      <c r="UVK2315" s="82"/>
      <c r="UVL2315" s="82"/>
      <c r="UVM2315" s="82"/>
      <c r="UVN2315" s="82"/>
      <c r="UVO2315" s="82"/>
      <c r="UVP2315" s="82"/>
      <c r="UVQ2315" s="82"/>
      <c r="UVR2315" s="82"/>
      <c r="UVS2315" s="82"/>
      <c r="UVT2315" s="82"/>
      <c r="UVU2315" s="82"/>
      <c r="UVV2315" s="82"/>
      <c r="UVW2315" s="82"/>
      <c r="UVX2315" s="82"/>
      <c r="UVY2315" s="82"/>
      <c r="UVZ2315" s="82"/>
      <c r="UWA2315" s="82"/>
      <c r="UWB2315" s="82"/>
      <c r="UWC2315" s="82"/>
      <c r="UWD2315" s="82"/>
      <c r="UWE2315" s="82"/>
      <c r="UWF2315" s="82"/>
      <c r="UWG2315" s="82"/>
      <c r="UWH2315" s="82"/>
      <c r="UWI2315" s="82"/>
      <c r="UWJ2315" s="82"/>
      <c r="UWK2315" s="82"/>
      <c r="UWL2315" s="82"/>
      <c r="UWM2315" s="82"/>
      <c r="UWN2315" s="82"/>
      <c r="UWO2315" s="82"/>
      <c r="UWP2315" s="82"/>
      <c r="UWQ2315" s="82"/>
      <c r="UWR2315" s="82"/>
      <c r="UWS2315" s="82"/>
      <c r="UWT2315" s="82"/>
      <c r="UWU2315" s="82"/>
      <c r="UWV2315" s="82"/>
      <c r="UWW2315" s="82"/>
      <c r="UWX2315" s="82"/>
      <c r="UWY2315" s="82"/>
      <c r="UWZ2315" s="82"/>
      <c r="UXA2315" s="82"/>
      <c r="UXB2315" s="82"/>
      <c r="UXC2315" s="82"/>
      <c r="UXD2315" s="82"/>
      <c r="UXE2315" s="82"/>
      <c r="UXF2315" s="82"/>
      <c r="UXG2315" s="82"/>
      <c r="UXH2315" s="82"/>
      <c r="UXI2315" s="82"/>
      <c r="UXJ2315" s="82"/>
      <c r="UXK2315" s="82"/>
      <c r="UXL2315" s="82"/>
      <c r="UXM2315" s="82"/>
      <c r="UXN2315" s="82"/>
      <c r="UXO2315" s="82"/>
      <c r="UXP2315" s="82"/>
      <c r="UXQ2315" s="82"/>
      <c r="UXR2315" s="82"/>
      <c r="UXS2315" s="82"/>
      <c r="UXT2315" s="82"/>
      <c r="UXU2315" s="82"/>
      <c r="UXV2315" s="82"/>
      <c r="UXW2315" s="82"/>
      <c r="UXX2315" s="82"/>
      <c r="UXY2315" s="82"/>
      <c r="UXZ2315" s="82"/>
      <c r="UYA2315" s="82"/>
      <c r="UYB2315" s="82"/>
      <c r="UYC2315" s="82"/>
      <c r="UYD2315" s="82"/>
      <c r="UYE2315" s="82"/>
      <c r="UYF2315" s="82"/>
      <c r="UYG2315" s="82"/>
      <c r="UYH2315" s="82"/>
      <c r="UYI2315" s="82"/>
      <c r="UYJ2315" s="82"/>
      <c r="UYK2315" s="82"/>
      <c r="UYL2315" s="82"/>
      <c r="UYM2315" s="82"/>
      <c r="UYN2315" s="82"/>
      <c r="UYO2315" s="82"/>
      <c r="UYP2315" s="82"/>
      <c r="UYQ2315" s="82"/>
      <c r="UYR2315" s="82"/>
      <c r="UYS2315" s="82"/>
      <c r="UYT2315" s="82"/>
      <c r="UYU2315" s="82"/>
      <c r="UYV2315" s="82"/>
      <c r="UYW2315" s="82"/>
      <c r="UYX2315" s="82"/>
      <c r="UYY2315" s="82"/>
      <c r="UYZ2315" s="82"/>
      <c r="UZA2315" s="82"/>
      <c r="UZB2315" s="82"/>
      <c r="UZC2315" s="82"/>
      <c r="UZD2315" s="82"/>
      <c r="UZE2315" s="82"/>
      <c r="UZF2315" s="82"/>
      <c r="UZG2315" s="82"/>
      <c r="UZH2315" s="82"/>
      <c r="UZI2315" s="82"/>
      <c r="UZJ2315" s="82"/>
      <c r="UZK2315" s="82"/>
      <c r="UZL2315" s="82"/>
      <c r="UZM2315" s="82"/>
      <c r="UZN2315" s="82"/>
      <c r="UZO2315" s="82"/>
      <c r="UZP2315" s="82"/>
      <c r="UZQ2315" s="82"/>
      <c r="UZR2315" s="82"/>
      <c r="UZS2315" s="82"/>
      <c r="UZT2315" s="82"/>
      <c r="UZU2315" s="82"/>
      <c r="UZV2315" s="82"/>
      <c r="UZW2315" s="82"/>
      <c r="UZX2315" s="82"/>
      <c r="UZY2315" s="82"/>
      <c r="UZZ2315" s="82"/>
      <c r="VAA2315" s="82"/>
      <c r="VAB2315" s="82"/>
      <c r="VAC2315" s="82"/>
      <c r="VAD2315" s="82"/>
      <c r="VAE2315" s="82"/>
      <c r="VAF2315" s="82"/>
      <c r="VAG2315" s="82"/>
      <c r="VAH2315" s="82"/>
      <c r="VAI2315" s="82"/>
      <c r="VAJ2315" s="82"/>
      <c r="VAK2315" s="82"/>
      <c r="VAL2315" s="82"/>
      <c r="VAM2315" s="82"/>
      <c r="VAN2315" s="82"/>
      <c r="VAO2315" s="82"/>
      <c r="VAP2315" s="82"/>
      <c r="VAQ2315" s="82"/>
      <c r="VAR2315" s="82"/>
      <c r="VAS2315" s="82"/>
      <c r="VAT2315" s="82"/>
      <c r="VAU2315" s="82"/>
      <c r="VAV2315" s="82"/>
      <c r="VAW2315" s="82"/>
      <c r="VAX2315" s="82"/>
      <c r="VAY2315" s="82"/>
      <c r="VAZ2315" s="82"/>
      <c r="VBA2315" s="82"/>
      <c r="VBB2315" s="82"/>
      <c r="VBC2315" s="82"/>
      <c r="VBD2315" s="82"/>
      <c r="VBE2315" s="82"/>
      <c r="VBF2315" s="82"/>
      <c r="VBG2315" s="82"/>
      <c r="VBH2315" s="82"/>
      <c r="VBI2315" s="82"/>
      <c r="VBJ2315" s="82"/>
      <c r="VBK2315" s="82"/>
      <c r="VBL2315" s="82"/>
      <c r="VBM2315" s="82"/>
      <c r="VBN2315" s="82"/>
      <c r="VBO2315" s="82"/>
      <c r="VBP2315" s="82"/>
      <c r="VBQ2315" s="82"/>
      <c r="VBR2315" s="82"/>
      <c r="VBS2315" s="82"/>
      <c r="VBT2315" s="82"/>
      <c r="VBU2315" s="82"/>
      <c r="VBV2315" s="82"/>
      <c r="VBW2315" s="82"/>
      <c r="VBX2315" s="82"/>
      <c r="VBY2315" s="82"/>
      <c r="VBZ2315" s="82"/>
      <c r="VCA2315" s="82"/>
      <c r="VCB2315" s="82"/>
      <c r="VCC2315" s="82"/>
      <c r="VCD2315" s="82"/>
      <c r="VCE2315" s="82"/>
      <c r="VCF2315" s="82"/>
      <c r="VCG2315" s="82"/>
      <c r="VCH2315" s="82"/>
      <c r="VCI2315" s="82"/>
      <c r="VCJ2315" s="82"/>
      <c r="VCK2315" s="82"/>
      <c r="VCL2315" s="82"/>
      <c r="VCM2315" s="82"/>
      <c r="VCN2315" s="82"/>
      <c r="VCO2315" s="82"/>
      <c r="VCP2315" s="82"/>
      <c r="VCQ2315" s="82"/>
      <c r="VCR2315" s="82"/>
      <c r="VCS2315" s="82"/>
      <c r="VCT2315" s="82"/>
      <c r="VCU2315" s="82"/>
      <c r="VCV2315" s="82"/>
      <c r="VCW2315" s="82"/>
      <c r="VCX2315" s="82"/>
      <c r="VCY2315" s="82"/>
      <c r="VCZ2315" s="82"/>
      <c r="VDA2315" s="82"/>
      <c r="VDB2315" s="82"/>
      <c r="VDC2315" s="82"/>
      <c r="VDD2315" s="82"/>
      <c r="VDE2315" s="82"/>
      <c r="VDF2315" s="82"/>
      <c r="VDG2315" s="82"/>
      <c r="VDH2315" s="82"/>
      <c r="VDI2315" s="82"/>
      <c r="VDJ2315" s="82"/>
      <c r="VDK2315" s="82"/>
      <c r="VDL2315" s="82"/>
      <c r="VDM2315" s="82"/>
      <c r="VDN2315" s="82"/>
      <c r="VDO2315" s="82"/>
      <c r="VDP2315" s="82"/>
      <c r="VDQ2315" s="82"/>
      <c r="VDR2315" s="82"/>
      <c r="VDS2315" s="82"/>
      <c r="VDT2315" s="82"/>
      <c r="VDU2315" s="82"/>
      <c r="VDV2315" s="82"/>
      <c r="VDW2315" s="82"/>
      <c r="VDX2315" s="82"/>
      <c r="VDY2315" s="82"/>
      <c r="VDZ2315" s="82"/>
      <c r="VEA2315" s="82"/>
      <c r="VEB2315" s="82"/>
      <c r="VEC2315" s="82"/>
      <c r="VED2315" s="82"/>
      <c r="VEE2315" s="82"/>
      <c r="VEF2315" s="82"/>
      <c r="VEG2315" s="82"/>
      <c r="VEH2315" s="82"/>
      <c r="VEI2315" s="82"/>
      <c r="VEJ2315" s="82"/>
      <c r="VEK2315" s="82"/>
      <c r="VEL2315" s="82"/>
      <c r="VEM2315" s="82"/>
      <c r="VEN2315" s="82"/>
      <c r="VEO2315" s="82"/>
      <c r="VEP2315" s="82"/>
      <c r="VEQ2315" s="82"/>
      <c r="VER2315" s="82"/>
      <c r="VES2315" s="82"/>
      <c r="VET2315" s="82"/>
      <c r="VEU2315" s="82"/>
      <c r="VEV2315" s="82"/>
      <c r="VEW2315" s="82"/>
      <c r="VEX2315" s="82"/>
      <c r="VEY2315" s="82"/>
      <c r="VEZ2315" s="82"/>
      <c r="VFA2315" s="82"/>
      <c r="VFB2315" s="82"/>
      <c r="VFC2315" s="82"/>
      <c r="VFD2315" s="82"/>
      <c r="VFE2315" s="82"/>
      <c r="VFF2315" s="82"/>
      <c r="VFG2315" s="82"/>
      <c r="VFH2315" s="82"/>
      <c r="VFI2315" s="82"/>
      <c r="VFJ2315" s="82"/>
      <c r="VFK2315" s="82"/>
      <c r="VFL2315" s="82"/>
      <c r="VFM2315" s="82"/>
      <c r="VFN2315" s="82"/>
      <c r="VFO2315" s="82"/>
      <c r="VFP2315" s="82"/>
      <c r="VFQ2315" s="82"/>
      <c r="VFR2315" s="82"/>
      <c r="VFS2315" s="82"/>
      <c r="VFT2315" s="82"/>
      <c r="VFU2315" s="82"/>
      <c r="VFV2315" s="82"/>
      <c r="VFW2315" s="82"/>
      <c r="VFX2315" s="82"/>
      <c r="VFY2315" s="82"/>
      <c r="VFZ2315" s="82"/>
      <c r="VGA2315" s="82"/>
      <c r="VGB2315" s="82"/>
      <c r="VGC2315" s="82"/>
      <c r="VGD2315" s="82"/>
      <c r="VGE2315" s="82"/>
      <c r="VGF2315" s="82"/>
      <c r="VGG2315" s="82"/>
      <c r="VGH2315" s="82"/>
      <c r="VGI2315" s="82"/>
      <c r="VGJ2315" s="82"/>
      <c r="VGK2315" s="82"/>
      <c r="VGL2315" s="82"/>
      <c r="VGM2315" s="82"/>
      <c r="VGN2315" s="82"/>
      <c r="VGO2315" s="82"/>
      <c r="VGP2315" s="82"/>
      <c r="VGQ2315" s="82"/>
      <c r="VGR2315" s="82"/>
      <c r="VGS2315" s="82"/>
      <c r="VGT2315" s="82"/>
      <c r="VGU2315" s="82"/>
      <c r="VGV2315" s="82"/>
      <c r="VGW2315" s="82"/>
      <c r="VGX2315" s="82"/>
      <c r="VGY2315" s="82"/>
      <c r="VGZ2315" s="82"/>
      <c r="VHA2315" s="82"/>
      <c r="VHB2315" s="82"/>
      <c r="VHC2315" s="82"/>
      <c r="VHD2315" s="82"/>
      <c r="VHE2315" s="82"/>
      <c r="VHF2315" s="82"/>
      <c r="VHG2315" s="82"/>
      <c r="VHH2315" s="82"/>
      <c r="VHI2315" s="82"/>
      <c r="VHJ2315" s="82"/>
      <c r="VHK2315" s="82"/>
      <c r="VHL2315" s="82"/>
      <c r="VHM2315" s="82"/>
      <c r="VHN2315" s="82"/>
      <c r="VHO2315" s="82"/>
      <c r="VHP2315" s="82"/>
      <c r="VHQ2315" s="82"/>
      <c r="VHR2315" s="82"/>
      <c r="VHS2315" s="82"/>
      <c r="VHT2315" s="82"/>
      <c r="VHU2315" s="82"/>
      <c r="VHV2315" s="82"/>
      <c r="VHW2315" s="82"/>
      <c r="VHX2315" s="82"/>
      <c r="VHY2315" s="82"/>
      <c r="VHZ2315" s="82"/>
      <c r="VIA2315" s="82"/>
      <c r="VIB2315" s="82"/>
      <c r="VIC2315" s="82"/>
      <c r="VID2315" s="82"/>
      <c r="VIE2315" s="82"/>
      <c r="VIF2315" s="82"/>
      <c r="VIG2315" s="82"/>
      <c r="VIH2315" s="82"/>
      <c r="VII2315" s="82"/>
      <c r="VIJ2315" s="82"/>
      <c r="VIK2315" s="82"/>
      <c r="VIL2315" s="82"/>
      <c r="VIM2315" s="82"/>
      <c r="VIN2315" s="82"/>
      <c r="VIO2315" s="82"/>
      <c r="VIP2315" s="82"/>
      <c r="VIQ2315" s="82"/>
      <c r="VIR2315" s="82"/>
      <c r="VIS2315" s="82"/>
      <c r="VIT2315" s="82"/>
      <c r="VIU2315" s="82"/>
      <c r="VIV2315" s="82"/>
      <c r="VIW2315" s="82"/>
      <c r="VIX2315" s="82"/>
      <c r="VIY2315" s="82"/>
      <c r="VIZ2315" s="82"/>
      <c r="VJA2315" s="82"/>
      <c r="VJB2315" s="82"/>
      <c r="VJC2315" s="82"/>
      <c r="VJD2315" s="82"/>
      <c r="VJE2315" s="82"/>
      <c r="VJF2315" s="82"/>
      <c r="VJG2315" s="82"/>
      <c r="VJH2315" s="82"/>
      <c r="VJI2315" s="82"/>
      <c r="VJJ2315" s="82"/>
      <c r="VJK2315" s="82"/>
      <c r="VJL2315" s="82"/>
      <c r="VJM2315" s="82"/>
      <c r="VJN2315" s="82"/>
      <c r="VJO2315" s="82"/>
      <c r="VJP2315" s="82"/>
      <c r="VJQ2315" s="82"/>
      <c r="VJR2315" s="82"/>
      <c r="VJS2315" s="82"/>
      <c r="VJT2315" s="82"/>
      <c r="VJU2315" s="82"/>
      <c r="VJV2315" s="82"/>
      <c r="VJW2315" s="82"/>
      <c r="VJX2315" s="82"/>
      <c r="VJY2315" s="82"/>
      <c r="VJZ2315" s="82"/>
      <c r="VKA2315" s="82"/>
      <c r="VKB2315" s="82"/>
      <c r="VKC2315" s="82"/>
      <c r="VKD2315" s="82"/>
      <c r="VKE2315" s="82"/>
      <c r="VKF2315" s="82"/>
      <c r="VKG2315" s="82"/>
      <c r="VKH2315" s="82"/>
      <c r="VKI2315" s="82"/>
      <c r="VKJ2315" s="82"/>
      <c r="VKK2315" s="82"/>
      <c r="VKL2315" s="82"/>
      <c r="VKM2315" s="82"/>
      <c r="VKN2315" s="82"/>
      <c r="VKO2315" s="82"/>
      <c r="VKP2315" s="82"/>
      <c r="VKQ2315" s="82"/>
      <c r="VKR2315" s="82"/>
      <c r="VKS2315" s="82"/>
      <c r="VKT2315" s="82"/>
      <c r="VKU2315" s="82"/>
      <c r="VKV2315" s="82"/>
      <c r="VKW2315" s="82"/>
      <c r="VKX2315" s="82"/>
      <c r="VKY2315" s="82"/>
      <c r="VKZ2315" s="82"/>
      <c r="VLA2315" s="82"/>
      <c r="VLB2315" s="82"/>
      <c r="VLC2315" s="82"/>
      <c r="VLD2315" s="82"/>
      <c r="VLE2315" s="82"/>
      <c r="VLF2315" s="82"/>
      <c r="VLG2315" s="82"/>
      <c r="VLH2315" s="82"/>
      <c r="VLI2315" s="82"/>
      <c r="VLJ2315" s="82"/>
      <c r="VLK2315" s="82"/>
      <c r="VLL2315" s="82"/>
      <c r="VLM2315" s="82"/>
      <c r="VLN2315" s="82"/>
      <c r="VLO2315" s="82"/>
      <c r="VLP2315" s="82"/>
      <c r="VLQ2315" s="82"/>
      <c r="VLR2315" s="82"/>
      <c r="VLS2315" s="82"/>
      <c r="VLT2315" s="82"/>
      <c r="VLU2315" s="82"/>
      <c r="VLV2315" s="82"/>
      <c r="VLW2315" s="82"/>
      <c r="VLX2315" s="82"/>
      <c r="VLY2315" s="82"/>
      <c r="VLZ2315" s="82"/>
      <c r="VMA2315" s="82"/>
      <c r="VMB2315" s="82"/>
      <c r="VMC2315" s="82"/>
      <c r="VMD2315" s="82"/>
      <c r="VME2315" s="82"/>
      <c r="VMF2315" s="82"/>
      <c r="VMG2315" s="82"/>
      <c r="VMH2315" s="82"/>
      <c r="VMI2315" s="82"/>
      <c r="VMJ2315" s="82"/>
      <c r="VMK2315" s="82"/>
      <c r="VML2315" s="82"/>
      <c r="VMM2315" s="82"/>
      <c r="VMN2315" s="82"/>
      <c r="VMO2315" s="82"/>
      <c r="VMP2315" s="82"/>
      <c r="VMQ2315" s="82"/>
      <c r="VMR2315" s="82"/>
      <c r="VMS2315" s="82"/>
      <c r="VMT2315" s="82"/>
      <c r="VMU2315" s="82"/>
      <c r="VMV2315" s="82"/>
      <c r="VMW2315" s="82"/>
      <c r="VMX2315" s="82"/>
      <c r="VMY2315" s="82"/>
      <c r="VMZ2315" s="82"/>
      <c r="VNA2315" s="82"/>
      <c r="VNB2315" s="82"/>
      <c r="VNC2315" s="82"/>
      <c r="VND2315" s="82"/>
      <c r="VNE2315" s="82"/>
      <c r="VNF2315" s="82"/>
      <c r="VNG2315" s="82"/>
      <c r="VNH2315" s="82"/>
      <c r="VNI2315" s="82"/>
      <c r="VNJ2315" s="82"/>
      <c r="VNK2315" s="82"/>
      <c r="VNL2315" s="82"/>
      <c r="VNM2315" s="82"/>
      <c r="VNN2315" s="82"/>
      <c r="VNO2315" s="82"/>
      <c r="VNP2315" s="82"/>
      <c r="VNQ2315" s="82"/>
      <c r="VNR2315" s="82"/>
      <c r="VNS2315" s="82"/>
      <c r="VNT2315" s="82"/>
      <c r="VNU2315" s="82"/>
      <c r="VNV2315" s="82"/>
      <c r="VNW2315" s="82"/>
      <c r="VNX2315" s="82"/>
      <c r="VNY2315" s="82"/>
      <c r="VNZ2315" s="82"/>
      <c r="VOA2315" s="82"/>
      <c r="VOB2315" s="82"/>
      <c r="VOC2315" s="82"/>
      <c r="VOD2315" s="82"/>
      <c r="VOE2315" s="82"/>
      <c r="VOF2315" s="82"/>
      <c r="VOG2315" s="82"/>
      <c r="VOH2315" s="82"/>
      <c r="VOI2315" s="82"/>
      <c r="VOJ2315" s="82"/>
      <c r="VOK2315" s="82"/>
      <c r="VOL2315" s="82"/>
      <c r="VOM2315" s="82"/>
      <c r="VON2315" s="82"/>
      <c r="VOO2315" s="82"/>
      <c r="VOP2315" s="82"/>
      <c r="VOQ2315" s="82"/>
      <c r="VOR2315" s="82"/>
      <c r="VOS2315" s="82"/>
      <c r="VOT2315" s="82"/>
      <c r="VOU2315" s="82"/>
      <c r="VOV2315" s="82"/>
      <c r="VOW2315" s="82"/>
      <c r="VOX2315" s="82"/>
      <c r="VOY2315" s="82"/>
      <c r="VOZ2315" s="82"/>
      <c r="VPA2315" s="82"/>
      <c r="VPB2315" s="82"/>
      <c r="VPC2315" s="82"/>
      <c r="VPD2315" s="82"/>
      <c r="VPE2315" s="82"/>
      <c r="VPF2315" s="82"/>
      <c r="VPG2315" s="82"/>
      <c r="VPH2315" s="82"/>
      <c r="VPI2315" s="82"/>
      <c r="VPJ2315" s="82"/>
      <c r="VPK2315" s="82"/>
      <c r="VPL2315" s="82"/>
      <c r="VPM2315" s="82"/>
      <c r="VPN2315" s="82"/>
      <c r="VPO2315" s="82"/>
      <c r="VPP2315" s="82"/>
      <c r="VPQ2315" s="82"/>
      <c r="VPR2315" s="82"/>
      <c r="VPS2315" s="82"/>
      <c r="VPT2315" s="82"/>
      <c r="VPU2315" s="82"/>
      <c r="VPV2315" s="82"/>
      <c r="VPW2315" s="82"/>
      <c r="VPX2315" s="82"/>
      <c r="VPY2315" s="82"/>
      <c r="VPZ2315" s="82"/>
      <c r="VQA2315" s="82"/>
      <c r="VQB2315" s="82"/>
      <c r="VQC2315" s="82"/>
      <c r="VQD2315" s="82"/>
      <c r="VQE2315" s="82"/>
      <c r="VQF2315" s="82"/>
      <c r="VQG2315" s="82"/>
      <c r="VQH2315" s="82"/>
      <c r="VQI2315" s="82"/>
      <c r="VQJ2315" s="82"/>
      <c r="VQK2315" s="82"/>
      <c r="VQL2315" s="82"/>
      <c r="VQM2315" s="82"/>
      <c r="VQN2315" s="82"/>
      <c r="VQO2315" s="82"/>
      <c r="VQP2315" s="82"/>
      <c r="VQQ2315" s="82"/>
      <c r="VQR2315" s="82"/>
      <c r="VQS2315" s="82"/>
      <c r="VQT2315" s="82"/>
      <c r="VQU2315" s="82"/>
      <c r="VQV2315" s="82"/>
      <c r="VQW2315" s="82"/>
      <c r="VQX2315" s="82"/>
      <c r="VQY2315" s="82"/>
      <c r="VQZ2315" s="82"/>
      <c r="VRA2315" s="82"/>
      <c r="VRB2315" s="82"/>
      <c r="VRC2315" s="82"/>
      <c r="VRD2315" s="82"/>
      <c r="VRE2315" s="82"/>
      <c r="VRF2315" s="82"/>
      <c r="VRG2315" s="82"/>
      <c r="VRH2315" s="82"/>
      <c r="VRI2315" s="82"/>
      <c r="VRJ2315" s="82"/>
      <c r="VRK2315" s="82"/>
      <c r="VRL2315" s="82"/>
      <c r="VRM2315" s="82"/>
      <c r="VRN2315" s="82"/>
      <c r="VRO2315" s="82"/>
      <c r="VRP2315" s="82"/>
      <c r="VRQ2315" s="82"/>
      <c r="VRR2315" s="82"/>
      <c r="VRS2315" s="82"/>
      <c r="VRT2315" s="82"/>
      <c r="VRU2315" s="82"/>
      <c r="VRV2315" s="82"/>
      <c r="VRW2315" s="82"/>
      <c r="VRX2315" s="82"/>
      <c r="VRY2315" s="82"/>
      <c r="VRZ2315" s="82"/>
      <c r="VSA2315" s="82"/>
      <c r="VSB2315" s="82"/>
      <c r="VSC2315" s="82"/>
      <c r="VSD2315" s="82"/>
      <c r="VSE2315" s="82"/>
      <c r="VSF2315" s="82"/>
      <c r="VSG2315" s="82"/>
      <c r="VSH2315" s="82"/>
      <c r="VSI2315" s="82"/>
      <c r="VSJ2315" s="82"/>
      <c r="VSK2315" s="82"/>
      <c r="VSL2315" s="82"/>
      <c r="VSM2315" s="82"/>
      <c r="VSN2315" s="82"/>
      <c r="VSO2315" s="82"/>
      <c r="VSP2315" s="82"/>
      <c r="VSQ2315" s="82"/>
      <c r="VSR2315" s="82"/>
      <c r="VSS2315" s="82"/>
      <c r="VST2315" s="82"/>
      <c r="VSU2315" s="82"/>
      <c r="VSV2315" s="82"/>
      <c r="VSW2315" s="82"/>
      <c r="VSX2315" s="82"/>
      <c r="VSY2315" s="82"/>
      <c r="VSZ2315" s="82"/>
      <c r="VTA2315" s="82"/>
      <c r="VTB2315" s="82"/>
      <c r="VTC2315" s="82"/>
      <c r="VTD2315" s="82"/>
      <c r="VTE2315" s="82"/>
      <c r="VTF2315" s="82"/>
      <c r="VTG2315" s="82"/>
      <c r="VTH2315" s="82"/>
      <c r="VTI2315" s="82"/>
      <c r="VTJ2315" s="82"/>
      <c r="VTK2315" s="82"/>
      <c r="VTL2315" s="82"/>
      <c r="VTM2315" s="82"/>
      <c r="VTN2315" s="82"/>
      <c r="VTO2315" s="82"/>
      <c r="VTP2315" s="82"/>
      <c r="VTQ2315" s="82"/>
      <c r="VTR2315" s="82"/>
      <c r="VTS2315" s="82"/>
      <c r="VTT2315" s="82"/>
      <c r="VTU2315" s="82"/>
      <c r="VTV2315" s="82"/>
      <c r="VTW2315" s="82"/>
      <c r="VTX2315" s="82"/>
      <c r="VTY2315" s="82"/>
      <c r="VTZ2315" s="82"/>
      <c r="VUA2315" s="82"/>
      <c r="VUB2315" s="82"/>
      <c r="VUC2315" s="82"/>
      <c r="VUD2315" s="82"/>
      <c r="VUE2315" s="82"/>
      <c r="VUF2315" s="82"/>
      <c r="VUG2315" s="82"/>
      <c r="VUH2315" s="82"/>
      <c r="VUI2315" s="82"/>
      <c r="VUJ2315" s="82"/>
      <c r="VUK2315" s="82"/>
      <c r="VUL2315" s="82"/>
      <c r="VUM2315" s="82"/>
      <c r="VUN2315" s="82"/>
      <c r="VUO2315" s="82"/>
      <c r="VUP2315" s="82"/>
      <c r="VUQ2315" s="82"/>
      <c r="VUR2315" s="82"/>
      <c r="VUS2315" s="82"/>
      <c r="VUT2315" s="82"/>
      <c r="VUU2315" s="82"/>
      <c r="VUV2315" s="82"/>
      <c r="VUW2315" s="82"/>
      <c r="VUX2315" s="82"/>
      <c r="VUY2315" s="82"/>
      <c r="VUZ2315" s="82"/>
      <c r="VVA2315" s="82"/>
      <c r="VVB2315" s="82"/>
      <c r="VVC2315" s="82"/>
      <c r="VVD2315" s="82"/>
      <c r="VVE2315" s="82"/>
      <c r="VVF2315" s="82"/>
      <c r="VVG2315" s="82"/>
      <c r="VVH2315" s="82"/>
      <c r="VVI2315" s="82"/>
      <c r="VVJ2315" s="82"/>
      <c r="VVK2315" s="82"/>
      <c r="VVL2315" s="82"/>
      <c r="VVM2315" s="82"/>
      <c r="VVN2315" s="82"/>
      <c r="VVO2315" s="82"/>
      <c r="VVP2315" s="82"/>
      <c r="VVQ2315" s="82"/>
      <c r="VVR2315" s="82"/>
      <c r="VVS2315" s="82"/>
      <c r="VVT2315" s="82"/>
      <c r="VVU2315" s="82"/>
      <c r="VVV2315" s="82"/>
      <c r="VVW2315" s="82"/>
      <c r="VVX2315" s="82"/>
      <c r="VVY2315" s="82"/>
      <c r="VVZ2315" s="82"/>
      <c r="VWA2315" s="82"/>
      <c r="VWB2315" s="82"/>
      <c r="VWC2315" s="82"/>
      <c r="VWD2315" s="82"/>
      <c r="VWE2315" s="82"/>
      <c r="VWF2315" s="82"/>
      <c r="VWG2315" s="82"/>
      <c r="VWH2315" s="82"/>
      <c r="VWI2315" s="82"/>
      <c r="VWJ2315" s="82"/>
      <c r="VWK2315" s="82"/>
      <c r="VWL2315" s="82"/>
      <c r="VWM2315" s="82"/>
      <c r="VWN2315" s="82"/>
      <c r="VWO2315" s="82"/>
      <c r="VWP2315" s="82"/>
      <c r="VWQ2315" s="82"/>
      <c r="VWR2315" s="82"/>
      <c r="VWS2315" s="82"/>
      <c r="VWT2315" s="82"/>
      <c r="VWU2315" s="82"/>
      <c r="VWV2315" s="82"/>
      <c r="VWW2315" s="82"/>
      <c r="VWX2315" s="82"/>
      <c r="VWY2315" s="82"/>
      <c r="VWZ2315" s="82"/>
      <c r="VXA2315" s="82"/>
      <c r="VXB2315" s="82"/>
      <c r="VXC2315" s="82"/>
      <c r="VXD2315" s="82"/>
      <c r="VXE2315" s="82"/>
      <c r="VXF2315" s="82"/>
      <c r="VXG2315" s="82"/>
      <c r="VXH2315" s="82"/>
      <c r="VXI2315" s="82"/>
      <c r="VXJ2315" s="82"/>
      <c r="VXK2315" s="82"/>
      <c r="VXL2315" s="82"/>
      <c r="VXM2315" s="82"/>
      <c r="VXN2315" s="82"/>
      <c r="VXO2315" s="82"/>
      <c r="VXP2315" s="82"/>
      <c r="VXQ2315" s="82"/>
      <c r="VXR2315" s="82"/>
      <c r="VXS2315" s="82"/>
      <c r="VXT2315" s="82"/>
      <c r="VXU2315" s="82"/>
      <c r="VXV2315" s="82"/>
      <c r="VXW2315" s="82"/>
      <c r="VXX2315" s="82"/>
      <c r="VXY2315" s="82"/>
      <c r="VXZ2315" s="82"/>
      <c r="VYA2315" s="82"/>
      <c r="VYB2315" s="82"/>
      <c r="VYC2315" s="82"/>
      <c r="VYD2315" s="82"/>
      <c r="VYE2315" s="82"/>
      <c r="VYF2315" s="82"/>
      <c r="VYG2315" s="82"/>
      <c r="VYH2315" s="82"/>
      <c r="VYI2315" s="82"/>
      <c r="VYJ2315" s="82"/>
      <c r="VYK2315" s="82"/>
      <c r="VYL2315" s="82"/>
      <c r="VYM2315" s="82"/>
      <c r="VYN2315" s="82"/>
      <c r="VYO2315" s="82"/>
      <c r="VYP2315" s="82"/>
      <c r="VYQ2315" s="82"/>
      <c r="VYR2315" s="82"/>
      <c r="VYS2315" s="82"/>
      <c r="VYT2315" s="82"/>
      <c r="VYU2315" s="82"/>
      <c r="VYV2315" s="82"/>
      <c r="VYW2315" s="82"/>
      <c r="VYX2315" s="82"/>
      <c r="VYY2315" s="82"/>
      <c r="VYZ2315" s="82"/>
      <c r="VZA2315" s="82"/>
      <c r="VZB2315" s="82"/>
      <c r="VZC2315" s="82"/>
      <c r="VZD2315" s="82"/>
      <c r="VZE2315" s="82"/>
      <c r="VZF2315" s="82"/>
      <c r="VZG2315" s="82"/>
      <c r="VZH2315" s="82"/>
      <c r="VZI2315" s="82"/>
      <c r="VZJ2315" s="82"/>
      <c r="VZK2315" s="82"/>
      <c r="VZL2315" s="82"/>
      <c r="VZM2315" s="82"/>
      <c r="VZN2315" s="82"/>
      <c r="VZO2315" s="82"/>
      <c r="VZP2315" s="82"/>
      <c r="VZQ2315" s="82"/>
      <c r="VZR2315" s="82"/>
      <c r="VZS2315" s="82"/>
      <c r="VZT2315" s="82"/>
      <c r="VZU2315" s="82"/>
      <c r="VZV2315" s="82"/>
      <c r="VZW2315" s="82"/>
      <c r="VZX2315" s="82"/>
      <c r="VZY2315" s="82"/>
      <c r="VZZ2315" s="82"/>
      <c r="WAA2315" s="82"/>
      <c r="WAB2315" s="82"/>
      <c r="WAC2315" s="82"/>
      <c r="WAD2315" s="82"/>
      <c r="WAE2315" s="82"/>
      <c r="WAF2315" s="82"/>
      <c r="WAG2315" s="82"/>
      <c r="WAH2315" s="82"/>
      <c r="WAI2315" s="82"/>
      <c r="WAJ2315" s="82"/>
      <c r="WAK2315" s="82"/>
      <c r="WAL2315" s="82"/>
      <c r="WAM2315" s="82"/>
      <c r="WAN2315" s="82"/>
      <c r="WAO2315" s="82"/>
      <c r="WAP2315" s="82"/>
      <c r="WAQ2315" s="82"/>
      <c r="WAR2315" s="82"/>
      <c r="WAS2315" s="82"/>
      <c r="WAT2315" s="82"/>
      <c r="WAU2315" s="82"/>
      <c r="WAV2315" s="82"/>
      <c r="WAW2315" s="82"/>
      <c r="WAX2315" s="82"/>
      <c r="WAY2315" s="82"/>
      <c r="WAZ2315" s="82"/>
      <c r="WBA2315" s="82"/>
      <c r="WBB2315" s="82"/>
      <c r="WBC2315" s="82"/>
      <c r="WBD2315" s="82"/>
      <c r="WBE2315" s="82"/>
      <c r="WBF2315" s="82"/>
      <c r="WBG2315" s="82"/>
      <c r="WBH2315" s="82"/>
      <c r="WBI2315" s="82"/>
      <c r="WBJ2315" s="82"/>
      <c r="WBK2315" s="82"/>
      <c r="WBL2315" s="82"/>
      <c r="WBM2315" s="82"/>
      <c r="WBN2315" s="82"/>
      <c r="WBO2315" s="82"/>
      <c r="WBP2315" s="82"/>
      <c r="WBQ2315" s="82"/>
      <c r="WBR2315" s="82"/>
      <c r="WBS2315" s="82"/>
      <c r="WBT2315" s="82"/>
      <c r="WBU2315" s="82"/>
      <c r="WBV2315" s="82"/>
      <c r="WBW2315" s="82"/>
      <c r="WBX2315" s="82"/>
      <c r="WBY2315" s="82"/>
      <c r="WBZ2315" s="82"/>
      <c r="WCA2315" s="82"/>
      <c r="WCB2315" s="82"/>
      <c r="WCC2315" s="82"/>
      <c r="WCD2315" s="82"/>
      <c r="WCE2315" s="82"/>
      <c r="WCF2315" s="82"/>
      <c r="WCG2315" s="82"/>
      <c r="WCH2315" s="82"/>
      <c r="WCI2315" s="82"/>
      <c r="WCJ2315" s="82"/>
      <c r="WCK2315" s="82"/>
      <c r="WCL2315" s="82"/>
      <c r="WCM2315" s="82"/>
      <c r="WCN2315" s="82"/>
      <c r="WCO2315" s="82"/>
      <c r="WCP2315" s="82"/>
      <c r="WCQ2315" s="82"/>
      <c r="WCR2315" s="82"/>
      <c r="WCS2315" s="82"/>
      <c r="WCT2315" s="82"/>
      <c r="WCU2315" s="82"/>
      <c r="WCV2315" s="82"/>
      <c r="WCW2315" s="82"/>
      <c r="WCX2315" s="82"/>
      <c r="WCY2315" s="82"/>
      <c r="WCZ2315" s="82"/>
      <c r="WDA2315" s="82"/>
      <c r="WDB2315" s="82"/>
      <c r="WDC2315" s="82"/>
      <c r="WDD2315" s="82"/>
      <c r="WDE2315" s="82"/>
      <c r="WDF2315" s="82"/>
      <c r="WDG2315" s="82"/>
      <c r="WDH2315" s="82"/>
      <c r="WDI2315" s="82"/>
      <c r="WDJ2315" s="82"/>
      <c r="WDK2315" s="82"/>
      <c r="WDL2315" s="82"/>
      <c r="WDM2315" s="82"/>
      <c r="WDN2315" s="82"/>
      <c r="WDO2315" s="82"/>
      <c r="WDP2315" s="82"/>
      <c r="WDQ2315" s="82"/>
      <c r="WDR2315" s="82"/>
      <c r="WDS2315" s="82"/>
      <c r="WDT2315" s="82"/>
      <c r="WDU2315" s="82"/>
      <c r="WDV2315" s="82"/>
      <c r="WDW2315" s="82"/>
      <c r="WDX2315" s="82"/>
      <c r="WDY2315" s="82"/>
      <c r="WDZ2315" s="82"/>
      <c r="WEA2315" s="82"/>
      <c r="WEB2315" s="82"/>
      <c r="WEC2315" s="82"/>
      <c r="WED2315" s="82"/>
      <c r="WEE2315" s="82"/>
      <c r="WEF2315" s="82"/>
      <c r="WEG2315" s="82"/>
      <c r="WEH2315" s="82"/>
      <c r="WEI2315" s="82"/>
      <c r="WEJ2315" s="82"/>
      <c r="WEK2315" s="82"/>
      <c r="WEL2315" s="82"/>
      <c r="WEM2315" s="82"/>
      <c r="WEN2315" s="82"/>
      <c r="WEO2315" s="82"/>
      <c r="WEP2315" s="82"/>
      <c r="WEQ2315" s="82"/>
      <c r="WER2315" s="82"/>
      <c r="WES2315" s="82"/>
      <c r="WET2315" s="82"/>
      <c r="WEU2315" s="82"/>
      <c r="WEV2315" s="82"/>
      <c r="WEW2315" s="82"/>
      <c r="WEX2315" s="82"/>
      <c r="WEY2315" s="82"/>
      <c r="WEZ2315" s="82"/>
      <c r="WFA2315" s="82"/>
      <c r="WFB2315" s="82"/>
      <c r="WFC2315" s="82"/>
      <c r="WFD2315" s="82"/>
      <c r="WFE2315" s="82"/>
      <c r="WFF2315" s="82"/>
      <c r="WFG2315" s="82"/>
      <c r="WFH2315" s="82"/>
      <c r="WFI2315" s="82"/>
      <c r="WFJ2315" s="82"/>
      <c r="WFK2315" s="82"/>
      <c r="WFL2315" s="82"/>
      <c r="WFM2315" s="82"/>
      <c r="WFN2315" s="82"/>
      <c r="WFO2315" s="82"/>
      <c r="WFP2315" s="82"/>
      <c r="WFQ2315" s="82"/>
      <c r="WFR2315" s="82"/>
      <c r="WFS2315" s="82"/>
      <c r="WFT2315" s="82"/>
      <c r="WFU2315" s="82"/>
      <c r="WFV2315" s="82"/>
      <c r="WFW2315" s="82"/>
      <c r="WFX2315" s="82"/>
      <c r="WFY2315" s="82"/>
      <c r="WFZ2315" s="82"/>
      <c r="WGA2315" s="82"/>
      <c r="WGB2315" s="82"/>
      <c r="WGC2315" s="82"/>
      <c r="WGD2315" s="82"/>
      <c r="WGE2315" s="82"/>
      <c r="WGF2315" s="82"/>
      <c r="WGG2315" s="82"/>
      <c r="WGH2315" s="82"/>
      <c r="WGI2315" s="82"/>
      <c r="WGJ2315" s="82"/>
      <c r="WGK2315" s="82"/>
      <c r="WGL2315" s="82"/>
      <c r="WGM2315" s="82"/>
      <c r="WGN2315" s="82"/>
      <c r="WGO2315" s="82"/>
      <c r="WGP2315" s="82"/>
      <c r="WGQ2315" s="82"/>
      <c r="WGR2315" s="82"/>
      <c r="WGS2315" s="82"/>
      <c r="WGT2315" s="82"/>
      <c r="WGU2315" s="82"/>
      <c r="WGV2315" s="82"/>
      <c r="WGW2315" s="82"/>
      <c r="WGX2315" s="82"/>
      <c r="WGY2315" s="82"/>
      <c r="WGZ2315" s="82"/>
      <c r="WHA2315" s="82"/>
      <c r="WHB2315" s="82"/>
      <c r="WHC2315" s="82"/>
      <c r="WHD2315" s="82"/>
      <c r="WHE2315" s="82"/>
      <c r="WHF2315" s="82"/>
      <c r="WHG2315" s="82"/>
      <c r="WHH2315" s="82"/>
      <c r="WHI2315" s="82"/>
      <c r="WHJ2315" s="82"/>
      <c r="WHK2315" s="82"/>
      <c r="WHL2315" s="82"/>
      <c r="WHM2315" s="82"/>
      <c r="WHN2315" s="82"/>
      <c r="WHO2315" s="82"/>
      <c r="WHP2315" s="82"/>
      <c r="WHQ2315" s="82"/>
      <c r="WHR2315" s="82"/>
      <c r="WHS2315" s="82"/>
      <c r="WHT2315" s="82"/>
      <c r="WHU2315" s="82"/>
      <c r="WHV2315" s="82"/>
      <c r="WHW2315" s="82"/>
      <c r="WHX2315" s="82"/>
      <c r="WHY2315" s="82"/>
      <c r="WHZ2315" s="82"/>
      <c r="WIA2315" s="82"/>
      <c r="WIB2315" s="82"/>
      <c r="WIC2315" s="82"/>
      <c r="WID2315" s="82"/>
      <c r="WIE2315" s="82"/>
      <c r="WIF2315" s="82"/>
      <c r="WIG2315" s="82"/>
      <c r="WIH2315" s="82"/>
      <c r="WII2315" s="82"/>
      <c r="WIJ2315" s="82"/>
      <c r="WIK2315" s="82"/>
      <c r="WIL2315" s="82"/>
      <c r="WIM2315" s="82"/>
      <c r="WIN2315" s="82"/>
      <c r="WIO2315" s="82"/>
      <c r="WIP2315" s="82"/>
      <c r="WIQ2315" s="82"/>
      <c r="WIR2315" s="82"/>
      <c r="WIS2315" s="82"/>
      <c r="WIT2315" s="82"/>
      <c r="WIU2315" s="82"/>
      <c r="WIV2315" s="82"/>
      <c r="WIW2315" s="82"/>
      <c r="WIX2315" s="82"/>
      <c r="WIY2315" s="82"/>
      <c r="WIZ2315" s="82"/>
      <c r="WJA2315" s="82"/>
      <c r="WJB2315" s="82"/>
      <c r="WJC2315" s="82"/>
      <c r="WJD2315" s="82"/>
      <c r="WJE2315" s="82"/>
      <c r="WJF2315" s="82"/>
      <c r="WJG2315" s="82"/>
      <c r="WJH2315" s="82"/>
      <c r="WJI2315" s="82"/>
      <c r="WJJ2315" s="82"/>
      <c r="WJK2315" s="82"/>
      <c r="WJL2315" s="82"/>
      <c r="WJM2315" s="82"/>
      <c r="WJN2315" s="82"/>
      <c r="WJO2315" s="82"/>
      <c r="WJP2315" s="82"/>
      <c r="WJQ2315" s="82"/>
      <c r="WJR2315" s="82"/>
      <c r="WJS2315" s="82"/>
      <c r="WJT2315" s="82"/>
      <c r="WJU2315" s="82"/>
      <c r="WJV2315" s="82"/>
      <c r="WJW2315" s="82"/>
      <c r="WJX2315" s="82"/>
      <c r="WJY2315" s="82"/>
      <c r="WJZ2315" s="82"/>
      <c r="WKA2315" s="82"/>
      <c r="WKB2315" s="82"/>
      <c r="WKC2315" s="82"/>
      <c r="WKD2315" s="82"/>
      <c r="WKE2315" s="82"/>
      <c r="WKF2315" s="82"/>
      <c r="WKG2315" s="82"/>
      <c r="WKH2315" s="82"/>
      <c r="WKI2315" s="82"/>
      <c r="WKJ2315" s="82"/>
      <c r="WKK2315" s="82"/>
      <c r="WKL2315" s="82"/>
      <c r="WKM2315" s="82"/>
      <c r="WKN2315" s="82"/>
      <c r="WKO2315" s="82"/>
      <c r="WKP2315" s="82"/>
      <c r="WKQ2315" s="82"/>
      <c r="WKR2315" s="82"/>
      <c r="WKS2315" s="82"/>
      <c r="WKT2315" s="82"/>
      <c r="WKU2315" s="82"/>
      <c r="WKV2315" s="82"/>
      <c r="WKW2315" s="82"/>
      <c r="WKX2315" s="82"/>
      <c r="WKY2315" s="82"/>
      <c r="WKZ2315" s="82"/>
      <c r="WLA2315" s="82"/>
      <c r="WLB2315" s="82"/>
      <c r="WLC2315" s="82"/>
      <c r="WLD2315" s="82"/>
      <c r="WLE2315" s="82"/>
      <c r="WLF2315" s="82"/>
      <c r="WLG2315" s="82"/>
      <c r="WLH2315" s="82"/>
      <c r="WLI2315" s="82"/>
      <c r="WLJ2315" s="82"/>
      <c r="WLK2315" s="82"/>
      <c r="WLL2315" s="82"/>
      <c r="WLM2315" s="82"/>
      <c r="WLN2315" s="82"/>
      <c r="WLO2315" s="82"/>
      <c r="WLP2315" s="82"/>
      <c r="WLQ2315" s="82"/>
      <c r="WLR2315" s="82"/>
      <c r="WLS2315" s="82"/>
      <c r="WLT2315" s="82"/>
      <c r="WLU2315" s="82"/>
      <c r="WLV2315" s="82"/>
      <c r="WLW2315" s="82"/>
      <c r="WLX2315" s="82"/>
      <c r="WLY2315" s="82"/>
      <c r="WLZ2315" s="82"/>
      <c r="WMA2315" s="82"/>
      <c r="WMB2315" s="82"/>
      <c r="WMC2315" s="82"/>
      <c r="WMD2315" s="82"/>
      <c r="WME2315" s="82"/>
      <c r="WMF2315" s="82"/>
      <c r="WMG2315" s="82"/>
      <c r="WMH2315" s="82"/>
      <c r="WMI2315" s="82"/>
      <c r="WMJ2315" s="82"/>
      <c r="WMK2315" s="82"/>
      <c r="WML2315" s="82"/>
      <c r="WMM2315" s="82"/>
      <c r="WMN2315" s="82"/>
      <c r="WMO2315" s="82"/>
      <c r="WMP2315" s="82"/>
      <c r="WMQ2315" s="82"/>
      <c r="WMR2315" s="82"/>
      <c r="WMS2315" s="82"/>
      <c r="WMT2315" s="82"/>
      <c r="WMU2315" s="82"/>
      <c r="WMV2315" s="82"/>
      <c r="WMW2315" s="82"/>
      <c r="WMX2315" s="82"/>
      <c r="WMY2315" s="82"/>
      <c r="WMZ2315" s="82"/>
      <c r="WNA2315" s="82"/>
      <c r="WNB2315" s="82"/>
      <c r="WNC2315" s="82"/>
      <c r="WND2315" s="82"/>
      <c r="WNE2315" s="82"/>
      <c r="WNF2315" s="82"/>
      <c r="WNG2315" s="82"/>
      <c r="WNH2315" s="82"/>
      <c r="WNI2315" s="82"/>
      <c r="WNJ2315" s="82"/>
      <c r="WNK2315" s="82"/>
      <c r="WNL2315" s="82"/>
      <c r="WNM2315" s="82"/>
      <c r="WNN2315" s="82"/>
      <c r="WNO2315" s="82"/>
      <c r="WNP2315" s="82"/>
      <c r="WNQ2315" s="82"/>
      <c r="WNR2315" s="82"/>
      <c r="WNS2315" s="82"/>
      <c r="WNT2315" s="82"/>
      <c r="WNU2315" s="82"/>
      <c r="WNV2315" s="82"/>
      <c r="WNW2315" s="82"/>
      <c r="WNX2315" s="82"/>
      <c r="WNY2315" s="82"/>
      <c r="WNZ2315" s="82"/>
      <c r="WOA2315" s="82"/>
      <c r="WOB2315" s="82"/>
      <c r="WOC2315" s="82"/>
      <c r="WOD2315" s="82"/>
      <c r="WOE2315" s="82"/>
      <c r="WOF2315" s="82"/>
      <c r="WOG2315" s="82"/>
      <c r="WOH2315" s="82"/>
      <c r="WOI2315" s="82"/>
      <c r="WOJ2315" s="82"/>
      <c r="WOK2315" s="82"/>
      <c r="WOL2315" s="82"/>
      <c r="WOM2315" s="82"/>
      <c r="WON2315" s="82"/>
      <c r="WOO2315" s="82"/>
      <c r="WOP2315" s="82"/>
      <c r="WOQ2315" s="82"/>
      <c r="WOR2315" s="82"/>
      <c r="WOS2315" s="82"/>
      <c r="WOT2315" s="82"/>
      <c r="WOU2315" s="82"/>
      <c r="WOV2315" s="82"/>
      <c r="WOW2315" s="82"/>
      <c r="WOX2315" s="82"/>
      <c r="WOY2315" s="82"/>
      <c r="WOZ2315" s="82"/>
      <c r="WPA2315" s="82"/>
      <c r="WPB2315" s="82"/>
      <c r="WPC2315" s="82"/>
      <c r="WPD2315" s="82"/>
      <c r="WPE2315" s="82"/>
      <c r="WPF2315" s="82"/>
      <c r="WPG2315" s="82"/>
      <c r="WPH2315" s="82"/>
      <c r="WPI2315" s="82"/>
      <c r="WPJ2315" s="82"/>
      <c r="WPK2315" s="82"/>
      <c r="WPL2315" s="82"/>
      <c r="WPM2315" s="82"/>
      <c r="WPN2315" s="82"/>
      <c r="WPO2315" s="82"/>
      <c r="WPP2315" s="82"/>
      <c r="WPQ2315" s="82"/>
      <c r="WPR2315" s="82"/>
      <c r="WPS2315" s="82"/>
      <c r="WPT2315" s="82"/>
      <c r="WPU2315" s="82"/>
      <c r="WPV2315" s="82"/>
      <c r="WPW2315" s="82"/>
      <c r="WPX2315" s="82"/>
      <c r="WPY2315" s="82"/>
      <c r="WPZ2315" s="82"/>
      <c r="WQA2315" s="82"/>
      <c r="WQB2315" s="82"/>
      <c r="WQC2315" s="82"/>
      <c r="WQD2315" s="82"/>
      <c r="WQE2315" s="82"/>
      <c r="WQF2315" s="82"/>
      <c r="WQG2315" s="82"/>
      <c r="WQH2315" s="82"/>
      <c r="WQI2315" s="82"/>
      <c r="WQJ2315" s="82"/>
      <c r="WQK2315" s="82"/>
      <c r="WQL2315" s="82"/>
      <c r="WQM2315" s="82"/>
      <c r="WQN2315" s="82"/>
      <c r="WQO2315" s="82"/>
      <c r="WQP2315" s="82"/>
      <c r="WQQ2315" s="82"/>
      <c r="WQR2315" s="82"/>
      <c r="WQS2315" s="82"/>
      <c r="WQT2315" s="82"/>
      <c r="WQU2315" s="82"/>
      <c r="WQV2315" s="82"/>
      <c r="WQW2315" s="82"/>
      <c r="WQX2315" s="82"/>
      <c r="WQY2315" s="82"/>
      <c r="WQZ2315" s="82"/>
      <c r="WRA2315" s="82"/>
      <c r="WRB2315" s="82"/>
      <c r="WRC2315" s="82"/>
      <c r="WRD2315" s="82"/>
      <c r="WRE2315" s="82"/>
      <c r="WRF2315" s="82"/>
      <c r="WRG2315" s="82"/>
      <c r="WRH2315" s="82"/>
      <c r="WRI2315" s="82"/>
      <c r="WRJ2315" s="82"/>
      <c r="WRK2315" s="82"/>
      <c r="WRL2315" s="82"/>
      <c r="WRM2315" s="82"/>
      <c r="WRN2315" s="82"/>
      <c r="WRO2315" s="82"/>
      <c r="WRP2315" s="82"/>
      <c r="WRQ2315" s="82"/>
      <c r="WRR2315" s="82"/>
      <c r="WRS2315" s="82"/>
      <c r="WRT2315" s="82"/>
      <c r="WRU2315" s="82"/>
      <c r="WRV2315" s="82"/>
      <c r="WRW2315" s="82"/>
      <c r="WRX2315" s="82"/>
      <c r="WRY2315" s="82"/>
      <c r="WRZ2315" s="82"/>
      <c r="WSA2315" s="82"/>
      <c r="WSB2315" s="82"/>
      <c r="WSC2315" s="82"/>
      <c r="WSD2315" s="82"/>
      <c r="WSE2315" s="82"/>
      <c r="WSF2315" s="82"/>
      <c r="WSG2315" s="82"/>
      <c r="WSH2315" s="82"/>
      <c r="WSI2315" s="82"/>
      <c r="WSJ2315" s="82"/>
      <c r="WSK2315" s="82"/>
      <c r="WSL2315" s="82"/>
      <c r="WSM2315" s="82"/>
      <c r="WSN2315" s="82"/>
      <c r="WSO2315" s="82"/>
      <c r="WSP2315" s="82"/>
      <c r="WSQ2315" s="82"/>
      <c r="WSR2315" s="82"/>
      <c r="WSS2315" s="82"/>
      <c r="WST2315" s="82"/>
      <c r="WSU2315" s="82"/>
      <c r="WSV2315" s="82"/>
      <c r="WSW2315" s="82"/>
      <c r="WSX2315" s="82"/>
      <c r="WSY2315" s="82"/>
      <c r="WSZ2315" s="82"/>
      <c r="WTA2315" s="82"/>
      <c r="WTB2315" s="82"/>
      <c r="WTC2315" s="82"/>
      <c r="WTD2315" s="82"/>
      <c r="WTE2315" s="82"/>
      <c r="WTF2315" s="82"/>
      <c r="WTG2315" s="82"/>
      <c r="WTH2315" s="82"/>
      <c r="WTI2315" s="82"/>
      <c r="WTJ2315" s="82"/>
      <c r="WTK2315" s="82"/>
      <c r="WTL2315" s="82"/>
      <c r="WTM2315" s="82"/>
      <c r="WTN2315" s="82"/>
      <c r="WTO2315" s="82"/>
      <c r="WTP2315" s="82"/>
      <c r="WTQ2315" s="82"/>
      <c r="WTR2315" s="82"/>
      <c r="WTS2315" s="82"/>
      <c r="WTT2315" s="82"/>
      <c r="WTU2315" s="82"/>
      <c r="WTV2315" s="82"/>
      <c r="WTW2315" s="82"/>
      <c r="WTX2315" s="82"/>
      <c r="WTY2315" s="82"/>
      <c r="WTZ2315" s="82"/>
      <c r="WUA2315" s="82"/>
      <c r="WUB2315" s="82"/>
      <c r="WUC2315" s="82"/>
      <c r="WUD2315" s="82"/>
      <c r="WUE2315" s="82"/>
      <c r="WUF2315" s="82"/>
      <c r="WUG2315" s="82"/>
      <c r="WUH2315" s="82"/>
      <c r="WUI2315" s="82"/>
      <c r="WUJ2315" s="82"/>
      <c r="WUK2315" s="82"/>
      <c r="WUL2315" s="82"/>
      <c r="WUM2315" s="82"/>
      <c r="WUN2315" s="82"/>
      <c r="WUO2315" s="82"/>
      <c r="WUP2315" s="82"/>
      <c r="WUQ2315" s="82"/>
      <c r="WUR2315" s="82"/>
      <c r="WUS2315" s="82"/>
      <c r="WUT2315" s="82"/>
      <c r="WUU2315" s="82"/>
      <c r="WUV2315" s="82"/>
      <c r="WUW2315" s="82"/>
      <c r="WUX2315" s="82"/>
      <c r="WUY2315" s="82"/>
      <c r="WUZ2315" s="82"/>
      <c r="WVA2315" s="82"/>
      <c r="WVB2315" s="82"/>
      <c r="WVC2315" s="82"/>
      <c r="WVD2315" s="82"/>
      <c r="WVE2315" s="82"/>
      <c r="WVF2315" s="82"/>
      <c r="WVG2315" s="82"/>
      <c r="WVH2315" s="82"/>
      <c r="WVI2315" s="82"/>
      <c r="WVJ2315" s="82"/>
      <c r="WVK2315" s="82"/>
      <c r="WVL2315" s="82"/>
      <c r="WVM2315" s="82"/>
      <c r="WVN2315" s="82"/>
      <c r="WVO2315" s="82"/>
      <c r="WVP2315" s="82"/>
      <c r="WVQ2315" s="82"/>
      <c r="WVR2315" s="82"/>
      <c r="WVS2315" s="82"/>
      <c r="WVT2315" s="82"/>
      <c r="WVU2315" s="82"/>
      <c r="WVV2315" s="82"/>
      <c r="WVW2315" s="82"/>
      <c r="WVX2315" s="82"/>
      <c r="WVY2315" s="82"/>
      <c r="WVZ2315" s="82"/>
      <c r="WWA2315" s="82"/>
      <c r="WWB2315" s="82"/>
      <c r="WWC2315" s="82"/>
      <c r="WWD2315" s="82"/>
      <c r="WWE2315" s="82"/>
      <c r="WWF2315" s="82"/>
      <c r="WWG2315" s="82"/>
      <c r="WWH2315" s="82"/>
      <c r="WWI2315" s="82"/>
      <c r="WWJ2315" s="82"/>
      <c r="WWK2315" s="82"/>
      <c r="WWL2315" s="82"/>
      <c r="WWM2315" s="82"/>
      <c r="WWN2315" s="82"/>
      <c r="WWO2315" s="82"/>
      <c r="WWP2315" s="82"/>
      <c r="WWQ2315" s="82"/>
      <c r="WWR2315" s="82"/>
      <c r="WWS2315" s="82"/>
      <c r="WWT2315" s="82"/>
      <c r="WWU2315" s="82"/>
      <c r="WWV2315" s="82"/>
      <c r="WWW2315" s="82"/>
      <c r="WWX2315" s="82"/>
      <c r="WWY2315" s="82"/>
      <c r="WWZ2315" s="82"/>
      <c r="WXA2315" s="82"/>
      <c r="WXB2315" s="82"/>
      <c r="WXC2315" s="82"/>
      <c r="WXD2315" s="82"/>
      <c r="WXE2315" s="82"/>
      <c r="WXF2315" s="82"/>
      <c r="WXG2315" s="82"/>
      <c r="WXH2315" s="82"/>
      <c r="WXI2315" s="82"/>
      <c r="WXJ2315" s="82"/>
      <c r="WXK2315" s="82"/>
      <c r="WXL2315" s="82"/>
      <c r="WXM2315" s="82"/>
      <c r="WXN2315" s="82"/>
      <c r="WXO2315" s="82"/>
      <c r="WXP2315" s="82"/>
      <c r="WXQ2315" s="82"/>
      <c r="WXR2315" s="82"/>
      <c r="WXS2315" s="82"/>
      <c r="WXT2315" s="82"/>
      <c r="WXU2315" s="82"/>
      <c r="WXV2315" s="82"/>
      <c r="WXW2315" s="82"/>
      <c r="WXX2315" s="82"/>
      <c r="WXY2315" s="82"/>
      <c r="WXZ2315" s="82"/>
      <c r="WYA2315" s="82"/>
      <c r="WYB2315" s="82"/>
      <c r="WYC2315" s="82"/>
      <c r="WYD2315" s="82"/>
      <c r="WYE2315" s="82"/>
      <c r="WYF2315" s="82"/>
      <c r="WYG2315" s="82"/>
      <c r="WYH2315" s="82"/>
      <c r="WYI2315" s="82"/>
      <c r="WYJ2315" s="82"/>
      <c r="WYK2315" s="82"/>
      <c r="WYL2315" s="82"/>
      <c r="WYM2315" s="82"/>
      <c r="WYN2315" s="82"/>
      <c r="WYO2315" s="82"/>
      <c r="WYP2315" s="82"/>
      <c r="WYQ2315" s="82"/>
      <c r="WYR2315" s="82"/>
      <c r="WYS2315" s="82"/>
      <c r="WYT2315" s="82"/>
      <c r="WYU2315" s="82"/>
      <c r="WYV2315" s="82"/>
      <c r="WYW2315" s="82"/>
      <c r="WYX2315" s="82"/>
      <c r="WYY2315" s="82"/>
      <c r="WYZ2315" s="82"/>
      <c r="WZA2315" s="82"/>
      <c r="WZB2315" s="82"/>
      <c r="WZC2315" s="82"/>
      <c r="WZD2315" s="82"/>
      <c r="WZE2315" s="82"/>
      <c r="WZF2315" s="82"/>
      <c r="WZG2315" s="82"/>
      <c r="WZH2315" s="82"/>
      <c r="WZI2315" s="82"/>
      <c r="WZJ2315" s="82"/>
      <c r="WZK2315" s="82"/>
      <c r="WZL2315" s="82"/>
      <c r="WZM2315" s="82"/>
      <c r="WZN2315" s="82"/>
      <c r="WZO2315" s="82"/>
      <c r="WZP2315" s="82"/>
      <c r="WZQ2315" s="82"/>
      <c r="WZR2315" s="82"/>
      <c r="WZS2315" s="82"/>
      <c r="WZT2315" s="82"/>
      <c r="WZU2315" s="82"/>
      <c r="WZV2315" s="82"/>
      <c r="WZW2315" s="82"/>
      <c r="WZX2315" s="82"/>
      <c r="WZY2315" s="82"/>
      <c r="WZZ2315" s="82"/>
      <c r="XAA2315" s="82"/>
      <c r="XAB2315" s="82"/>
      <c r="XAC2315" s="82"/>
      <c r="XAD2315" s="82"/>
      <c r="XAE2315" s="82"/>
      <c r="XAF2315" s="82"/>
      <c r="XAG2315" s="82"/>
      <c r="XAH2315" s="82"/>
      <c r="XAI2315" s="82"/>
      <c r="XAJ2315" s="82"/>
      <c r="XAK2315" s="82"/>
      <c r="XAL2315" s="82"/>
      <c r="XAM2315" s="82"/>
      <c r="XAN2315" s="82"/>
      <c r="XAO2315" s="82"/>
      <c r="XAP2315" s="82"/>
      <c r="XAQ2315" s="82"/>
      <c r="XAR2315" s="82"/>
      <c r="XAS2315" s="82"/>
      <c r="XAT2315" s="82"/>
      <c r="XAU2315" s="82"/>
      <c r="XAV2315" s="82"/>
      <c r="XAW2315" s="82"/>
      <c r="XAX2315" s="82"/>
      <c r="XAY2315" s="82"/>
      <c r="XAZ2315" s="82"/>
      <c r="XBA2315" s="82"/>
      <c r="XBB2315" s="82"/>
      <c r="XBC2315" s="82"/>
      <c r="XBD2315" s="82"/>
      <c r="XBE2315" s="82"/>
      <c r="XBF2315" s="82"/>
      <c r="XBG2315" s="82"/>
      <c r="XBH2315" s="82"/>
      <c r="XBI2315" s="82"/>
      <c r="XBJ2315" s="82"/>
      <c r="XBK2315" s="82"/>
      <c r="XBL2315" s="82"/>
      <c r="XBM2315" s="82"/>
      <c r="XBN2315" s="82"/>
      <c r="XBO2315" s="82"/>
      <c r="XBP2315" s="82"/>
      <c r="XBQ2315" s="82"/>
      <c r="XBR2315" s="82"/>
      <c r="XBS2315" s="82"/>
      <c r="XBT2315" s="82"/>
      <c r="XBU2315" s="82"/>
      <c r="XBV2315" s="82"/>
      <c r="XBW2315" s="82"/>
      <c r="XBX2315" s="82"/>
      <c r="XBY2315" s="82"/>
      <c r="XBZ2315" s="82"/>
      <c r="XCA2315" s="82"/>
      <c r="XCB2315" s="82"/>
      <c r="XCC2315" s="82"/>
      <c r="XCD2315" s="82"/>
      <c r="XCE2315" s="82"/>
      <c r="XCF2315" s="82"/>
      <c r="XCG2315" s="82"/>
      <c r="XCH2315" s="82"/>
      <c r="XCI2315" s="82"/>
      <c r="XCJ2315" s="82"/>
      <c r="XCK2315" s="82"/>
      <c r="XCL2315" s="82"/>
      <c r="XCM2315" s="82"/>
      <c r="XCN2315" s="82"/>
      <c r="XCO2315" s="82"/>
      <c r="XCP2315" s="82"/>
      <c r="XCQ2315" s="82"/>
      <c r="XCR2315" s="82"/>
      <c r="XCS2315" s="82"/>
      <c r="XCT2315" s="82"/>
      <c r="XCU2315" s="82"/>
      <c r="XCV2315" s="82"/>
      <c r="XCW2315" s="82"/>
      <c r="XCX2315" s="82"/>
      <c r="XCY2315" s="82"/>
      <c r="XCZ2315" s="82"/>
      <c r="XDA2315" s="82"/>
      <c r="XDB2315" s="82"/>
      <c r="XDC2315" s="82"/>
      <c r="XDD2315" s="82"/>
      <c r="XDE2315" s="82"/>
      <c r="XDF2315" s="82"/>
      <c r="XDG2315" s="82"/>
      <c r="XDH2315" s="82"/>
      <c r="XDI2315" s="82"/>
      <c r="XDJ2315" s="82"/>
      <c r="XDK2315" s="82"/>
      <c r="XDL2315" s="82"/>
      <c r="XDM2315" s="82"/>
      <c r="XDN2315" s="82"/>
      <c r="XDO2315" s="82"/>
      <c r="XDP2315" s="82"/>
      <c r="XDQ2315" s="82"/>
      <c r="XDR2315" s="82"/>
      <c r="XDS2315" s="82"/>
      <c r="XDT2315" s="82"/>
      <c r="XDU2315" s="82"/>
      <c r="XDV2315" s="82"/>
      <c r="XDW2315" s="82"/>
      <c r="XDX2315" s="82"/>
      <c r="XDY2315" s="82"/>
      <c r="XDZ2315" s="82"/>
      <c r="XEA2315" s="82"/>
      <c r="XEB2315" s="82"/>
      <c r="XEC2315" s="82"/>
      <c r="XED2315" s="82"/>
      <c r="XEE2315" s="82"/>
      <c r="XEF2315" s="82"/>
      <c r="XEG2315" s="82"/>
      <c r="XEH2315" s="82"/>
      <c r="XEI2315" s="82"/>
      <c r="XEJ2315" s="82"/>
      <c r="XEK2315" s="82"/>
      <c r="XEL2315" s="82"/>
      <c r="XEM2315" s="82"/>
      <c r="XEN2315" s="82"/>
      <c r="XEO2315" s="82"/>
      <c r="XEP2315" s="82"/>
      <c r="XEQ2315" s="82"/>
    </row>
    <row r="2316" spans="1:16371" ht="14.5" x14ac:dyDescent="0.35">
      <c r="A2316" s="12">
        <v>2315</v>
      </c>
      <c r="B2316" s="15" t="s">
        <v>153</v>
      </c>
      <c r="C2316" s="43" t="s">
        <v>1893</v>
      </c>
      <c r="D2316" s="43" t="s">
        <v>1893</v>
      </c>
      <c r="E2316" s="12" t="s">
        <v>187</v>
      </c>
      <c r="F2316" s="13" t="s">
        <v>50</v>
      </c>
      <c r="G2316" s="13" t="s">
        <v>51</v>
      </c>
      <c r="H2316" s="16" t="s">
        <v>78</v>
      </c>
      <c r="I2316" s="16" t="s">
        <v>156</v>
      </c>
      <c r="J2316" s="17">
        <v>0.375</v>
      </c>
      <c r="K2316" s="17"/>
      <c r="L2316" s="17"/>
      <c r="M2316" s="14" t="s">
        <v>2804</v>
      </c>
      <c r="N2316" s="17" t="s">
        <v>98</v>
      </c>
      <c r="O2316" s="17" t="s">
        <v>86</v>
      </c>
      <c r="P2316" s="17"/>
      <c r="Q2316" s="17">
        <v>3.4</v>
      </c>
      <c r="R2316" s="17">
        <v>8.06</v>
      </c>
      <c r="S2316" s="17">
        <v>1.97</v>
      </c>
      <c r="T2316" s="17">
        <v>10.33</v>
      </c>
      <c r="U2316" s="19">
        <f t="shared" si="155"/>
        <v>2.2119635726971567</v>
      </c>
      <c r="V2316" s="41">
        <f t="shared" si="158"/>
        <v>121.19635726971568</v>
      </c>
      <c r="W2316" s="17"/>
      <c r="X2316" s="14" t="s">
        <v>56</v>
      </c>
      <c r="Z2316" s="14" t="s">
        <v>56</v>
      </c>
      <c r="AA2316" s="14"/>
      <c r="AB2316" s="14" t="s">
        <v>111</v>
      </c>
      <c r="AC2316" s="14">
        <v>1983</v>
      </c>
      <c r="AD2316" s="14">
        <v>31</v>
      </c>
      <c r="AE2316" s="14"/>
      <c r="AF2316" s="14"/>
      <c r="AG2316" s="14">
        <v>1982</v>
      </c>
      <c r="AH2316" s="5">
        <f t="shared" si="156"/>
        <v>1</v>
      </c>
      <c r="AI2316" s="5">
        <f t="shared" si="157"/>
        <v>32</v>
      </c>
      <c r="AJ2316" s="5"/>
      <c r="AK2316" s="5" t="s">
        <v>58</v>
      </c>
      <c r="AL2316" s="13" t="s">
        <v>159</v>
      </c>
      <c r="AM2316" s="14">
        <v>2017</v>
      </c>
      <c r="AN2316" s="12" t="s">
        <v>190</v>
      </c>
      <c r="AO2316" s="12" t="s">
        <v>56</v>
      </c>
      <c r="AP2316" s="12"/>
      <c r="AQ2316" s="12" t="s">
        <v>56</v>
      </c>
      <c r="AR2316" s="1" t="s">
        <v>58</v>
      </c>
      <c r="AS2316" s="1" t="s">
        <v>163</v>
      </c>
      <c r="AT2316" s="1"/>
      <c r="AU2316" s="48" t="s">
        <v>2850</v>
      </c>
      <c r="AV2316" s="1"/>
      <c r="AW2316" s="12" t="str">
        <f>B2316&amp;C2316&amp;L2316&amp;M2316&amp;O2316&amp;U2316&amp;AL2316&amp;AM2316</f>
        <v>PhilippinesSumilon Island Reservegeneralist corallivoresdensity2.21196357269716Russ2017</v>
      </c>
    </row>
    <row r="2317" spans="1:16371" ht="14.5" x14ac:dyDescent="0.35">
      <c r="A2317" s="12">
        <v>2316</v>
      </c>
      <c r="B2317" s="12" t="s">
        <v>153</v>
      </c>
      <c r="C2317" s="43" t="s">
        <v>1893</v>
      </c>
      <c r="D2317" s="43" t="s">
        <v>1893</v>
      </c>
      <c r="E2317" s="12" t="s">
        <v>187</v>
      </c>
      <c r="F2317" s="13" t="s">
        <v>50</v>
      </c>
      <c r="G2317" s="13" t="s">
        <v>51</v>
      </c>
      <c r="H2317" s="13" t="s">
        <v>78</v>
      </c>
      <c r="I2317" s="13" t="s">
        <v>156</v>
      </c>
      <c r="J2317" s="14">
        <v>0.375</v>
      </c>
      <c r="K2317" s="14"/>
      <c r="L2317" s="14"/>
      <c r="M2317" s="14" t="s">
        <v>189</v>
      </c>
      <c r="N2317" s="14" t="s">
        <v>98</v>
      </c>
      <c r="O2317" s="17" t="s">
        <v>86</v>
      </c>
      <c r="P2317" s="14"/>
      <c r="Q2317" s="14">
        <v>3.42</v>
      </c>
      <c r="R2317" s="14">
        <v>5.34</v>
      </c>
      <c r="S2317" s="14">
        <v>3.37</v>
      </c>
      <c r="T2317" s="14">
        <v>8.9700000000000006</v>
      </c>
      <c r="U2317" s="19">
        <f t="shared" si="155"/>
        <v>1.7046977628113229</v>
      </c>
      <c r="V2317" s="41">
        <f t="shared" si="158"/>
        <v>70.469776281132283</v>
      </c>
      <c r="W2317" s="17"/>
      <c r="X2317" s="14" t="s">
        <v>56</v>
      </c>
      <c r="Z2317" s="14" t="s">
        <v>56</v>
      </c>
      <c r="AA2317" s="14"/>
      <c r="AB2317" s="14" t="s">
        <v>111</v>
      </c>
      <c r="AC2317" s="14">
        <v>1983</v>
      </c>
      <c r="AD2317" s="14">
        <v>31</v>
      </c>
      <c r="AE2317" s="14"/>
      <c r="AF2317" s="14"/>
      <c r="AG2317" s="14">
        <v>1982</v>
      </c>
      <c r="AH2317" s="5">
        <f t="shared" si="156"/>
        <v>1</v>
      </c>
      <c r="AI2317" s="5">
        <f t="shared" si="157"/>
        <v>32</v>
      </c>
      <c r="AJ2317" s="5"/>
      <c r="AK2317" s="5" t="s">
        <v>58</v>
      </c>
      <c r="AL2317" s="13" t="s">
        <v>159</v>
      </c>
      <c r="AM2317" s="14">
        <v>2017</v>
      </c>
      <c r="AN2317" s="12" t="s">
        <v>190</v>
      </c>
      <c r="AO2317" s="12" t="s">
        <v>56</v>
      </c>
      <c r="AP2317" s="12"/>
      <c r="AQ2317" s="12" t="s">
        <v>56</v>
      </c>
      <c r="AR2317" s="1" t="s">
        <v>58</v>
      </c>
      <c r="AS2317" s="1" t="s">
        <v>163</v>
      </c>
      <c r="AT2317" s="1"/>
      <c r="AU2317" s="48" t="s">
        <v>2850</v>
      </c>
      <c r="AV2317" s="1"/>
      <c r="AW2317" s="12" t="str">
        <f>B2317&amp;C2317&amp;L2317&amp;M2317&amp;O2317&amp;U2317&amp;AL2317&amp;AM2317</f>
        <v>PhilippinesSumilon Island ReserveObligate hard corallivoresdensity1.70469776281132Russ2017</v>
      </c>
    </row>
    <row r="2318" spans="1:16371" ht="14.5" x14ac:dyDescent="0.35">
      <c r="A2318" s="12">
        <v>2317</v>
      </c>
      <c r="B2318" s="15" t="s">
        <v>153</v>
      </c>
      <c r="C2318" s="44" t="s">
        <v>1893</v>
      </c>
      <c r="D2318" s="44" t="s">
        <v>1893</v>
      </c>
      <c r="E2318" s="15" t="s">
        <v>187</v>
      </c>
      <c r="F2318" s="16" t="s">
        <v>50</v>
      </c>
      <c r="G2318" s="16" t="s">
        <v>51</v>
      </c>
      <c r="H2318" s="16" t="s">
        <v>78</v>
      </c>
      <c r="I2318" s="16" t="s">
        <v>156</v>
      </c>
      <c r="J2318" s="14">
        <v>0.375</v>
      </c>
      <c r="K2318" s="17"/>
      <c r="L2318" s="17" t="s">
        <v>188</v>
      </c>
      <c r="M2318" s="17"/>
      <c r="N2318" s="17" t="s">
        <v>120</v>
      </c>
      <c r="O2318" s="17" t="s">
        <v>55</v>
      </c>
      <c r="P2318" s="17"/>
      <c r="Q2318" s="17">
        <v>3.2</v>
      </c>
      <c r="R2318" s="17">
        <v>6.29</v>
      </c>
      <c r="S2318" s="17">
        <v>2.78</v>
      </c>
      <c r="T2318" s="17">
        <v>6.54</v>
      </c>
      <c r="U2318" s="19">
        <f t="shared" si="155"/>
        <v>1.1968294998341551</v>
      </c>
      <c r="V2318" s="41">
        <f t="shared" si="158"/>
        <v>19.682949983415511</v>
      </c>
      <c r="W2318" s="17"/>
      <c r="X2318" s="14" t="s">
        <v>56</v>
      </c>
      <c r="Z2318" s="14" t="s">
        <v>56</v>
      </c>
      <c r="AA2318" s="14"/>
      <c r="AB2318" s="14" t="s">
        <v>111</v>
      </c>
      <c r="AC2318" s="14">
        <v>1983</v>
      </c>
      <c r="AD2318" s="14">
        <v>31</v>
      </c>
      <c r="AE2318" s="14"/>
      <c r="AF2318" s="14"/>
      <c r="AG2318" s="14">
        <v>1982</v>
      </c>
      <c r="AH2318" s="5">
        <f t="shared" si="156"/>
        <v>1</v>
      </c>
      <c r="AI2318" s="5">
        <f t="shared" si="157"/>
        <v>32</v>
      </c>
      <c r="AJ2318" s="5"/>
      <c r="AK2318" s="5" t="s">
        <v>58</v>
      </c>
      <c r="AL2318" s="13" t="s">
        <v>159</v>
      </c>
      <c r="AM2318" s="14">
        <v>2017</v>
      </c>
      <c r="AN2318" s="12" t="s">
        <v>190</v>
      </c>
      <c r="AO2318" s="12" t="s">
        <v>56</v>
      </c>
      <c r="AP2318" s="12"/>
      <c r="AQ2318" s="12" t="s">
        <v>56</v>
      </c>
      <c r="AR2318" s="1" t="s">
        <v>58</v>
      </c>
      <c r="AS2318" s="1" t="s">
        <v>163</v>
      </c>
      <c r="AT2318" s="1"/>
      <c r="AU2318" s="48" t="s">
        <v>2850</v>
      </c>
      <c r="AV2318" s="1"/>
      <c r="AW2318" s="12" t="str">
        <f>B2318&amp;C2318&amp;L2318&amp;M2318&amp;O2318&amp;U2318&amp;AL2318&amp;AM2318</f>
        <v>PhilippinesSumilon Island ReserveChaetodontidaerichness1.19682949983416Russ2017</v>
      </c>
    </row>
    <row r="2319" spans="1:16371" ht="14.5" x14ac:dyDescent="0.35">
      <c r="A2319" s="12">
        <v>2318</v>
      </c>
      <c r="B2319" s="12" t="s">
        <v>153</v>
      </c>
      <c r="C2319" s="44" t="s">
        <v>1893</v>
      </c>
      <c r="D2319" s="44" t="s">
        <v>1893</v>
      </c>
      <c r="E2319" s="12" t="s">
        <v>187</v>
      </c>
      <c r="F2319" s="16" t="s">
        <v>50</v>
      </c>
      <c r="G2319" s="16" t="s">
        <v>51</v>
      </c>
      <c r="H2319" s="13" t="s">
        <v>78</v>
      </c>
      <c r="I2319" s="13" t="s">
        <v>156</v>
      </c>
      <c r="J2319" s="14">
        <v>0.375</v>
      </c>
      <c r="K2319" s="17"/>
      <c r="L2319" s="14"/>
      <c r="M2319" s="14" t="s">
        <v>191</v>
      </c>
      <c r="N2319" s="14" t="s">
        <v>98</v>
      </c>
      <c r="O2319" s="17" t="s">
        <v>101</v>
      </c>
      <c r="P2319" s="14"/>
      <c r="Q2319" s="14"/>
      <c r="R2319" s="14"/>
      <c r="S2319" s="14">
        <v>15.22</v>
      </c>
      <c r="T2319" s="14">
        <v>39.58</v>
      </c>
      <c r="U2319" s="19">
        <f t="shared" si="155"/>
        <v>2.600525624178712</v>
      </c>
      <c r="V2319" s="41">
        <f t="shared" si="158"/>
        <v>160.0525624178712</v>
      </c>
      <c r="W2319" s="17"/>
      <c r="X2319" s="14" t="s">
        <v>56</v>
      </c>
      <c r="Z2319" s="14" t="s">
        <v>56</v>
      </c>
      <c r="AA2319" s="14"/>
      <c r="AB2319" s="14" t="s">
        <v>57</v>
      </c>
      <c r="AC2319" s="14">
        <v>1983</v>
      </c>
      <c r="AD2319" s="14">
        <v>31</v>
      </c>
      <c r="AE2319" s="14"/>
      <c r="AF2319" s="14"/>
      <c r="AG2319" s="14">
        <v>1982</v>
      </c>
      <c r="AH2319" s="5">
        <f t="shared" si="156"/>
        <v>1</v>
      </c>
      <c r="AI2319" s="5">
        <f t="shared" si="157"/>
        <v>32</v>
      </c>
      <c r="AJ2319" s="5"/>
      <c r="AK2319" s="5" t="s">
        <v>58</v>
      </c>
      <c r="AL2319" s="13" t="s">
        <v>159</v>
      </c>
      <c r="AM2319" s="14">
        <v>2017</v>
      </c>
      <c r="AN2319" s="12" t="s">
        <v>190</v>
      </c>
      <c r="AO2319" s="12" t="s">
        <v>56</v>
      </c>
      <c r="AP2319" s="12"/>
      <c r="AQ2319" s="12" t="s">
        <v>56</v>
      </c>
      <c r="AR2319" s="1" t="s">
        <v>58</v>
      </c>
      <c r="AS2319" s="1" t="s">
        <v>163</v>
      </c>
      <c r="AT2319" s="1"/>
      <c r="AU2319" s="48" t="s">
        <v>2850</v>
      </c>
      <c r="AV2319" s="1"/>
      <c r="AW2319" s="12" t="str">
        <f>B2319&amp;C2319&amp;L2319&amp;M2319&amp;O2319&amp;U2319&amp;AL2319&amp;AM2319</f>
        <v>PhilippinesSumilon Island Reservebranching and tabular coralcover2.60052562417871Russ2017</v>
      </c>
    </row>
    <row r="2320" spans="1:16371" ht="14.5" x14ac:dyDescent="0.35">
      <c r="A2320" s="1"/>
      <c r="B2320" s="4"/>
      <c r="C2320" s="29"/>
      <c r="D2320" s="29"/>
      <c r="E2320" s="29"/>
      <c r="F2320" s="2"/>
      <c r="G2320" s="2"/>
      <c r="H2320" s="6"/>
      <c r="I2320" s="6"/>
      <c r="J2320" s="18"/>
      <c r="K2320" s="23"/>
      <c r="L2320" s="5"/>
      <c r="M2320" s="5"/>
      <c r="N2320" s="5"/>
      <c r="O2320" s="5"/>
      <c r="P2320" s="5"/>
      <c r="Q2320" s="5"/>
      <c r="R2320" s="5"/>
      <c r="S2320" s="5"/>
      <c r="T2320" s="5"/>
      <c r="U2320" s="5"/>
      <c r="V2320" s="5"/>
      <c r="W2320" s="46"/>
      <c r="X2320" s="78"/>
      <c r="Y2320" s="47"/>
      <c r="Z2320" s="78"/>
      <c r="AA2320" s="78"/>
      <c r="AB2320" s="46"/>
      <c r="AC2320" s="46"/>
      <c r="AD2320" s="46"/>
      <c r="AE2320" s="46"/>
      <c r="AF2320" s="46"/>
      <c r="AG2320" s="78"/>
      <c r="AH2320" s="46"/>
      <c r="AI2320" s="46"/>
      <c r="AJ2320" s="46"/>
      <c r="AK2320" s="46"/>
      <c r="AL2320" s="79"/>
      <c r="AM2320" s="46"/>
      <c r="AN2320" s="39"/>
      <c r="AO2320" s="39"/>
      <c r="AP2320" s="39"/>
      <c r="AQ2320" s="39"/>
      <c r="AR2320" s="39"/>
      <c r="AS2320" s="4"/>
      <c r="AT2320" s="4"/>
      <c r="AU2320" s="27"/>
      <c r="AV2320" s="39"/>
      <c r="AW2320" s="4"/>
    </row>
    <row r="2321" spans="1:49" ht="14.5" x14ac:dyDescent="0.35">
      <c r="A2321" s="1"/>
      <c r="B2321" s="4"/>
      <c r="C2321" s="29"/>
      <c r="D2321" s="29"/>
      <c r="E2321" s="29"/>
      <c r="F2321" s="2"/>
      <c r="G2321" s="2"/>
      <c r="H2321" s="6"/>
      <c r="I2321" s="6"/>
      <c r="J2321" s="18"/>
      <c r="K2321" s="23"/>
      <c r="L2321" s="5"/>
      <c r="M2321" s="5"/>
      <c r="N2321" s="5"/>
      <c r="O2321" s="5"/>
      <c r="P2321" s="5"/>
      <c r="Q2321" s="5"/>
      <c r="R2321" s="5"/>
      <c r="S2321" s="5"/>
      <c r="T2321" s="5"/>
      <c r="U2321" s="5"/>
      <c r="V2321" s="5"/>
      <c r="W2321" s="5"/>
      <c r="X2321" s="23"/>
      <c r="Y2321" s="18"/>
      <c r="Z2321" s="23"/>
      <c r="AA2321" s="23"/>
      <c r="AB2321" s="5"/>
      <c r="AC2321" s="5"/>
      <c r="AD2321" s="5"/>
      <c r="AE2321" s="5"/>
      <c r="AF2321" s="5"/>
      <c r="AG2321" s="23"/>
      <c r="AH2321" s="5"/>
      <c r="AI2321" s="5"/>
      <c r="AJ2321" s="5"/>
      <c r="AK2321" s="5"/>
      <c r="AL2321" s="6"/>
      <c r="AM2321" s="5"/>
      <c r="AN2321" s="4"/>
      <c r="AO2321" s="4"/>
      <c r="AP2321" s="4"/>
      <c r="AQ2321" s="4"/>
      <c r="AR2321" s="4"/>
      <c r="AS2321" s="4"/>
      <c r="AT2321" s="4"/>
      <c r="AU2321" s="27"/>
      <c r="AV2321" s="39"/>
      <c r="AW2321" s="4"/>
    </row>
    <row r="2322" spans="1:49" ht="14.5" x14ac:dyDescent="0.35">
      <c r="A2322" s="1"/>
      <c r="B2322" s="4"/>
      <c r="C2322" s="29"/>
      <c r="D2322" s="29"/>
      <c r="E2322" s="29"/>
      <c r="F2322" s="2"/>
      <c r="G2322" s="2"/>
      <c r="H2322" s="6"/>
      <c r="I2322" s="6"/>
      <c r="J2322" s="18"/>
      <c r="K2322" s="23"/>
      <c r="L2322" s="5"/>
      <c r="M2322" s="5"/>
      <c r="N2322" s="5"/>
      <c r="O2322" s="5"/>
      <c r="P2322" s="5"/>
      <c r="Q2322" s="5"/>
      <c r="R2322" s="5"/>
      <c r="S2322" s="5"/>
      <c r="T2322" s="5"/>
      <c r="U2322" s="5"/>
      <c r="V2322" s="5"/>
      <c r="W2322" s="5"/>
      <c r="X2322" s="23"/>
      <c r="Y2322" s="18"/>
      <c r="Z2322" s="23"/>
      <c r="AA2322" s="23"/>
      <c r="AB2322" s="5"/>
      <c r="AC2322" s="5"/>
      <c r="AD2322" s="5"/>
      <c r="AE2322" s="5"/>
      <c r="AF2322" s="5"/>
      <c r="AG2322" s="23"/>
      <c r="AH2322" s="5"/>
      <c r="AI2322" s="5"/>
      <c r="AJ2322" s="5"/>
      <c r="AK2322" s="5"/>
      <c r="AL2322" s="6"/>
      <c r="AM2322" s="5"/>
      <c r="AN2322" s="4"/>
      <c r="AO2322" s="4"/>
      <c r="AP2322" s="4"/>
      <c r="AQ2322" s="4"/>
      <c r="AR2322" s="4"/>
      <c r="AS2322" s="4"/>
      <c r="AT2322" s="4"/>
      <c r="AU2322" s="27"/>
      <c r="AV2322" s="39"/>
      <c r="AW2322" s="4"/>
    </row>
    <row r="2323" spans="1:49" ht="14.5" x14ac:dyDescent="0.35">
      <c r="A2323" s="1"/>
      <c r="B2323" s="4"/>
      <c r="C2323" s="29"/>
      <c r="D2323" s="29"/>
      <c r="E2323" s="29"/>
      <c r="F2323" s="2"/>
      <c r="G2323" s="2"/>
      <c r="H2323" s="6"/>
      <c r="I2323" s="6"/>
      <c r="J2323" s="18"/>
      <c r="K2323" s="23"/>
      <c r="L2323" s="17"/>
      <c r="M2323" s="17"/>
      <c r="N2323" s="17"/>
      <c r="O2323" s="17"/>
      <c r="P2323" s="17"/>
      <c r="Q2323" s="17"/>
      <c r="R2323" s="17"/>
      <c r="S2323" s="17"/>
      <c r="T2323" s="17"/>
      <c r="U2323" s="20"/>
      <c r="V2323" s="5"/>
      <c r="W2323" s="5"/>
      <c r="X2323" s="23"/>
      <c r="Y2323" s="18"/>
      <c r="Z2323" s="23"/>
      <c r="AA2323" s="23"/>
      <c r="AB2323" s="5"/>
      <c r="AC2323" s="5"/>
      <c r="AD2323" s="5"/>
      <c r="AE2323" s="5"/>
      <c r="AF2323" s="5"/>
      <c r="AG2323" s="23"/>
      <c r="AH2323" s="5"/>
      <c r="AI2323" s="5"/>
      <c r="AJ2323" s="5"/>
      <c r="AK2323" s="5"/>
      <c r="AL2323" s="6"/>
      <c r="AM2323" s="5"/>
      <c r="AN2323" s="4"/>
      <c r="AO2323" s="4"/>
      <c r="AP2323" s="4"/>
      <c r="AQ2323" s="4"/>
      <c r="AR2323" s="4"/>
      <c r="AS2323" s="4"/>
      <c r="AT2323" s="4"/>
      <c r="AU2323" s="27"/>
      <c r="AV2323" s="39"/>
      <c r="AW2323" s="4"/>
    </row>
    <row r="2324" spans="1:49" ht="14.5" x14ac:dyDescent="0.35">
      <c r="A2324" s="1"/>
      <c r="B2324" s="4"/>
      <c r="C2324" s="29"/>
      <c r="D2324" s="29"/>
      <c r="E2324" s="29"/>
      <c r="F2324" s="2"/>
      <c r="G2324" s="2"/>
      <c r="H2324" s="6"/>
      <c r="I2324" s="6"/>
      <c r="J2324" s="18"/>
      <c r="K2324" s="23"/>
      <c r="L2324" s="17"/>
      <c r="M2324" s="17"/>
      <c r="N2324" s="17"/>
      <c r="O2324" s="17"/>
      <c r="P2324" s="17"/>
      <c r="Q2324" s="17"/>
      <c r="R2324" s="17"/>
      <c r="S2324" s="17"/>
      <c r="T2324" s="17"/>
      <c r="U2324" s="20"/>
      <c r="V2324" s="5"/>
      <c r="W2324" s="5"/>
      <c r="X2324" s="23"/>
      <c r="Y2324" s="18"/>
      <c r="Z2324" s="23"/>
      <c r="AA2324" s="23"/>
      <c r="AB2324" s="5"/>
      <c r="AC2324" s="5"/>
      <c r="AD2324" s="5"/>
      <c r="AE2324" s="5"/>
      <c r="AF2324" s="5"/>
      <c r="AG2324" s="23"/>
      <c r="AH2324" s="5"/>
      <c r="AI2324" s="5"/>
      <c r="AJ2324" s="5"/>
      <c r="AK2324" s="5"/>
      <c r="AL2324" s="6"/>
      <c r="AM2324" s="5"/>
      <c r="AN2324" s="4"/>
      <c r="AO2324" s="4"/>
      <c r="AP2324" s="4"/>
      <c r="AQ2324" s="4"/>
      <c r="AR2324" s="4"/>
      <c r="AS2324" s="4"/>
      <c r="AT2324" s="4"/>
      <c r="AU2324" s="27"/>
      <c r="AV2324" s="39"/>
      <c r="AW2324" s="4"/>
    </row>
    <row r="2325" spans="1:49" ht="14.5" x14ac:dyDescent="0.35">
      <c r="A2325" s="1"/>
      <c r="B2325" s="4"/>
      <c r="C2325" s="29"/>
      <c r="D2325" s="29"/>
      <c r="E2325" s="29"/>
      <c r="F2325" s="2"/>
      <c r="G2325" s="2"/>
      <c r="H2325" s="6"/>
      <c r="I2325" s="6"/>
      <c r="J2325" s="18"/>
      <c r="K2325" s="23"/>
      <c r="L2325" s="51"/>
      <c r="M2325" s="17"/>
      <c r="N2325" s="17"/>
      <c r="O2325" s="17"/>
      <c r="P2325" s="14"/>
      <c r="Q2325" s="14"/>
      <c r="R2325" s="14"/>
      <c r="S2325" s="14"/>
      <c r="T2325" s="14"/>
      <c r="U2325" s="20"/>
      <c r="V2325" s="5"/>
      <c r="W2325" s="5"/>
      <c r="X2325" s="23"/>
      <c r="Y2325" s="18"/>
      <c r="Z2325" s="23"/>
      <c r="AA2325" s="23"/>
      <c r="AB2325" s="5"/>
      <c r="AC2325" s="5"/>
      <c r="AD2325" s="5"/>
      <c r="AE2325" s="5"/>
      <c r="AF2325" s="5"/>
      <c r="AG2325" s="23"/>
      <c r="AH2325" s="5"/>
      <c r="AI2325" s="5"/>
      <c r="AJ2325" s="5"/>
      <c r="AK2325" s="5"/>
      <c r="AL2325" s="6"/>
      <c r="AM2325" s="5"/>
      <c r="AN2325" s="4"/>
      <c r="AO2325" s="4"/>
      <c r="AP2325" s="4"/>
      <c r="AQ2325" s="4"/>
      <c r="AR2325" s="4"/>
      <c r="AS2325" s="4"/>
      <c r="AT2325" s="4"/>
      <c r="AU2325" s="27"/>
      <c r="AV2325" s="39"/>
      <c r="AW2325" s="4"/>
    </row>
    <row r="2326" spans="1:49" ht="14.5" x14ac:dyDescent="0.35">
      <c r="A2326" s="1"/>
      <c r="B2326" s="4"/>
      <c r="C2326" s="29"/>
      <c r="D2326" s="29"/>
      <c r="E2326" s="29"/>
      <c r="F2326" s="2"/>
      <c r="G2326" s="2"/>
      <c r="H2326" s="6"/>
      <c r="I2326" s="6"/>
      <c r="J2326" s="18"/>
      <c r="K2326" s="23"/>
      <c r="L2326" s="17"/>
      <c r="M2326" s="17"/>
      <c r="N2326" s="17"/>
      <c r="O2326" s="17"/>
      <c r="P2326" s="14"/>
      <c r="Q2326" s="14"/>
      <c r="R2326" s="14"/>
      <c r="S2326" s="14"/>
      <c r="T2326" s="14"/>
      <c r="U2326" s="20"/>
      <c r="V2326" s="5"/>
      <c r="W2326" s="5"/>
      <c r="X2326" s="23"/>
      <c r="Y2326" s="18"/>
      <c r="Z2326" s="23"/>
      <c r="AA2326" s="23"/>
      <c r="AB2326" s="5"/>
      <c r="AC2326" s="5"/>
      <c r="AD2326" s="5"/>
      <c r="AE2326" s="5"/>
      <c r="AF2326" s="5"/>
      <c r="AG2326" s="23"/>
      <c r="AH2326" s="5"/>
      <c r="AI2326" s="5"/>
      <c r="AJ2326" s="5"/>
      <c r="AK2326" s="5"/>
      <c r="AL2326" s="6"/>
      <c r="AM2326" s="5"/>
      <c r="AN2326" s="4"/>
      <c r="AO2326" s="4"/>
      <c r="AP2326" s="4"/>
      <c r="AQ2326" s="4"/>
      <c r="AR2326" s="4"/>
      <c r="AS2326" s="4"/>
      <c r="AT2326" s="4"/>
      <c r="AU2326" s="27"/>
      <c r="AV2326" s="39"/>
      <c r="AW2326" s="4"/>
    </row>
    <row r="2327" spans="1:49" ht="14.5" x14ac:dyDescent="0.35">
      <c r="A2327" s="1"/>
      <c r="B2327" s="4"/>
      <c r="C2327" s="29"/>
      <c r="D2327" s="29"/>
      <c r="E2327" s="29"/>
      <c r="F2327" s="2"/>
      <c r="G2327" s="2"/>
      <c r="H2327" s="6"/>
      <c r="I2327" s="6"/>
      <c r="J2327" s="18"/>
      <c r="K2327" s="23"/>
      <c r="L2327" s="17"/>
      <c r="M2327" s="17"/>
      <c r="N2327" s="17"/>
      <c r="O2327" s="17"/>
      <c r="P2327" s="17"/>
      <c r="Q2327" s="17"/>
      <c r="R2327" s="17"/>
      <c r="S2327" s="17"/>
      <c r="T2327" s="17"/>
      <c r="U2327" s="20"/>
      <c r="V2327" s="5"/>
      <c r="W2327" s="5"/>
      <c r="X2327" s="23"/>
      <c r="Y2327" s="18"/>
      <c r="Z2327" s="23"/>
      <c r="AA2327" s="23"/>
      <c r="AB2327" s="5"/>
      <c r="AC2327" s="5"/>
      <c r="AD2327" s="5"/>
      <c r="AE2327" s="5"/>
      <c r="AF2327" s="5"/>
      <c r="AG2327" s="23"/>
      <c r="AH2327" s="5"/>
      <c r="AI2327" s="5"/>
      <c r="AJ2327" s="5"/>
      <c r="AK2327" s="5"/>
      <c r="AL2327" s="6"/>
      <c r="AM2327" s="5"/>
      <c r="AN2327" s="4"/>
      <c r="AO2327" s="4"/>
      <c r="AP2327" s="4"/>
      <c r="AQ2327" s="4"/>
      <c r="AR2327" s="4"/>
      <c r="AS2327" s="4"/>
      <c r="AT2327" s="4"/>
      <c r="AU2327" s="27"/>
      <c r="AV2327" s="39"/>
      <c r="AW2327" s="4"/>
    </row>
    <row r="2328" spans="1:49" ht="14.5" x14ac:dyDescent="0.35">
      <c r="A2328" s="1"/>
      <c r="B2328" s="4"/>
      <c r="C2328" s="29"/>
      <c r="D2328" s="29"/>
      <c r="E2328" s="29"/>
      <c r="F2328" s="2"/>
      <c r="G2328" s="2"/>
      <c r="H2328" s="6"/>
      <c r="I2328" s="6"/>
      <c r="J2328" s="18"/>
      <c r="K2328" s="23"/>
      <c r="L2328" s="17"/>
      <c r="M2328" s="17"/>
      <c r="N2328" s="17"/>
      <c r="O2328" s="17"/>
      <c r="P2328" s="5"/>
      <c r="Q2328" s="5"/>
      <c r="R2328" s="5"/>
      <c r="S2328" s="5"/>
      <c r="T2328" s="5"/>
      <c r="U2328" s="20"/>
      <c r="V2328" s="5"/>
      <c r="W2328" s="5"/>
      <c r="X2328" s="23"/>
      <c r="Y2328" s="18"/>
      <c r="Z2328" s="23"/>
      <c r="AA2328" s="23"/>
      <c r="AB2328" s="5"/>
      <c r="AC2328" s="5"/>
      <c r="AD2328" s="5"/>
      <c r="AE2328" s="5"/>
      <c r="AF2328" s="5"/>
      <c r="AG2328" s="23"/>
      <c r="AH2328" s="5"/>
      <c r="AI2328" s="5"/>
      <c r="AJ2328" s="5"/>
      <c r="AK2328" s="5"/>
      <c r="AL2328" s="6"/>
      <c r="AM2328" s="5"/>
      <c r="AN2328" s="4"/>
      <c r="AO2328" s="4"/>
      <c r="AP2328" s="4"/>
      <c r="AQ2328" s="4"/>
      <c r="AR2328" s="4"/>
      <c r="AS2328" s="4"/>
      <c r="AT2328" s="4"/>
      <c r="AU2328" s="27"/>
      <c r="AV2328" s="39"/>
      <c r="AW2328" s="4"/>
    </row>
    <row r="2329" spans="1:49" ht="14.5" x14ac:dyDescent="0.35">
      <c r="A2329" s="1"/>
      <c r="B2329" s="4"/>
      <c r="C2329" s="29"/>
      <c r="D2329" s="29"/>
      <c r="E2329" s="29"/>
      <c r="F2329" s="2"/>
      <c r="G2329" s="2"/>
      <c r="H2329" s="6"/>
      <c r="I2329" s="6"/>
      <c r="J2329" s="18"/>
      <c r="K2329" s="23"/>
      <c r="L2329" s="17"/>
      <c r="M2329" s="17"/>
      <c r="N2329" s="17"/>
      <c r="O2329" s="17"/>
      <c r="P2329" s="5"/>
      <c r="Q2329" s="5"/>
      <c r="R2329" s="5"/>
      <c r="S2329" s="5"/>
      <c r="T2329" s="5"/>
      <c r="U2329" s="20"/>
      <c r="V2329" s="5"/>
      <c r="W2329" s="5"/>
      <c r="X2329" s="23"/>
      <c r="Y2329" s="18"/>
      <c r="Z2329" s="23"/>
      <c r="AA2329" s="23"/>
      <c r="AB2329" s="5"/>
      <c r="AC2329" s="5"/>
      <c r="AD2329" s="5"/>
      <c r="AE2329" s="5"/>
      <c r="AF2329" s="5"/>
      <c r="AG2329" s="23"/>
      <c r="AH2329" s="5"/>
      <c r="AI2329" s="5"/>
      <c r="AJ2329" s="5"/>
      <c r="AK2329" s="5"/>
      <c r="AL2329" s="6"/>
      <c r="AM2329" s="5"/>
      <c r="AN2329" s="4"/>
      <c r="AO2329" s="4"/>
      <c r="AP2329" s="4"/>
      <c r="AQ2329" s="4"/>
      <c r="AR2329" s="4"/>
      <c r="AS2329" s="4"/>
      <c r="AT2329" s="4"/>
      <c r="AU2329" s="27"/>
      <c r="AV2329" s="39"/>
      <c r="AW2329" s="4"/>
    </row>
    <row r="2330" spans="1:49" ht="14.5" x14ac:dyDescent="0.35">
      <c r="A2330" s="1"/>
      <c r="B2330" s="4"/>
      <c r="C2330" s="29"/>
      <c r="D2330" s="29"/>
      <c r="E2330" s="29"/>
      <c r="F2330" s="2"/>
      <c r="G2330" s="2"/>
      <c r="H2330" s="6"/>
      <c r="I2330" s="6"/>
      <c r="J2330" s="18"/>
      <c r="K2330" s="23"/>
      <c r="L2330" s="17"/>
      <c r="M2330" s="17"/>
      <c r="N2330" s="17"/>
      <c r="O2330" s="17"/>
      <c r="P2330" s="5"/>
      <c r="Q2330" s="5"/>
      <c r="R2330" s="5"/>
      <c r="S2330" s="5"/>
      <c r="T2330" s="5"/>
      <c r="U2330" s="20"/>
      <c r="V2330" s="5"/>
      <c r="W2330" s="5"/>
      <c r="X2330" s="23"/>
      <c r="Y2330" s="18"/>
      <c r="Z2330" s="23"/>
      <c r="AA2330" s="23"/>
      <c r="AB2330" s="5"/>
      <c r="AC2330" s="5"/>
      <c r="AD2330" s="5"/>
      <c r="AE2330" s="5"/>
      <c r="AF2330" s="5"/>
      <c r="AG2330" s="23"/>
      <c r="AH2330" s="5"/>
      <c r="AI2330" s="5"/>
      <c r="AJ2330" s="5"/>
      <c r="AK2330" s="5"/>
      <c r="AL2330" s="6"/>
      <c r="AM2330" s="5"/>
      <c r="AN2330" s="4"/>
      <c r="AO2330" s="4"/>
      <c r="AP2330" s="4"/>
      <c r="AQ2330" s="4"/>
      <c r="AR2330" s="4"/>
      <c r="AS2330" s="4"/>
      <c r="AT2330" s="4"/>
      <c r="AU2330" s="27"/>
      <c r="AV2330" s="39"/>
      <c r="AW2330" s="4"/>
    </row>
    <row r="2331" spans="1:49" ht="14.5" x14ac:dyDescent="0.35">
      <c r="A2331" s="1"/>
      <c r="B2331" s="4"/>
      <c r="C2331" s="29"/>
      <c r="D2331" s="29"/>
      <c r="E2331" s="29"/>
      <c r="F2331" s="2"/>
      <c r="G2331" s="2"/>
      <c r="H2331" s="6"/>
      <c r="I2331" s="6"/>
      <c r="J2331" s="18"/>
      <c r="K2331" s="23"/>
      <c r="L2331" s="17"/>
      <c r="M2331" s="17"/>
      <c r="N2331" s="17"/>
      <c r="O2331" s="17"/>
      <c r="P2331" s="5"/>
      <c r="Q2331" s="5"/>
      <c r="R2331" s="5"/>
      <c r="S2331" s="5"/>
      <c r="T2331" s="5"/>
      <c r="U2331" s="20"/>
      <c r="V2331" s="5"/>
      <c r="W2331" s="5"/>
      <c r="X2331" s="23"/>
      <c r="Y2331" s="18"/>
      <c r="Z2331" s="23"/>
      <c r="AA2331" s="23"/>
      <c r="AB2331" s="5"/>
      <c r="AC2331" s="5"/>
      <c r="AD2331" s="5"/>
      <c r="AE2331" s="5"/>
      <c r="AF2331" s="5"/>
      <c r="AG2331" s="23"/>
      <c r="AH2331" s="5"/>
      <c r="AI2331" s="5"/>
      <c r="AJ2331" s="5"/>
      <c r="AK2331" s="5"/>
      <c r="AL2331" s="6"/>
      <c r="AM2331" s="5"/>
      <c r="AN2331" s="4"/>
      <c r="AO2331" s="4"/>
      <c r="AP2331" s="4"/>
      <c r="AQ2331" s="4"/>
      <c r="AR2331" s="4"/>
      <c r="AS2331" s="4"/>
      <c r="AT2331" s="4"/>
      <c r="AU2331" s="27"/>
      <c r="AV2331" s="39"/>
      <c r="AW2331" s="4"/>
    </row>
    <row r="2332" spans="1:49" ht="14.5" x14ac:dyDescent="0.35">
      <c r="A2332" s="1"/>
      <c r="B2332" s="4"/>
      <c r="C2332" s="29"/>
      <c r="D2332" s="29"/>
      <c r="E2332" s="29"/>
      <c r="F2332" s="2"/>
      <c r="G2332" s="2"/>
      <c r="H2332" s="6"/>
      <c r="I2332" s="6"/>
      <c r="J2332" s="18"/>
      <c r="K2332" s="23"/>
      <c r="L2332" s="17"/>
      <c r="M2332" s="14"/>
      <c r="N2332" s="14"/>
      <c r="O2332" s="17"/>
      <c r="P2332" s="5"/>
      <c r="Q2332" s="5"/>
      <c r="R2332" s="5"/>
      <c r="S2332" s="5"/>
      <c r="T2332" s="5"/>
      <c r="U2332" s="20"/>
      <c r="V2332" s="5"/>
      <c r="W2332" s="5"/>
      <c r="X2332" s="23"/>
      <c r="Y2332" s="18"/>
      <c r="Z2332" s="23"/>
      <c r="AA2332" s="23"/>
      <c r="AB2332" s="5"/>
      <c r="AC2332" s="5"/>
      <c r="AD2332" s="5"/>
      <c r="AE2332" s="5"/>
      <c r="AF2332" s="5"/>
      <c r="AG2332" s="23"/>
      <c r="AH2332" s="5"/>
      <c r="AI2332" s="5"/>
      <c r="AJ2332" s="5"/>
      <c r="AK2332" s="5"/>
      <c r="AL2332" s="6"/>
      <c r="AM2332" s="5"/>
      <c r="AN2332" s="4"/>
      <c r="AO2332" s="4"/>
      <c r="AP2332" s="4"/>
      <c r="AQ2332" s="4"/>
      <c r="AR2332" s="4"/>
      <c r="AS2332" s="4"/>
      <c r="AT2332" s="4"/>
      <c r="AU2332" s="27"/>
      <c r="AV2332" s="39"/>
      <c r="AW2332" s="4"/>
    </row>
    <row r="2333" spans="1:49" ht="14.5" x14ac:dyDescent="0.35">
      <c r="A2333" s="1"/>
      <c r="B2333" s="4"/>
      <c r="C2333" s="29"/>
      <c r="D2333" s="29"/>
      <c r="E2333" s="29"/>
      <c r="F2333" s="2"/>
      <c r="G2333" s="2"/>
      <c r="H2333" s="6"/>
      <c r="I2333" s="6"/>
      <c r="J2333" s="18"/>
      <c r="K2333" s="23"/>
      <c r="L2333" s="5"/>
      <c r="M2333" s="5"/>
      <c r="N2333" s="5"/>
      <c r="O2333" s="5"/>
      <c r="P2333" s="5"/>
      <c r="Q2333" s="5"/>
      <c r="R2333" s="5"/>
      <c r="S2333" s="5"/>
      <c r="T2333" s="5"/>
      <c r="U2333" s="5"/>
      <c r="V2333" s="5"/>
      <c r="W2333" s="5"/>
      <c r="X2333" s="23"/>
      <c r="Y2333" s="18"/>
      <c r="Z2333" s="23"/>
      <c r="AA2333" s="23"/>
      <c r="AB2333" s="5"/>
      <c r="AC2333" s="5"/>
      <c r="AD2333" s="5"/>
      <c r="AE2333" s="5"/>
      <c r="AF2333" s="5"/>
      <c r="AG2333" s="23"/>
      <c r="AH2333" s="5"/>
      <c r="AI2333" s="5"/>
      <c r="AJ2333" s="5"/>
      <c r="AK2333" s="5"/>
      <c r="AL2333" s="6"/>
      <c r="AM2333" s="5"/>
      <c r="AN2333" s="4"/>
      <c r="AO2333" s="4"/>
      <c r="AP2333" s="4"/>
      <c r="AQ2333" s="4"/>
      <c r="AR2333" s="4"/>
      <c r="AS2333" s="4"/>
      <c r="AT2333" s="4"/>
      <c r="AU2333" s="27"/>
      <c r="AV2333" s="39"/>
      <c r="AW2333" s="4"/>
    </row>
    <row r="2334" spans="1:49" ht="14.5" x14ac:dyDescent="0.35">
      <c r="A2334" s="1"/>
      <c r="B2334" s="4"/>
      <c r="C2334" s="29"/>
      <c r="D2334" s="29"/>
      <c r="E2334" s="29"/>
      <c r="F2334" s="2"/>
      <c r="G2334" s="2"/>
      <c r="H2334" s="6"/>
      <c r="I2334" s="6"/>
      <c r="J2334" s="18"/>
      <c r="K2334" s="23"/>
      <c r="L2334" s="5"/>
      <c r="M2334" s="5"/>
      <c r="N2334" s="5"/>
      <c r="O2334" s="5"/>
      <c r="P2334" s="5"/>
      <c r="Q2334" s="5"/>
      <c r="R2334" s="5"/>
      <c r="S2334" s="5"/>
      <c r="T2334" s="5"/>
      <c r="U2334" s="5"/>
      <c r="V2334" s="5"/>
      <c r="W2334" s="5"/>
      <c r="X2334" s="23"/>
      <c r="Y2334" s="18"/>
      <c r="Z2334" s="23"/>
      <c r="AA2334" s="23"/>
      <c r="AB2334" s="5"/>
      <c r="AC2334" s="5"/>
      <c r="AD2334" s="5"/>
      <c r="AE2334" s="5"/>
      <c r="AF2334" s="5"/>
      <c r="AG2334" s="23"/>
      <c r="AH2334" s="5"/>
      <c r="AI2334" s="5"/>
      <c r="AJ2334" s="5"/>
      <c r="AK2334" s="5"/>
      <c r="AL2334" s="6"/>
      <c r="AM2334" s="5"/>
      <c r="AN2334" s="4"/>
      <c r="AO2334" s="4"/>
      <c r="AP2334" s="4"/>
      <c r="AQ2334" s="4"/>
      <c r="AR2334" s="4"/>
      <c r="AS2334" s="4"/>
      <c r="AT2334" s="4"/>
      <c r="AU2334" s="27"/>
      <c r="AV2334" s="39"/>
      <c r="AW2334" s="4"/>
    </row>
    <row r="2335" spans="1:49" ht="14.5" x14ac:dyDescent="0.35">
      <c r="A2335" s="1"/>
      <c r="B2335" s="4"/>
      <c r="C2335" s="29"/>
      <c r="D2335" s="29"/>
      <c r="E2335" s="29"/>
      <c r="F2335" s="2"/>
      <c r="G2335" s="2"/>
      <c r="H2335" s="6"/>
      <c r="I2335" s="6"/>
      <c r="J2335" s="18"/>
      <c r="K2335" s="23"/>
      <c r="L2335" s="5"/>
      <c r="M2335" s="5"/>
      <c r="N2335" s="5"/>
      <c r="O2335" s="5"/>
      <c r="P2335" s="5"/>
      <c r="Q2335" s="5"/>
      <c r="R2335" s="5"/>
      <c r="S2335" s="5"/>
      <c r="T2335" s="5"/>
      <c r="U2335" s="5"/>
      <c r="V2335" s="5"/>
      <c r="W2335" s="5"/>
      <c r="X2335" s="23"/>
      <c r="Y2335" s="18"/>
      <c r="Z2335" s="23"/>
      <c r="AA2335" s="23"/>
      <c r="AB2335" s="5"/>
      <c r="AC2335" s="5"/>
      <c r="AD2335" s="5"/>
      <c r="AE2335" s="5"/>
      <c r="AF2335" s="5"/>
      <c r="AG2335" s="23"/>
      <c r="AH2335" s="5"/>
      <c r="AI2335" s="5"/>
      <c r="AJ2335" s="5"/>
      <c r="AK2335" s="5"/>
      <c r="AL2335" s="6"/>
      <c r="AM2335" s="5"/>
      <c r="AN2335" s="4"/>
      <c r="AO2335" s="4"/>
      <c r="AP2335" s="4"/>
      <c r="AQ2335" s="4"/>
      <c r="AR2335" s="4"/>
      <c r="AS2335" s="4"/>
      <c r="AT2335" s="4"/>
      <c r="AU2335" s="27"/>
      <c r="AV2335" s="39"/>
      <c r="AW2335" s="4"/>
    </row>
    <row r="2336" spans="1:49" ht="14.5" x14ac:dyDescent="0.35">
      <c r="A2336" s="1"/>
      <c r="B2336" s="4"/>
      <c r="C2336" s="29"/>
      <c r="D2336" s="29"/>
      <c r="E2336" s="29"/>
      <c r="F2336" s="2"/>
      <c r="G2336" s="2"/>
      <c r="H2336" s="6"/>
      <c r="I2336" s="6"/>
      <c r="J2336" s="18"/>
      <c r="K2336" s="23"/>
      <c r="L2336" s="5"/>
      <c r="M2336" s="5"/>
      <c r="N2336" s="5"/>
      <c r="O2336" s="5"/>
      <c r="P2336" s="5"/>
      <c r="Q2336" s="5"/>
      <c r="R2336" s="5"/>
      <c r="S2336" s="5"/>
      <c r="T2336" s="5"/>
      <c r="U2336" s="5"/>
      <c r="V2336" s="5"/>
      <c r="W2336" s="5"/>
      <c r="X2336" s="23"/>
      <c r="Y2336" s="18"/>
      <c r="Z2336" s="23"/>
      <c r="AA2336" s="23"/>
      <c r="AB2336" s="5"/>
      <c r="AC2336" s="5"/>
      <c r="AD2336" s="5"/>
      <c r="AE2336" s="5"/>
      <c r="AF2336" s="5"/>
      <c r="AG2336" s="23"/>
      <c r="AH2336" s="5"/>
      <c r="AI2336" s="5"/>
      <c r="AJ2336" s="5"/>
      <c r="AK2336" s="5"/>
      <c r="AL2336" s="6"/>
      <c r="AM2336" s="5"/>
      <c r="AN2336" s="4"/>
      <c r="AO2336" s="4"/>
      <c r="AP2336" s="4"/>
      <c r="AQ2336" s="4"/>
      <c r="AR2336" s="4"/>
      <c r="AS2336" s="4"/>
      <c r="AT2336" s="4"/>
      <c r="AU2336" s="27"/>
      <c r="AV2336" s="39"/>
      <c r="AW2336" s="4"/>
    </row>
    <row r="2337" spans="1:49" ht="14.5" x14ac:dyDescent="0.35">
      <c r="A2337" s="1"/>
      <c r="B2337" s="4"/>
      <c r="C2337" s="29"/>
      <c r="D2337" s="29"/>
      <c r="E2337" s="29"/>
      <c r="F2337" s="2"/>
      <c r="G2337" s="2"/>
      <c r="H2337" s="6"/>
      <c r="I2337" s="6"/>
      <c r="J2337" s="18"/>
      <c r="K2337" s="23"/>
      <c r="L2337" s="5"/>
      <c r="M2337" s="5"/>
      <c r="N2337" s="5"/>
      <c r="O2337" s="5"/>
      <c r="P2337" s="5"/>
      <c r="Q2337" s="5"/>
      <c r="R2337" s="5"/>
      <c r="S2337" s="5"/>
      <c r="T2337" s="5"/>
      <c r="U2337" s="5"/>
      <c r="V2337" s="5"/>
      <c r="W2337" s="5"/>
      <c r="X2337" s="23"/>
      <c r="Y2337" s="18"/>
      <c r="Z2337" s="23"/>
      <c r="AA2337" s="23"/>
      <c r="AB2337" s="5"/>
      <c r="AC2337" s="5"/>
      <c r="AD2337" s="5"/>
      <c r="AE2337" s="5"/>
      <c r="AF2337" s="5"/>
      <c r="AG2337" s="23"/>
      <c r="AH2337" s="5"/>
      <c r="AI2337" s="5"/>
      <c r="AJ2337" s="5"/>
      <c r="AK2337" s="5"/>
      <c r="AL2337" s="6"/>
      <c r="AM2337" s="5"/>
      <c r="AN2337" s="4"/>
      <c r="AO2337" s="4"/>
      <c r="AP2337" s="4"/>
      <c r="AQ2337" s="4"/>
      <c r="AR2337" s="4"/>
      <c r="AS2337" s="4"/>
      <c r="AT2337" s="4"/>
      <c r="AU2337" s="27"/>
      <c r="AV2337" s="39"/>
      <c r="AW2337" s="4"/>
    </row>
    <row r="2338" spans="1:49" ht="14.5" x14ac:dyDescent="0.35">
      <c r="A2338" s="1"/>
      <c r="B2338" s="4"/>
      <c r="C2338" s="29"/>
      <c r="D2338" s="29"/>
      <c r="E2338" s="29"/>
      <c r="F2338" s="2"/>
      <c r="G2338" s="2"/>
      <c r="H2338" s="6"/>
      <c r="I2338" s="6"/>
      <c r="J2338" s="18"/>
      <c r="K2338" s="23"/>
      <c r="L2338" s="5"/>
      <c r="M2338" s="5"/>
      <c r="N2338" s="5"/>
      <c r="O2338" s="5"/>
      <c r="P2338" s="5"/>
      <c r="Q2338" s="5"/>
      <c r="R2338" s="5"/>
      <c r="S2338" s="5"/>
      <c r="T2338" s="5"/>
      <c r="U2338" s="5"/>
      <c r="V2338" s="5"/>
      <c r="W2338" s="5"/>
      <c r="X2338" s="23"/>
      <c r="Y2338" s="18"/>
      <c r="Z2338" s="23"/>
      <c r="AA2338" s="23"/>
      <c r="AB2338" s="5"/>
      <c r="AC2338" s="5"/>
      <c r="AD2338" s="5"/>
      <c r="AE2338" s="5"/>
      <c r="AF2338" s="5"/>
      <c r="AG2338" s="23"/>
      <c r="AH2338" s="5"/>
      <c r="AI2338" s="5"/>
      <c r="AJ2338" s="5"/>
      <c r="AK2338" s="5"/>
      <c r="AL2338" s="6"/>
      <c r="AM2338" s="5"/>
      <c r="AN2338" s="4"/>
      <c r="AO2338" s="4"/>
      <c r="AP2338" s="4"/>
      <c r="AQ2338" s="4"/>
      <c r="AR2338" s="4"/>
      <c r="AS2338" s="4"/>
      <c r="AT2338" s="4"/>
      <c r="AU2338" s="27"/>
      <c r="AV2338" s="39"/>
      <c r="AW2338" s="4"/>
    </row>
    <row r="2339" spans="1:49" ht="14.5" x14ac:dyDescent="0.35">
      <c r="A2339" s="1"/>
      <c r="B2339" s="4"/>
      <c r="C2339" s="29"/>
      <c r="D2339" s="29"/>
      <c r="E2339" s="29"/>
      <c r="F2339" s="2"/>
      <c r="G2339" s="2"/>
      <c r="H2339" s="6"/>
      <c r="I2339" s="6"/>
      <c r="J2339" s="18"/>
      <c r="K2339" s="23"/>
      <c r="L2339" s="5"/>
      <c r="M2339" s="5"/>
      <c r="N2339" s="5"/>
      <c r="O2339" s="5"/>
      <c r="P2339" s="5"/>
      <c r="Q2339" s="5"/>
      <c r="R2339" s="5"/>
      <c r="S2339" s="5"/>
      <c r="T2339" s="5"/>
      <c r="U2339" s="5"/>
      <c r="V2339" s="5"/>
      <c r="W2339" s="5"/>
      <c r="X2339" s="23"/>
      <c r="Y2339" s="18"/>
      <c r="Z2339" s="23"/>
      <c r="AA2339" s="23"/>
      <c r="AB2339" s="5"/>
      <c r="AC2339" s="5"/>
      <c r="AD2339" s="5"/>
      <c r="AE2339" s="5"/>
      <c r="AF2339" s="5"/>
      <c r="AG2339" s="23"/>
      <c r="AH2339" s="5"/>
      <c r="AI2339" s="5"/>
      <c r="AJ2339" s="5"/>
      <c r="AK2339" s="5"/>
      <c r="AL2339" s="6"/>
      <c r="AM2339" s="5"/>
      <c r="AN2339" s="4"/>
      <c r="AO2339" s="4"/>
      <c r="AP2339" s="4"/>
      <c r="AQ2339" s="4"/>
      <c r="AR2339" s="4"/>
      <c r="AS2339" s="4"/>
      <c r="AT2339" s="4"/>
      <c r="AU2339" s="27"/>
      <c r="AV2339" s="39"/>
      <c r="AW2339" s="4"/>
    </row>
    <row r="2340" spans="1:49" ht="14.5" x14ac:dyDescent="0.35">
      <c r="A2340" s="1"/>
      <c r="B2340" s="4"/>
      <c r="C2340" s="29"/>
      <c r="D2340" s="29"/>
      <c r="E2340" s="29"/>
      <c r="F2340" s="2"/>
      <c r="G2340" s="2"/>
      <c r="H2340" s="6"/>
      <c r="I2340" s="6"/>
      <c r="J2340" s="18"/>
      <c r="K2340" s="23"/>
      <c r="L2340" s="5"/>
      <c r="M2340" s="5"/>
      <c r="N2340" s="5"/>
      <c r="O2340" s="5"/>
      <c r="P2340" s="5"/>
      <c r="Q2340" s="5"/>
      <c r="R2340" s="5"/>
      <c r="S2340" s="5"/>
      <c r="T2340" s="5"/>
      <c r="U2340" s="5"/>
      <c r="V2340" s="5"/>
      <c r="W2340" s="5"/>
      <c r="X2340" s="23"/>
      <c r="Y2340" s="18"/>
      <c r="Z2340" s="23"/>
      <c r="AA2340" s="23"/>
      <c r="AB2340" s="5"/>
      <c r="AC2340" s="5"/>
      <c r="AD2340" s="5"/>
      <c r="AE2340" s="5"/>
      <c r="AF2340" s="5"/>
      <c r="AG2340" s="23"/>
      <c r="AH2340" s="5"/>
      <c r="AI2340" s="5"/>
      <c r="AJ2340" s="5"/>
      <c r="AK2340" s="5"/>
      <c r="AL2340" s="6"/>
      <c r="AM2340" s="5"/>
      <c r="AN2340" s="4"/>
      <c r="AO2340" s="4"/>
      <c r="AP2340" s="4"/>
      <c r="AQ2340" s="4"/>
      <c r="AR2340" s="4"/>
      <c r="AS2340" s="4"/>
      <c r="AT2340" s="4"/>
      <c r="AU2340" s="27"/>
      <c r="AV2340" s="39"/>
      <c r="AW2340" s="4"/>
    </row>
    <row r="2341" spans="1:49" ht="14.5" x14ac:dyDescent="0.35">
      <c r="A2341" s="1"/>
      <c r="B2341" s="4"/>
      <c r="C2341" s="29"/>
      <c r="D2341" s="29"/>
      <c r="E2341" s="29"/>
      <c r="F2341" s="2"/>
      <c r="G2341" s="2"/>
      <c r="H2341" s="6"/>
      <c r="I2341" s="6"/>
      <c r="J2341" s="18"/>
      <c r="K2341" s="23"/>
      <c r="L2341" s="5"/>
      <c r="M2341" s="5"/>
      <c r="N2341" s="5"/>
      <c r="O2341" s="5"/>
      <c r="P2341" s="5"/>
      <c r="Q2341" s="5"/>
      <c r="R2341" s="5"/>
      <c r="S2341" s="5"/>
      <c r="T2341" s="5"/>
      <c r="U2341" s="5"/>
      <c r="V2341" s="5"/>
      <c r="W2341" s="5"/>
      <c r="X2341" s="23"/>
      <c r="Y2341" s="18"/>
      <c r="Z2341" s="23"/>
      <c r="AA2341" s="23"/>
      <c r="AB2341" s="5"/>
      <c r="AC2341" s="5"/>
      <c r="AD2341" s="5"/>
      <c r="AE2341" s="5"/>
      <c r="AF2341" s="5"/>
      <c r="AG2341" s="23"/>
      <c r="AH2341" s="5"/>
      <c r="AI2341" s="5"/>
      <c r="AJ2341" s="5"/>
      <c r="AK2341" s="5"/>
      <c r="AL2341" s="6"/>
      <c r="AM2341" s="5"/>
      <c r="AN2341" s="4"/>
      <c r="AO2341" s="4"/>
      <c r="AP2341" s="4"/>
      <c r="AQ2341" s="4"/>
      <c r="AR2341" s="4"/>
      <c r="AS2341" s="4"/>
      <c r="AT2341" s="4"/>
      <c r="AU2341" s="27"/>
      <c r="AV2341" s="39"/>
      <c r="AW2341" s="4"/>
    </row>
    <row r="2342" spans="1:49" ht="14.5" x14ac:dyDescent="0.35">
      <c r="A2342" s="1"/>
      <c r="B2342" s="4"/>
      <c r="C2342" s="29"/>
      <c r="D2342" s="29"/>
      <c r="E2342" s="29"/>
      <c r="F2342" s="2"/>
      <c r="G2342" s="2"/>
      <c r="H2342" s="6"/>
      <c r="I2342" s="6"/>
      <c r="J2342" s="18"/>
      <c r="K2342" s="23"/>
      <c r="L2342" s="5"/>
      <c r="M2342" s="5"/>
      <c r="N2342" s="5"/>
      <c r="O2342" s="5"/>
      <c r="P2342" s="5"/>
      <c r="Q2342" s="5"/>
      <c r="R2342" s="5"/>
      <c r="S2342" s="5"/>
      <c r="T2342" s="5"/>
      <c r="U2342" s="5"/>
      <c r="V2342" s="5"/>
      <c r="W2342" s="5"/>
      <c r="X2342" s="23"/>
      <c r="Y2342" s="18"/>
      <c r="Z2342" s="23"/>
      <c r="AA2342" s="23"/>
      <c r="AB2342" s="5"/>
      <c r="AC2342" s="5"/>
      <c r="AD2342" s="5"/>
      <c r="AE2342" s="5"/>
      <c r="AF2342" s="5"/>
      <c r="AG2342" s="23"/>
      <c r="AH2342" s="5"/>
      <c r="AI2342" s="5"/>
      <c r="AJ2342" s="5"/>
      <c r="AK2342" s="5"/>
      <c r="AL2342" s="6"/>
      <c r="AM2342" s="5"/>
      <c r="AN2342" s="4"/>
      <c r="AO2342" s="4"/>
      <c r="AP2342" s="4"/>
      <c r="AQ2342" s="4"/>
      <c r="AR2342" s="4"/>
      <c r="AS2342" s="4"/>
      <c r="AT2342" s="4"/>
      <c r="AU2342" s="27"/>
      <c r="AV2342" s="39"/>
      <c r="AW2342" s="4"/>
    </row>
    <row r="2343" spans="1:49" ht="14.5" x14ac:dyDescent="0.35">
      <c r="A2343" s="1"/>
      <c r="B2343" s="4"/>
      <c r="C2343" s="29"/>
      <c r="D2343" s="29"/>
      <c r="E2343" s="29"/>
      <c r="F2343" s="2"/>
      <c r="G2343" s="2"/>
      <c r="H2343" s="6"/>
      <c r="I2343" s="6"/>
      <c r="J2343" s="18"/>
      <c r="K2343" s="23"/>
      <c r="L2343" s="5"/>
      <c r="M2343" s="5"/>
      <c r="N2343" s="5"/>
      <c r="O2343" s="5"/>
      <c r="P2343" s="5"/>
      <c r="Q2343" s="5"/>
      <c r="R2343" s="5"/>
      <c r="S2343" s="5"/>
      <c r="T2343" s="5"/>
      <c r="U2343" s="5"/>
      <c r="V2343" s="5"/>
      <c r="W2343" s="5"/>
      <c r="X2343" s="23"/>
      <c r="Y2343" s="18"/>
      <c r="Z2343" s="23"/>
      <c r="AA2343" s="23"/>
      <c r="AB2343" s="5"/>
      <c r="AC2343" s="5"/>
      <c r="AD2343" s="5"/>
      <c r="AE2343" s="5"/>
      <c r="AF2343" s="5"/>
      <c r="AG2343" s="23"/>
      <c r="AH2343" s="5"/>
      <c r="AI2343" s="5"/>
      <c r="AJ2343" s="5"/>
      <c r="AK2343" s="5"/>
      <c r="AL2343" s="6"/>
      <c r="AM2343" s="5"/>
      <c r="AN2343" s="4"/>
      <c r="AO2343" s="4"/>
      <c r="AP2343" s="4"/>
      <c r="AQ2343" s="4"/>
      <c r="AR2343" s="4"/>
      <c r="AS2343" s="4"/>
      <c r="AT2343" s="4"/>
      <c r="AU2343" s="27"/>
      <c r="AV2343" s="39"/>
      <c r="AW2343" s="4"/>
    </row>
    <row r="2344" spans="1:49" ht="14.5" x14ac:dyDescent="0.35">
      <c r="A2344" s="1"/>
      <c r="B2344" s="4"/>
      <c r="C2344" s="29"/>
      <c r="D2344" s="29"/>
      <c r="E2344" s="29"/>
      <c r="F2344" s="2"/>
      <c r="G2344" s="2"/>
      <c r="H2344" s="6"/>
      <c r="I2344" s="6"/>
      <c r="J2344" s="18"/>
      <c r="K2344" s="23"/>
      <c r="L2344" s="5"/>
      <c r="M2344" s="5"/>
      <c r="N2344" s="5"/>
      <c r="O2344" s="5"/>
      <c r="P2344" s="5"/>
      <c r="Q2344" s="5"/>
      <c r="R2344" s="5"/>
      <c r="S2344" s="5"/>
      <c r="T2344" s="5"/>
      <c r="U2344" s="5"/>
      <c r="V2344" s="5"/>
      <c r="W2344" s="5"/>
      <c r="X2344" s="23"/>
      <c r="Y2344" s="18"/>
      <c r="Z2344" s="23"/>
      <c r="AA2344" s="23"/>
      <c r="AB2344" s="5"/>
      <c r="AC2344" s="5"/>
      <c r="AD2344" s="5"/>
      <c r="AE2344" s="5"/>
      <c r="AF2344" s="5"/>
      <c r="AG2344" s="23"/>
      <c r="AH2344" s="5"/>
      <c r="AI2344" s="5"/>
      <c r="AJ2344" s="5"/>
      <c r="AK2344" s="5"/>
      <c r="AL2344" s="6"/>
      <c r="AM2344" s="5"/>
      <c r="AN2344" s="4"/>
      <c r="AO2344" s="4"/>
      <c r="AP2344" s="4"/>
      <c r="AQ2344" s="4"/>
      <c r="AR2344" s="4"/>
      <c r="AS2344" s="4"/>
      <c r="AT2344" s="4"/>
      <c r="AU2344" s="27"/>
      <c r="AV2344" s="39"/>
      <c r="AW2344" s="4"/>
    </row>
    <row r="2345" spans="1:49" ht="14.5" x14ac:dyDescent="0.35">
      <c r="A2345" s="1"/>
      <c r="B2345" s="4"/>
      <c r="C2345" s="29"/>
      <c r="D2345" s="29"/>
      <c r="E2345" s="29"/>
      <c r="F2345" s="2"/>
      <c r="G2345" s="2"/>
      <c r="H2345" s="6"/>
      <c r="I2345" s="6"/>
      <c r="J2345" s="18"/>
      <c r="K2345" s="23"/>
      <c r="L2345" s="5"/>
      <c r="M2345" s="5"/>
      <c r="N2345" s="5"/>
      <c r="O2345" s="5"/>
      <c r="P2345" s="5"/>
      <c r="Q2345" s="5"/>
      <c r="R2345" s="5"/>
      <c r="S2345" s="5"/>
      <c r="T2345" s="5"/>
      <c r="U2345" s="5"/>
      <c r="V2345" s="5"/>
      <c r="W2345" s="5"/>
      <c r="X2345" s="23"/>
      <c r="Y2345" s="18"/>
      <c r="Z2345" s="23"/>
      <c r="AA2345" s="23"/>
      <c r="AB2345" s="5"/>
      <c r="AC2345" s="5"/>
      <c r="AD2345" s="5"/>
      <c r="AE2345" s="5"/>
      <c r="AF2345" s="5"/>
      <c r="AG2345" s="23"/>
      <c r="AH2345" s="5"/>
      <c r="AI2345" s="5"/>
      <c r="AJ2345" s="5"/>
      <c r="AK2345" s="5"/>
      <c r="AL2345" s="6"/>
      <c r="AM2345" s="5"/>
      <c r="AN2345" s="4"/>
      <c r="AO2345" s="4"/>
      <c r="AP2345" s="4"/>
      <c r="AQ2345" s="4"/>
      <c r="AR2345" s="4"/>
      <c r="AS2345" s="4"/>
      <c r="AT2345" s="4"/>
      <c r="AU2345" s="27"/>
      <c r="AV2345" s="39"/>
      <c r="AW2345" s="4"/>
    </row>
    <row r="2346" spans="1:49" ht="14.5" x14ac:dyDescent="0.35">
      <c r="A2346" s="1"/>
      <c r="B2346" s="4"/>
      <c r="C2346" s="29"/>
      <c r="D2346" s="29"/>
      <c r="E2346" s="29"/>
      <c r="F2346" s="2"/>
      <c r="G2346" s="2"/>
      <c r="H2346" s="6"/>
      <c r="I2346" s="6"/>
      <c r="J2346" s="18"/>
      <c r="K2346" s="23"/>
      <c r="L2346" s="5"/>
      <c r="M2346" s="5"/>
      <c r="N2346" s="5"/>
      <c r="O2346" s="5"/>
      <c r="P2346" s="5"/>
      <c r="Q2346" s="5"/>
      <c r="R2346" s="5"/>
      <c r="S2346" s="5"/>
      <c r="T2346" s="5"/>
      <c r="U2346" s="5"/>
      <c r="V2346" s="5"/>
      <c r="W2346" s="5"/>
      <c r="X2346" s="23"/>
      <c r="Y2346" s="18"/>
      <c r="Z2346" s="23"/>
      <c r="AA2346" s="23"/>
      <c r="AB2346" s="5"/>
      <c r="AC2346" s="5"/>
      <c r="AD2346" s="5"/>
      <c r="AE2346" s="5"/>
      <c r="AF2346" s="5"/>
      <c r="AG2346" s="23"/>
      <c r="AH2346" s="5"/>
      <c r="AI2346" s="5"/>
      <c r="AJ2346" s="5"/>
      <c r="AK2346" s="5"/>
      <c r="AL2346" s="6"/>
      <c r="AM2346" s="5"/>
      <c r="AN2346" s="4"/>
      <c r="AO2346" s="4"/>
      <c r="AP2346" s="4"/>
      <c r="AQ2346" s="4"/>
      <c r="AR2346" s="4"/>
      <c r="AS2346" s="4"/>
      <c r="AT2346" s="4"/>
      <c r="AU2346" s="27"/>
      <c r="AV2346" s="39"/>
      <c r="AW2346" s="4"/>
    </row>
    <row r="2347" spans="1:49" ht="14.5" x14ac:dyDescent="0.35">
      <c r="A2347" s="1"/>
      <c r="B2347" s="4"/>
      <c r="C2347" s="29"/>
      <c r="D2347" s="29"/>
      <c r="E2347" s="29"/>
      <c r="F2347" s="2"/>
      <c r="G2347" s="2"/>
      <c r="H2347" s="6"/>
      <c r="I2347" s="6"/>
      <c r="J2347" s="18"/>
      <c r="K2347" s="23"/>
      <c r="L2347" s="5"/>
      <c r="M2347" s="5"/>
      <c r="N2347" s="5"/>
      <c r="O2347" s="5"/>
      <c r="P2347" s="5"/>
      <c r="Q2347" s="5"/>
      <c r="R2347" s="5"/>
      <c r="S2347" s="5"/>
      <c r="T2347" s="5"/>
      <c r="U2347" s="5"/>
      <c r="V2347" s="5"/>
      <c r="W2347" s="5"/>
      <c r="X2347" s="23"/>
      <c r="Y2347" s="18"/>
      <c r="Z2347" s="23"/>
      <c r="AA2347" s="23"/>
      <c r="AB2347" s="5"/>
      <c r="AC2347" s="5"/>
      <c r="AD2347" s="5"/>
      <c r="AE2347" s="5"/>
      <c r="AF2347" s="5"/>
      <c r="AG2347" s="23"/>
      <c r="AH2347" s="5"/>
      <c r="AI2347" s="5"/>
      <c r="AJ2347" s="5"/>
      <c r="AK2347" s="5"/>
      <c r="AL2347" s="6"/>
      <c r="AM2347" s="5"/>
      <c r="AN2347" s="4"/>
      <c r="AO2347" s="4"/>
      <c r="AP2347" s="4"/>
      <c r="AQ2347" s="4"/>
      <c r="AR2347" s="4"/>
      <c r="AS2347" s="4"/>
      <c r="AT2347" s="4"/>
      <c r="AU2347" s="27"/>
      <c r="AV2347" s="39"/>
      <c r="AW2347" s="4"/>
    </row>
    <row r="2348" spans="1:49" ht="14.5" x14ac:dyDescent="0.35">
      <c r="A2348" s="1"/>
      <c r="B2348" s="4"/>
      <c r="C2348" s="29"/>
      <c r="D2348" s="29"/>
      <c r="E2348" s="29"/>
      <c r="F2348" s="2"/>
      <c r="G2348" s="2"/>
      <c r="H2348" s="6"/>
      <c r="I2348" s="6"/>
      <c r="J2348" s="18"/>
      <c r="K2348" s="23"/>
      <c r="L2348" s="5"/>
      <c r="M2348" s="5"/>
      <c r="N2348" s="5"/>
      <c r="O2348" s="5"/>
      <c r="P2348" s="5"/>
      <c r="Q2348" s="5"/>
      <c r="R2348" s="5"/>
      <c r="S2348" s="5"/>
      <c r="T2348" s="5"/>
      <c r="U2348" s="5"/>
      <c r="V2348" s="5"/>
      <c r="W2348" s="5"/>
      <c r="X2348" s="23"/>
      <c r="Y2348" s="18"/>
      <c r="Z2348" s="23"/>
      <c r="AA2348" s="23"/>
      <c r="AB2348" s="5"/>
      <c r="AC2348" s="5"/>
      <c r="AD2348" s="5"/>
      <c r="AE2348" s="5"/>
      <c r="AF2348" s="5"/>
      <c r="AG2348" s="23"/>
      <c r="AH2348" s="5"/>
      <c r="AI2348" s="5"/>
      <c r="AJ2348" s="5"/>
      <c r="AK2348" s="5"/>
      <c r="AL2348" s="6"/>
      <c r="AM2348" s="5"/>
      <c r="AN2348" s="4"/>
      <c r="AO2348" s="4"/>
      <c r="AP2348" s="4"/>
      <c r="AQ2348" s="4"/>
      <c r="AR2348" s="4"/>
      <c r="AS2348" s="4"/>
      <c r="AT2348" s="4"/>
      <c r="AU2348" s="27"/>
      <c r="AV2348" s="39"/>
      <c r="AW2348" s="4"/>
    </row>
    <row r="2349" spans="1:49" ht="14.5" x14ac:dyDescent="0.35">
      <c r="A2349" s="1"/>
      <c r="B2349" s="4"/>
      <c r="C2349" s="29"/>
      <c r="D2349" s="29"/>
      <c r="E2349" s="29"/>
      <c r="F2349" s="2"/>
      <c r="G2349" s="2"/>
      <c r="H2349" s="6"/>
      <c r="I2349" s="6"/>
      <c r="J2349" s="18"/>
      <c r="K2349" s="23"/>
      <c r="L2349" s="5"/>
      <c r="M2349" s="5"/>
      <c r="N2349" s="5"/>
      <c r="O2349" s="5"/>
      <c r="P2349" s="5"/>
      <c r="Q2349" s="5"/>
      <c r="R2349" s="5"/>
      <c r="S2349" s="5"/>
      <c r="T2349" s="5"/>
      <c r="U2349" s="5"/>
      <c r="V2349" s="5"/>
      <c r="W2349" s="5"/>
      <c r="X2349" s="23"/>
      <c r="Y2349" s="18"/>
      <c r="Z2349" s="23"/>
      <c r="AA2349" s="23"/>
      <c r="AB2349" s="5"/>
      <c r="AC2349" s="5"/>
      <c r="AD2349" s="5"/>
      <c r="AE2349" s="5"/>
      <c r="AF2349" s="5"/>
      <c r="AG2349" s="23"/>
      <c r="AH2349" s="5"/>
      <c r="AI2349" s="5"/>
      <c r="AJ2349" s="5"/>
      <c r="AK2349" s="5"/>
      <c r="AL2349" s="6"/>
      <c r="AM2349" s="5"/>
      <c r="AN2349" s="4"/>
      <c r="AO2349" s="4"/>
      <c r="AP2349" s="4"/>
      <c r="AQ2349" s="4"/>
      <c r="AR2349" s="4"/>
      <c r="AS2349" s="4"/>
      <c r="AT2349" s="4"/>
      <c r="AU2349" s="27"/>
      <c r="AV2349" s="39"/>
      <c r="AW2349" s="4"/>
    </row>
    <row r="2350" spans="1:49" ht="14.5" x14ac:dyDescent="0.35">
      <c r="A2350" s="1"/>
      <c r="B2350" s="4"/>
      <c r="C2350" s="29"/>
      <c r="D2350" s="29"/>
      <c r="E2350" s="29"/>
      <c r="F2350" s="2"/>
      <c r="G2350" s="2"/>
      <c r="H2350" s="6"/>
      <c r="I2350" s="6"/>
      <c r="J2350" s="18"/>
      <c r="K2350" s="23"/>
      <c r="L2350" s="5"/>
      <c r="M2350" s="5"/>
      <c r="N2350" s="5"/>
      <c r="O2350" s="5"/>
      <c r="P2350" s="5"/>
      <c r="Q2350" s="5"/>
      <c r="R2350" s="5"/>
      <c r="S2350" s="5"/>
      <c r="T2350" s="5"/>
      <c r="U2350" s="5"/>
      <c r="V2350" s="5"/>
      <c r="W2350" s="5"/>
      <c r="X2350" s="23"/>
      <c r="Y2350" s="18"/>
      <c r="Z2350" s="23"/>
      <c r="AA2350" s="23"/>
      <c r="AB2350" s="5"/>
      <c r="AC2350" s="5"/>
      <c r="AD2350" s="5"/>
      <c r="AE2350" s="5"/>
      <c r="AF2350" s="5"/>
      <c r="AG2350" s="23"/>
      <c r="AH2350" s="5"/>
      <c r="AI2350" s="5"/>
      <c r="AJ2350" s="5"/>
      <c r="AK2350" s="5"/>
      <c r="AL2350" s="6"/>
      <c r="AM2350" s="5"/>
      <c r="AN2350" s="4"/>
      <c r="AO2350" s="4"/>
      <c r="AP2350" s="4"/>
      <c r="AQ2350" s="4"/>
      <c r="AR2350" s="4"/>
      <c r="AS2350" s="4"/>
      <c r="AT2350" s="4"/>
      <c r="AU2350" s="27"/>
      <c r="AV2350" s="39"/>
      <c r="AW2350" s="4"/>
    </row>
    <row r="2351" spans="1:49" ht="14.5" x14ac:dyDescent="0.35">
      <c r="A2351" s="1"/>
      <c r="B2351" s="4"/>
      <c r="C2351" s="29"/>
      <c r="D2351" s="29"/>
      <c r="E2351" s="29"/>
      <c r="F2351" s="2"/>
      <c r="G2351" s="2"/>
      <c r="H2351" s="6"/>
      <c r="I2351" s="6"/>
      <c r="J2351" s="18"/>
      <c r="K2351" s="23"/>
      <c r="L2351" s="5"/>
      <c r="M2351" s="5"/>
      <c r="N2351" s="5"/>
      <c r="O2351" s="5"/>
      <c r="P2351" s="5"/>
      <c r="Q2351" s="5"/>
      <c r="R2351" s="5"/>
      <c r="S2351" s="5"/>
      <c r="T2351" s="5"/>
      <c r="U2351" s="5"/>
      <c r="V2351" s="5"/>
      <c r="W2351" s="5"/>
      <c r="X2351" s="23"/>
      <c r="Y2351" s="18"/>
      <c r="Z2351" s="23"/>
      <c r="AA2351" s="23"/>
      <c r="AB2351" s="5"/>
      <c r="AC2351" s="5"/>
      <c r="AD2351" s="5"/>
      <c r="AE2351" s="5"/>
      <c r="AF2351" s="5"/>
      <c r="AG2351" s="23"/>
      <c r="AH2351" s="5"/>
      <c r="AI2351" s="5"/>
      <c r="AJ2351" s="5"/>
      <c r="AK2351" s="5"/>
      <c r="AL2351" s="6"/>
      <c r="AM2351" s="5"/>
      <c r="AN2351" s="4"/>
      <c r="AO2351" s="4"/>
      <c r="AP2351" s="4"/>
      <c r="AQ2351" s="4"/>
      <c r="AR2351" s="4"/>
      <c r="AS2351" s="4"/>
      <c r="AT2351" s="4"/>
      <c r="AU2351" s="27"/>
      <c r="AV2351" s="39"/>
      <c r="AW2351" s="4"/>
    </row>
    <row r="2352" spans="1:49" ht="14.5" x14ac:dyDescent="0.35">
      <c r="A2352" s="1"/>
      <c r="B2352" s="4"/>
      <c r="C2352" s="29"/>
      <c r="D2352" s="29"/>
      <c r="E2352" s="29"/>
      <c r="F2352" s="2"/>
      <c r="G2352" s="2"/>
      <c r="H2352" s="6"/>
      <c r="I2352" s="6"/>
      <c r="J2352" s="18"/>
      <c r="K2352" s="23"/>
      <c r="L2352" s="5"/>
      <c r="M2352" s="5"/>
      <c r="N2352" s="5"/>
      <c r="O2352" s="5"/>
      <c r="P2352" s="5"/>
      <c r="Q2352" s="5"/>
      <c r="R2352" s="5"/>
      <c r="S2352" s="5"/>
      <c r="T2352" s="5"/>
      <c r="U2352" s="5"/>
      <c r="V2352" s="5"/>
      <c r="W2352" s="5"/>
      <c r="X2352" s="23"/>
      <c r="Y2352" s="18"/>
      <c r="Z2352" s="23"/>
      <c r="AA2352" s="23"/>
      <c r="AB2352" s="5"/>
      <c r="AC2352" s="5"/>
      <c r="AD2352" s="5"/>
      <c r="AE2352" s="5"/>
      <c r="AF2352" s="5"/>
      <c r="AG2352" s="23"/>
      <c r="AH2352" s="5"/>
      <c r="AI2352" s="5"/>
      <c r="AJ2352" s="5"/>
      <c r="AK2352" s="5"/>
      <c r="AL2352" s="6"/>
      <c r="AM2352" s="5"/>
      <c r="AN2352" s="4"/>
      <c r="AO2352" s="4"/>
      <c r="AP2352" s="4"/>
      <c r="AQ2352" s="4"/>
      <c r="AR2352" s="4"/>
      <c r="AS2352" s="4"/>
      <c r="AT2352" s="4"/>
      <c r="AU2352" s="27"/>
      <c r="AV2352" s="39"/>
      <c r="AW2352" s="4"/>
    </row>
    <row r="2353" spans="1:49" ht="14.5" x14ac:dyDescent="0.35">
      <c r="A2353" s="1"/>
      <c r="B2353" s="4"/>
      <c r="C2353" s="29"/>
      <c r="D2353" s="29"/>
      <c r="E2353" s="29"/>
      <c r="F2353" s="2"/>
      <c r="G2353" s="2"/>
      <c r="H2353" s="6"/>
      <c r="I2353" s="6"/>
      <c r="J2353" s="18"/>
      <c r="K2353" s="23"/>
      <c r="L2353" s="5"/>
      <c r="M2353" s="5"/>
      <c r="N2353" s="5"/>
      <c r="O2353" s="5"/>
      <c r="P2353" s="5"/>
      <c r="Q2353" s="5"/>
      <c r="R2353" s="5"/>
      <c r="S2353" s="5"/>
      <c r="T2353" s="5"/>
      <c r="U2353" s="5"/>
      <c r="V2353" s="5"/>
      <c r="W2353" s="5"/>
      <c r="X2353" s="23"/>
      <c r="Y2353" s="18"/>
      <c r="Z2353" s="23"/>
      <c r="AA2353" s="23"/>
      <c r="AB2353" s="5"/>
      <c r="AC2353" s="5"/>
      <c r="AD2353" s="5"/>
      <c r="AE2353" s="5"/>
      <c r="AF2353" s="5"/>
      <c r="AG2353" s="23"/>
      <c r="AH2353" s="5"/>
      <c r="AI2353" s="5"/>
      <c r="AJ2353" s="5"/>
      <c r="AK2353" s="5"/>
      <c r="AL2353" s="6"/>
      <c r="AM2353" s="5"/>
      <c r="AN2353" s="4"/>
      <c r="AO2353" s="4"/>
      <c r="AP2353" s="4"/>
      <c r="AQ2353" s="4"/>
      <c r="AR2353" s="4"/>
      <c r="AS2353" s="4"/>
      <c r="AT2353" s="4"/>
      <c r="AU2353" s="27"/>
      <c r="AV2353" s="39"/>
      <c r="AW2353" s="4"/>
    </row>
    <row r="2354" spans="1:49" ht="14.5" x14ac:dyDescent="0.35">
      <c r="A2354" s="1"/>
      <c r="B2354" s="4"/>
      <c r="C2354" s="29"/>
      <c r="D2354" s="29"/>
      <c r="E2354" s="29"/>
      <c r="F2354" s="2"/>
      <c r="G2354" s="2"/>
      <c r="H2354" s="6"/>
      <c r="I2354" s="6"/>
      <c r="J2354" s="18"/>
      <c r="K2354" s="23"/>
      <c r="L2354" s="5"/>
      <c r="M2354" s="5"/>
      <c r="N2354" s="5"/>
      <c r="O2354" s="5"/>
      <c r="P2354" s="5"/>
      <c r="Q2354" s="5"/>
      <c r="R2354" s="5"/>
      <c r="S2354" s="5"/>
      <c r="T2354" s="5"/>
      <c r="U2354" s="5"/>
      <c r="V2354" s="5"/>
      <c r="W2354" s="5"/>
      <c r="X2354" s="23"/>
      <c r="Y2354" s="18"/>
      <c r="Z2354" s="23"/>
      <c r="AA2354" s="23"/>
      <c r="AB2354" s="5"/>
      <c r="AC2354" s="5"/>
      <c r="AD2354" s="5"/>
      <c r="AE2354" s="5"/>
      <c r="AF2354" s="5"/>
      <c r="AG2354" s="23"/>
      <c r="AH2354" s="5"/>
      <c r="AI2354" s="5"/>
      <c r="AJ2354" s="5"/>
      <c r="AK2354" s="5"/>
      <c r="AL2354" s="6"/>
      <c r="AM2354" s="5"/>
      <c r="AN2354" s="4"/>
      <c r="AO2354" s="4"/>
      <c r="AP2354" s="4"/>
      <c r="AQ2354" s="4"/>
      <c r="AR2354" s="4"/>
      <c r="AS2354" s="4"/>
      <c r="AT2354" s="4"/>
      <c r="AU2354" s="27"/>
      <c r="AV2354" s="39"/>
      <c r="AW2354" s="4"/>
    </row>
    <row r="2355" spans="1:49" ht="14.5" x14ac:dyDescent="0.35">
      <c r="A2355" s="1"/>
      <c r="B2355" s="4"/>
      <c r="C2355" s="29"/>
      <c r="D2355" s="29"/>
      <c r="E2355" s="29"/>
      <c r="F2355" s="2"/>
      <c r="G2355" s="2"/>
      <c r="H2355" s="6"/>
      <c r="I2355" s="6"/>
      <c r="J2355" s="18"/>
      <c r="K2355" s="23"/>
      <c r="L2355" s="5"/>
      <c r="M2355" s="5"/>
      <c r="N2355" s="5"/>
      <c r="O2355" s="5"/>
      <c r="P2355" s="5"/>
      <c r="Q2355" s="5"/>
      <c r="R2355" s="5"/>
      <c r="S2355" s="5"/>
      <c r="T2355" s="5"/>
      <c r="U2355" s="5"/>
      <c r="V2355" s="5"/>
      <c r="W2355" s="5"/>
      <c r="X2355" s="23"/>
      <c r="Y2355" s="18"/>
      <c r="Z2355" s="23"/>
      <c r="AA2355" s="23"/>
      <c r="AB2355" s="5"/>
      <c r="AC2355" s="5"/>
      <c r="AD2355" s="5"/>
      <c r="AE2355" s="5"/>
      <c r="AF2355" s="5"/>
      <c r="AG2355" s="23"/>
      <c r="AH2355" s="5"/>
      <c r="AI2355" s="5"/>
      <c r="AJ2355" s="5"/>
      <c r="AK2355" s="5"/>
      <c r="AL2355" s="6"/>
      <c r="AM2355" s="5"/>
      <c r="AN2355" s="4"/>
      <c r="AO2355" s="4"/>
      <c r="AP2355" s="4"/>
      <c r="AQ2355" s="4"/>
      <c r="AR2355" s="4"/>
      <c r="AS2355" s="4"/>
      <c r="AT2355" s="4"/>
      <c r="AU2355" s="27"/>
      <c r="AV2355" s="39"/>
      <c r="AW2355" s="4"/>
    </row>
    <row r="2356" spans="1:49" ht="14.5" x14ac:dyDescent="0.35">
      <c r="A2356" s="1"/>
      <c r="B2356" s="4"/>
      <c r="C2356" s="29"/>
      <c r="D2356" s="29"/>
      <c r="E2356" s="29"/>
      <c r="F2356" s="2"/>
      <c r="G2356" s="2"/>
      <c r="H2356" s="6"/>
      <c r="I2356" s="6"/>
      <c r="J2356" s="18"/>
      <c r="K2356" s="23"/>
      <c r="L2356" s="5"/>
      <c r="M2356" s="5"/>
      <c r="N2356" s="5"/>
      <c r="O2356" s="5"/>
      <c r="P2356" s="5"/>
      <c r="Q2356" s="5"/>
      <c r="R2356" s="5"/>
      <c r="S2356" s="5"/>
      <c r="T2356" s="5"/>
      <c r="U2356" s="5"/>
      <c r="V2356" s="5"/>
      <c r="W2356" s="5"/>
      <c r="X2356" s="23"/>
      <c r="Y2356" s="18"/>
      <c r="Z2356" s="23"/>
      <c r="AA2356" s="23"/>
      <c r="AB2356" s="5"/>
      <c r="AC2356" s="5"/>
      <c r="AD2356" s="5"/>
      <c r="AE2356" s="5"/>
      <c r="AF2356" s="5"/>
      <c r="AG2356" s="23"/>
      <c r="AH2356" s="5"/>
      <c r="AI2356" s="5"/>
      <c r="AJ2356" s="5"/>
      <c r="AK2356" s="5"/>
      <c r="AL2356" s="6"/>
      <c r="AM2356" s="5"/>
      <c r="AN2356" s="4"/>
      <c r="AO2356" s="4"/>
      <c r="AP2356" s="4"/>
      <c r="AQ2356" s="4"/>
      <c r="AR2356" s="4"/>
      <c r="AS2356" s="4"/>
      <c r="AT2356" s="4"/>
      <c r="AU2356" s="27"/>
      <c r="AV2356" s="39"/>
      <c r="AW2356" s="4"/>
    </row>
    <row r="2357" spans="1:49" ht="14.5" x14ac:dyDescent="0.35">
      <c r="A2357" s="1"/>
      <c r="B2357" s="4"/>
      <c r="C2357" s="29"/>
      <c r="D2357" s="29"/>
      <c r="E2357" s="29"/>
      <c r="F2357" s="2"/>
      <c r="G2357" s="2"/>
      <c r="H2357" s="6"/>
      <c r="I2357" s="6"/>
      <c r="J2357" s="18"/>
      <c r="K2357" s="23"/>
      <c r="L2357" s="5"/>
      <c r="M2357" s="5"/>
      <c r="N2357" s="5"/>
      <c r="O2357" s="5"/>
      <c r="P2357" s="5"/>
      <c r="Q2357" s="5"/>
      <c r="R2357" s="5"/>
      <c r="S2357" s="5"/>
      <c r="T2357" s="5"/>
      <c r="U2357" s="5"/>
      <c r="V2357" s="5"/>
      <c r="W2357" s="5"/>
      <c r="X2357" s="23"/>
      <c r="Y2357" s="18"/>
      <c r="Z2357" s="23"/>
      <c r="AA2357" s="23"/>
      <c r="AB2357" s="5"/>
      <c r="AC2357" s="5"/>
      <c r="AD2357" s="5"/>
      <c r="AE2357" s="5"/>
      <c r="AF2357" s="5"/>
      <c r="AG2357" s="23"/>
      <c r="AH2357" s="5"/>
      <c r="AI2357" s="5"/>
      <c r="AJ2357" s="5"/>
      <c r="AK2357" s="5"/>
      <c r="AL2357" s="6"/>
      <c r="AM2357" s="5"/>
      <c r="AN2357" s="4"/>
      <c r="AO2357" s="4"/>
      <c r="AP2357" s="4"/>
      <c r="AQ2357" s="4"/>
      <c r="AR2357" s="4"/>
      <c r="AS2357" s="4"/>
      <c r="AT2357" s="4"/>
      <c r="AU2357" s="27"/>
      <c r="AV2357" s="39"/>
      <c r="AW2357" s="4"/>
    </row>
    <row r="2358" spans="1:49" ht="14.5" x14ac:dyDescent="0.35">
      <c r="A2358" s="1"/>
      <c r="B2358" s="4"/>
      <c r="C2358" s="29"/>
      <c r="D2358" s="29"/>
      <c r="E2358" s="29"/>
      <c r="F2358" s="2"/>
      <c r="G2358" s="2"/>
      <c r="H2358" s="6"/>
      <c r="I2358" s="6"/>
      <c r="J2358" s="18"/>
      <c r="K2358" s="23"/>
      <c r="L2358" s="5"/>
      <c r="M2358" s="5"/>
      <c r="N2358" s="5"/>
      <c r="O2358" s="5"/>
      <c r="P2358" s="5"/>
      <c r="Q2358" s="5"/>
      <c r="R2358" s="5"/>
      <c r="S2358" s="5"/>
      <c r="T2358" s="5"/>
      <c r="U2358" s="5"/>
      <c r="V2358" s="5"/>
      <c r="W2358" s="5"/>
      <c r="X2358" s="23"/>
      <c r="Y2358" s="18"/>
      <c r="Z2358" s="23"/>
      <c r="AA2358" s="23"/>
      <c r="AB2358" s="5"/>
      <c r="AC2358" s="5"/>
      <c r="AD2358" s="5"/>
      <c r="AE2358" s="5"/>
      <c r="AF2358" s="5"/>
      <c r="AG2358" s="23"/>
      <c r="AH2358" s="5"/>
      <c r="AI2358" s="5"/>
      <c r="AJ2358" s="5"/>
      <c r="AK2358" s="5"/>
      <c r="AL2358" s="6"/>
      <c r="AM2358" s="5"/>
      <c r="AN2358" s="4"/>
      <c r="AO2358" s="4"/>
      <c r="AP2358" s="4"/>
      <c r="AQ2358" s="4"/>
      <c r="AR2358" s="4"/>
      <c r="AS2358" s="4"/>
      <c r="AT2358" s="4"/>
      <c r="AU2358" s="27"/>
      <c r="AV2358" s="39"/>
      <c r="AW2358" s="4"/>
    </row>
    <row r="2359" spans="1:49" ht="14.5" x14ac:dyDescent="0.35">
      <c r="A2359" s="1"/>
      <c r="B2359" s="4"/>
      <c r="C2359" s="29"/>
      <c r="D2359" s="29"/>
      <c r="E2359" s="29"/>
      <c r="F2359" s="2"/>
      <c r="G2359" s="2"/>
      <c r="H2359" s="6"/>
      <c r="I2359" s="6"/>
      <c r="J2359" s="18"/>
      <c r="K2359" s="23"/>
      <c r="L2359" s="5"/>
      <c r="M2359" s="5"/>
      <c r="N2359" s="5"/>
      <c r="O2359" s="5"/>
      <c r="P2359" s="5"/>
      <c r="Q2359" s="5"/>
      <c r="R2359" s="5"/>
      <c r="S2359" s="5"/>
      <c r="T2359" s="5"/>
      <c r="U2359" s="5"/>
      <c r="V2359" s="5"/>
      <c r="W2359" s="5"/>
      <c r="X2359" s="23"/>
      <c r="Y2359" s="18"/>
      <c r="Z2359" s="23"/>
      <c r="AA2359" s="23"/>
      <c r="AB2359" s="5"/>
      <c r="AC2359" s="5"/>
      <c r="AD2359" s="5"/>
      <c r="AE2359" s="5"/>
      <c r="AF2359" s="5"/>
      <c r="AG2359" s="23"/>
      <c r="AH2359" s="5"/>
      <c r="AI2359" s="5"/>
      <c r="AJ2359" s="5"/>
      <c r="AK2359" s="5"/>
      <c r="AL2359" s="6"/>
      <c r="AM2359" s="5"/>
      <c r="AN2359" s="4"/>
      <c r="AO2359" s="4"/>
      <c r="AP2359" s="4"/>
      <c r="AQ2359" s="4"/>
      <c r="AR2359" s="4"/>
      <c r="AS2359" s="4"/>
      <c r="AT2359" s="4"/>
      <c r="AU2359" s="27"/>
      <c r="AV2359" s="39"/>
      <c r="AW2359" s="4"/>
    </row>
    <row r="2360" spans="1:49" ht="14.5" x14ac:dyDescent="0.35">
      <c r="A2360" s="1"/>
      <c r="B2360" s="4"/>
      <c r="C2360" s="29"/>
      <c r="D2360" s="29"/>
      <c r="E2360" s="29"/>
      <c r="F2360" s="2"/>
      <c r="G2360" s="2"/>
      <c r="H2360" s="6"/>
      <c r="I2360" s="6"/>
      <c r="J2360" s="18"/>
      <c r="K2360" s="23"/>
      <c r="L2360" s="5"/>
      <c r="M2360" s="5"/>
      <c r="N2360" s="5"/>
      <c r="O2360" s="5"/>
      <c r="P2360" s="5"/>
      <c r="Q2360" s="5"/>
      <c r="R2360" s="5"/>
      <c r="S2360" s="5"/>
      <c r="T2360" s="5"/>
      <c r="U2360" s="5"/>
      <c r="V2360" s="5"/>
      <c r="W2360" s="5"/>
      <c r="X2360" s="23"/>
      <c r="Y2360" s="18"/>
      <c r="Z2360" s="23"/>
      <c r="AA2360" s="23"/>
      <c r="AB2360" s="5"/>
      <c r="AC2360" s="5"/>
      <c r="AD2360" s="5"/>
      <c r="AE2360" s="5"/>
      <c r="AF2360" s="5"/>
      <c r="AG2360" s="23"/>
      <c r="AH2360" s="5"/>
      <c r="AI2360" s="5"/>
      <c r="AJ2360" s="5"/>
      <c r="AK2360" s="5"/>
      <c r="AL2360" s="6"/>
      <c r="AM2360" s="5"/>
      <c r="AN2360" s="4"/>
      <c r="AO2360" s="4"/>
      <c r="AP2360" s="4"/>
      <c r="AQ2360" s="4"/>
      <c r="AR2360" s="4"/>
      <c r="AS2360" s="4"/>
      <c r="AT2360" s="4"/>
      <c r="AU2360" s="27"/>
      <c r="AV2360" s="39"/>
      <c r="AW2360" s="4"/>
    </row>
    <row r="2361" spans="1:49" ht="14.5" x14ac:dyDescent="0.35">
      <c r="A2361" s="1"/>
      <c r="B2361" s="4"/>
      <c r="C2361" s="29"/>
      <c r="D2361" s="29"/>
      <c r="E2361" s="29"/>
      <c r="F2361" s="2"/>
      <c r="G2361" s="2"/>
      <c r="H2361" s="6"/>
      <c r="I2361" s="6"/>
      <c r="J2361" s="18"/>
      <c r="K2361" s="23"/>
      <c r="L2361" s="5"/>
      <c r="M2361" s="5"/>
      <c r="N2361" s="5"/>
      <c r="O2361" s="5"/>
      <c r="P2361" s="5"/>
      <c r="Q2361" s="5"/>
      <c r="R2361" s="5"/>
      <c r="S2361" s="5"/>
      <c r="T2361" s="5"/>
      <c r="U2361" s="5"/>
      <c r="V2361" s="5"/>
      <c r="W2361" s="5"/>
      <c r="X2361" s="23"/>
      <c r="Y2361" s="18"/>
      <c r="Z2361" s="23"/>
      <c r="AA2361" s="23"/>
      <c r="AB2361" s="5"/>
      <c r="AC2361" s="5"/>
      <c r="AD2361" s="5"/>
      <c r="AE2361" s="5"/>
      <c r="AF2361" s="5"/>
      <c r="AG2361" s="23"/>
      <c r="AH2361" s="5"/>
      <c r="AI2361" s="5"/>
      <c r="AJ2361" s="5"/>
      <c r="AK2361" s="5"/>
      <c r="AL2361" s="6"/>
      <c r="AM2361" s="5"/>
      <c r="AN2361" s="4"/>
      <c r="AO2361" s="4"/>
      <c r="AP2361" s="4"/>
      <c r="AQ2361" s="4"/>
      <c r="AR2361" s="4"/>
      <c r="AS2361" s="4"/>
      <c r="AT2361" s="4"/>
      <c r="AU2361" s="27"/>
      <c r="AV2361" s="39"/>
      <c r="AW2361" s="4"/>
    </row>
    <row r="2362" spans="1:49" ht="14.5" x14ac:dyDescent="0.35">
      <c r="A2362" s="1"/>
      <c r="B2362" s="4"/>
      <c r="C2362" s="29"/>
      <c r="D2362" s="29"/>
      <c r="E2362" s="29"/>
      <c r="F2362" s="2"/>
      <c r="G2362" s="2"/>
      <c r="H2362" s="6"/>
      <c r="I2362" s="6"/>
      <c r="J2362" s="18"/>
      <c r="K2362" s="23"/>
      <c r="L2362" s="5"/>
      <c r="M2362" s="5"/>
      <c r="N2362" s="5"/>
      <c r="O2362" s="5"/>
      <c r="P2362" s="5"/>
      <c r="Q2362" s="5"/>
      <c r="R2362" s="5"/>
      <c r="S2362" s="5"/>
      <c r="T2362" s="5"/>
      <c r="U2362" s="5"/>
      <c r="V2362" s="5"/>
      <c r="W2362" s="5"/>
      <c r="X2362" s="23"/>
      <c r="Y2362" s="18"/>
      <c r="Z2362" s="23"/>
      <c r="AA2362" s="23"/>
      <c r="AB2362" s="5"/>
      <c r="AC2362" s="5"/>
      <c r="AD2362" s="5"/>
      <c r="AE2362" s="5"/>
      <c r="AF2362" s="5"/>
      <c r="AG2362" s="23"/>
      <c r="AH2362" s="5"/>
      <c r="AI2362" s="5"/>
      <c r="AJ2362" s="5"/>
      <c r="AK2362" s="5"/>
      <c r="AL2362" s="6"/>
      <c r="AM2362" s="5"/>
      <c r="AN2362" s="4"/>
      <c r="AO2362" s="4"/>
      <c r="AP2362" s="4"/>
      <c r="AQ2362" s="4"/>
      <c r="AR2362" s="4"/>
      <c r="AS2362" s="4"/>
      <c r="AT2362" s="4"/>
      <c r="AU2362" s="27"/>
      <c r="AV2362" s="39"/>
      <c r="AW2362" s="4"/>
    </row>
    <row r="2363" spans="1:49" ht="14.5" x14ac:dyDescent="0.35">
      <c r="A2363" s="1"/>
      <c r="B2363" s="4"/>
      <c r="C2363" s="29"/>
      <c r="D2363" s="29"/>
      <c r="E2363" s="29"/>
      <c r="F2363" s="2"/>
      <c r="G2363" s="2"/>
      <c r="H2363" s="6"/>
      <c r="I2363" s="6"/>
      <c r="J2363" s="18"/>
      <c r="K2363" s="23"/>
      <c r="L2363" s="5"/>
      <c r="M2363" s="5"/>
      <c r="N2363" s="5"/>
      <c r="O2363" s="5"/>
      <c r="P2363" s="5"/>
      <c r="Q2363" s="5"/>
      <c r="R2363" s="5"/>
      <c r="S2363" s="5"/>
      <c r="T2363" s="5"/>
      <c r="U2363" s="5"/>
      <c r="V2363" s="5"/>
      <c r="W2363" s="5"/>
      <c r="X2363" s="23"/>
      <c r="Y2363" s="18"/>
      <c r="Z2363" s="23"/>
      <c r="AA2363" s="23"/>
      <c r="AB2363" s="5"/>
      <c r="AC2363" s="5"/>
      <c r="AD2363" s="5"/>
      <c r="AE2363" s="5"/>
      <c r="AF2363" s="5"/>
      <c r="AG2363" s="23"/>
      <c r="AH2363" s="5"/>
      <c r="AI2363" s="5"/>
      <c r="AJ2363" s="5"/>
      <c r="AK2363" s="5"/>
      <c r="AL2363" s="6"/>
      <c r="AM2363" s="5"/>
      <c r="AN2363" s="4"/>
      <c r="AO2363" s="4"/>
      <c r="AP2363" s="4"/>
      <c r="AQ2363" s="4"/>
      <c r="AR2363" s="4"/>
      <c r="AS2363" s="4"/>
      <c r="AT2363" s="4"/>
      <c r="AU2363" s="27"/>
      <c r="AV2363" s="39"/>
      <c r="AW2363" s="4"/>
    </row>
    <row r="2364" spans="1:49" ht="14.5" x14ac:dyDescent="0.35">
      <c r="A2364" s="1"/>
      <c r="B2364" s="4"/>
      <c r="C2364" s="29"/>
      <c r="D2364" s="29"/>
      <c r="E2364" s="29"/>
      <c r="F2364" s="2"/>
      <c r="G2364" s="2"/>
      <c r="H2364" s="6"/>
      <c r="I2364" s="6"/>
      <c r="J2364" s="18"/>
      <c r="K2364" s="23"/>
      <c r="L2364" s="5"/>
      <c r="M2364" s="5"/>
      <c r="N2364" s="5"/>
      <c r="O2364" s="5"/>
      <c r="P2364" s="5"/>
      <c r="Q2364" s="5"/>
      <c r="R2364" s="5"/>
      <c r="S2364" s="5"/>
      <c r="T2364" s="5"/>
      <c r="U2364" s="5"/>
      <c r="V2364" s="5"/>
      <c r="W2364" s="5"/>
      <c r="X2364" s="23"/>
      <c r="Y2364" s="18"/>
      <c r="Z2364" s="23"/>
      <c r="AA2364" s="23"/>
      <c r="AB2364" s="5"/>
      <c r="AC2364" s="5"/>
      <c r="AD2364" s="5"/>
      <c r="AE2364" s="5"/>
      <c r="AF2364" s="5"/>
      <c r="AG2364" s="23"/>
      <c r="AH2364" s="5"/>
      <c r="AI2364" s="5"/>
      <c r="AJ2364" s="5"/>
      <c r="AK2364" s="5"/>
      <c r="AL2364" s="6"/>
      <c r="AM2364" s="5"/>
      <c r="AN2364" s="4"/>
      <c r="AO2364" s="4"/>
      <c r="AP2364" s="4"/>
      <c r="AQ2364" s="4"/>
      <c r="AR2364" s="4"/>
      <c r="AS2364" s="4"/>
      <c r="AT2364" s="4"/>
      <c r="AU2364" s="27"/>
      <c r="AV2364" s="39"/>
      <c r="AW2364" s="4"/>
    </row>
    <row r="2365" spans="1:49" ht="14.5" x14ac:dyDescent="0.35">
      <c r="A2365" s="1"/>
      <c r="B2365" s="4"/>
      <c r="C2365" s="29"/>
      <c r="D2365" s="29"/>
      <c r="E2365" s="29"/>
      <c r="F2365" s="2"/>
      <c r="G2365" s="2"/>
      <c r="H2365" s="6"/>
      <c r="I2365" s="6"/>
      <c r="J2365" s="18"/>
      <c r="K2365" s="23"/>
      <c r="L2365" s="5"/>
      <c r="M2365" s="5"/>
      <c r="N2365" s="5"/>
      <c r="O2365" s="5"/>
      <c r="P2365" s="5"/>
      <c r="Q2365" s="5"/>
      <c r="R2365" s="5"/>
      <c r="S2365" s="5"/>
      <c r="T2365" s="5"/>
      <c r="U2365" s="5"/>
      <c r="V2365" s="5"/>
      <c r="W2365" s="5"/>
      <c r="X2365" s="23"/>
      <c r="Y2365" s="18"/>
      <c r="Z2365" s="23"/>
      <c r="AA2365" s="23"/>
      <c r="AB2365" s="5"/>
      <c r="AC2365" s="5"/>
      <c r="AD2365" s="5"/>
      <c r="AE2365" s="5"/>
      <c r="AF2365" s="5"/>
      <c r="AG2365" s="23"/>
      <c r="AH2365" s="5"/>
      <c r="AI2365" s="5"/>
      <c r="AJ2365" s="5"/>
      <c r="AK2365" s="5"/>
      <c r="AL2365" s="6"/>
      <c r="AM2365" s="5"/>
      <c r="AN2365" s="4"/>
      <c r="AO2365" s="4"/>
      <c r="AP2365" s="4"/>
      <c r="AQ2365" s="4"/>
      <c r="AR2365" s="4"/>
      <c r="AS2365" s="4"/>
      <c r="AT2365" s="4"/>
      <c r="AU2365" s="27"/>
      <c r="AV2365" s="39"/>
      <c r="AW2365" s="4"/>
    </row>
    <row r="2366" spans="1:49" ht="14.5" x14ac:dyDescent="0.35">
      <c r="A2366" s="1"/>
      <c r="B2366" s="4"/>
      <c r="C2366" s="29"/>
      <c r="D2366" s="29"/>
      <c r="E2366" s="29"/>
      <c r="F2366" s="2"/>
      <c r="G2366" s="2"/>
      <c r="H2366" s="6"/>
      <c r="I2366" s="6"/>
      <c r="J2366" s="18"/>
      <c r="K2366" s="23"/>
      <c r="L2366" s="5"/>
      <c r="M2366" s="5"/>
      <c r="N2366" s="5"/>
      <c r="O2366" s="5"/>
      <c r="P2366" s="5"/>
      <c r="Q2366" s="5"/>
      <c r="R2366" s="5"/>
      <c r="S2366" s="5"/>
      <c r="T2366" s="5"/>
      <c r="U2366" s="5"/>
      <c r="V2366" s="5"/>
      <c r="W2366" s="5"/>
      <c r="X2366" s="23"/>
      <c r="Y2366" s="18"/>
      <c r="Z2366" s="23"/>
      <c r="AA2366" s="23"/>
      <c r="AB2366" s="5"/>
      <c r="AC2366" s="5"/>
      <c r="AD2366" s="5"/>
      <c r="AE2366" s="5"/>
      <c r="AF2366" s="5"/>
      <c r="AG2366" s="23"/>
      <c r="AH2366" s="5"/>
      <c r="AI2366" s="5"/>
      <c r="AJ2366" s="5"/>
      <c r="AK2366" s="5"/>
      <c r="AL2366" s="6"/>
      <c r="AM2366" s="5"/>
      <c r="AN2366" s="4"/>
      <c r="AO2366" s="4"/>
      <c r="AP2366" s="4"/>
      <c r="AQ2366" s="4"/>
      <c r="AR2366" s="4"/>
      <c r="AS2366" s="4"/>
      <c r="AT2366" s="4"/>
      <c r="AU2366" s="27"/>
      <c r="AV2366" s="39"/>
      <c r="AW2366" s="4"/>
    </row>
    <row r="2367" spans="1:49" ht="14.5" x14ac:dyDescent="0.35">
      <c r="A2367" s="1"/>
      <c r="B2367" s="4"/>
      <c r="C2367" s="29"/>
      <c r="D2367" s="29"/>
      <c r="E2367" s="29"/>
      <c r="F2367" s="2"/>
      <c r="G2367" s="2"/>
      <c r="H2367" s="6"/>
      <c r="I2367" s="6"/>
      <c r="J2367" s="18"/>
      <c r="K2367" s="23"/>
      <c r="L2367" s="5"/>
      <c r="M2367" s="5"/>
      <c r="N2367" s="5"/>
      <c r="O2367" s="5"/>
      <c r="P2367" s="5"/>
      <c r="Q2367" s="5"/>
      <c r="R2367" s="5"/>
      <c r="S2367" s="5"/>
      <c r="T2367" s="5"/>
      <c r="U2367" s="5"/>
      <c r="V2367" s="5"/>
      <c r="W2367" s="5"/>
      <c r="X2367" s="23"/>
      <c r="Y2367" s="18"/>
      <c r="Z2367" s="23"/>
      <c r="AA2367" s="23"/>
      <c r="AB2367" s="5"/>
      <c r="AC2367" s="5"/>
      <c r="AD2367" s="5"/>
      <c r="AE2367" s="5"/>
      <c r="AF2367" s="5"/>
      <c r="AG2367" s="23"/>
      <c r="AH2367" s="5"/>
      <c r="AI2367" s="5"/>
      <c r="AJ2367" s="5"/>
      <c r="AK2367" s="5"/>
      <c r="AL2367" s="6"/>
      <c r="AM2367" s="5"/>
      <c r="AN2367" s="4"/>
      <c r="AO2367" s="4"/>
      <c r="AP2367" s="4"/>
      <c r="AQ2367" s="4"/>
      <c r="AR2367" s="4"/>
      <c r="AS2367" s="4"/>
      <c r="AT2367" s="4"/>
      <c r="AU2367" s="27"/>
      <c r="AV2367" s="39"/>
      <c r="AW2367" s="4"/>
    </row>
    <row r="2368" spans="1:49" ht="14.5" x14ac:dyDescent="0.35">
      <c r="A2368" s="1"/>
      <c r="B2368" s="4"/>
      <c r="C2368" s="29"/>
      <c r="D2368" s="29"/>
      <c r="E2368" s="29"/>
      <c r="F2368" s="2"/>
      <c r="G2368" s="2"/>
      <c r="H2368" s="6"/>
      <c r="I2368" s="6"/>
      <c r="J2368" s="18"/>
      <c r="K2368" s="23"/>
      <c r="L2368" s="5"/>
      <c r="M2368" s="5"/>
      <c r="N2368" s="5"/>
      <c r="O2368" s="5"/>
      <c r="P2368" s="5"/>
      <c r="Q2368" s="5"/>
      <c r="R2368" s="5"/>
      <c r="S2368" s="5"/>
      <c r="T2368" s="5"/>
      <c r="U2368" s="5"/>
      <c r="V2368" s="5"/>
      <c r="W2368" s="5"/>
      <c r="X2368" s="23"/>
      <c r="Y2368" s="18"/>
      <c r="Z2368" s="23"/>
      <c r="AA2368" s="23"/>
      <c r="AB2368" s="5"/>
      <c r="AC2368" s="5"/>
      <c r="AD2368" s="5"/>
      <c r="AE2368" s="5"/>
      <c r="AF2368" s="5"/>
      <c r="AG2368" s="23"/>
      <c r="AH2368" s="5"/>
      <c r="AI2368" s="5"/>
      <c r="AJ2368" s="5"/>
      <c r="AK2368" s="5"/>
      <c r="AL2368" s="6"/>
      <c r="AM2368" s="5"/>
      <c r="AN2368" s="4"/>
      <c r="AO2368" s="4"/>
      <c r="AP2368" s="4"/>
      <c r="AQ2368" s="4"/>
      <c r="AR2368" s="4"/>
      <c r="AS2368" s="4"/>
      <c r="AT2368" s="4"/>
      <c r="AU2368" s="27"/>
      <c r="AV2368" s="39"/>
      <c r="AW2368" s="4"/>
    </row>
    <row r="2369" spans="1:49" ht="14.5" x14ac:dyDescent="0.35">
      <c r="A2369" s="1"/>
      <c r="B2369" s="4"/>
      <c r="C2369" s="29"/>
      <c r="D2369" s="29"/>
      <c r="E2369" s="29"/>
      <c r="F2369" s="2"/>
      <c r="G2369" s="2"/>
      <c r="H2369" s="6"/>
      <c r="I2369" s="6"/>
      <c r="J2369" s="18"/>
      <c r="K2369" s="23"/>
      <c r="L2369" s="5"/>
      <c r="M2369" s="5"/>
      <c r="N2369" s="5"/>
      <c r="O2369" s="5"/>
      <c r="P2369" s="5"/>
      <c r="Q2369" s="5"/>
      <c r="R2369" s="5"/>
      <c r="S2369" s="5"/>
      <c r="T2369" s="5"/>
      <c r="U2369" s="5"/>
      <c r="V2369" s="5"/>
      <c r="W2369" s="5"/>
      <c r="X2369" s="23"/>
      <c r="Y2369" s="18"/>
      <c r="Z2369" s="23"/>
      <c r="AA2369" s="23"/>
      <c r="AB2369" s="5"/>
      <c r="AC2369" s="5"/>
      <c r="AD2369" s="5"/>
      <c r="AE2369" s="5"/>
      <c r="AF2369" s="5"/>
      <c r="AG2369" s="23"/>
      <c r="AH2369" s="5"/>
      <c r="AI2369" s="5"/>
      <c r="AJ2369" s="5"/>
      <c r="AK2369" s="5"/>
      <c r="AL2369" s="6"/>
      <c r="AM2369" s="5"/>
      <c r="AN2369" s="4"/>
      <c r="AO2369" s="4"/>
      <c r="AP2369" s="4"/>
      <c r="AQ2369" s="4"/>
      <c r="AR2369" s="4"/>
      <c r="AS2369" s="4"/>
      <c r="AT2369" s="4"/>
      <c r="AU2369" s="27"/>
      <c r="AV2369" s="39"/>
      <c r="AW2369" s="4"/>
    </row>
    <row r="2370" spans="1:49" ht="14.5" x14ac:dyDescent="0.35">
      <c r="A2370" s="1"/>
      <c r="B2370" s="4"/>
      <c r="C2370" s="29"/>
      <c r="D2370" s="29"/>
      <c r="E2370" s="29"/>
      <c r="F2370" s="2"/>
      <c r="G2370" s="2"/>
      <c r="H2370" s="6"/>
      <c r="I2370" s="6"/>
      <c r="J2370" s="18"/>
      <c r="K2370" s="23"/>
      <c r="L2370" s="5"/>
      <c r="M2370" s="5"/>
      <c r="N2370" s="5"/>
      <c r="O2370" s="5"/>
      <c r="P2370" s="5"/>
      <c r="Q2370" s="5"/>
      <c r="R2370" s="5"/>
      <c r="S2370" s="5"/>
      <c r="T2370" s="5"/>
      <c r="U2370" s="5"/>
      <c r="V2370" s="5"/>
      <c r="W2370" s="5"/>
      <c r="X2370" s="23"/>
      <c r="Y2370" s="18"/>
      <c r="Z2370" s="23"/>
      <c r="AA2370" s="23"/>
      <c r="AB2370" s="5"/>
      <c r="AC2370" s="5"/>
      <c r="AD2370" s="5"/>
      <c r="AE2370" s="5"/>
      <c r="AF2370" s="5"/>
      <c r="AG2370" s="23"/>
      <c r="AH2370" s="5"/>
      <c r="AI2370" s="5"/>
      <c r="AJ2370" s="5"/>
      <c r="AK2370" s="5"/>
      <c r="AL2370" s="6"/>
      <c r="AM2370" s="5"/>
      <c r="AN2370" s="4"/>
      <c r="AO2370" s="4"/>
      <c r="AP2370" s="4"/>
      <c r="AQ2370" s="4"/>
      <c r="AR2370" s="4"/>
      <c r="AS2370" s="4"/>
      <c r="AT2370" s="4"/>
      <c r="AU2370" s="27"/>
      <c r="AV2370" s="39"/>
      <c r="AW2370" s="4"/>
    </row>
    <row r="2371" spans="1:49" ht="14.5" x14ac:dyDescent="0.35">
      <c r="A2371" s="1"/>
      <c r="B2371" s="4"/>
      <c r="C2371" s="29"/>
      <c r="D2371" s="29"/>
      <c r="E2371" s="29"/>
      <c r="F2371" s="2"/>
      <c r="G2371" s="2"/>
      <c r="H2371" s="6"/>
      <c r="I2371" s="6"/>
      <c r="J2371" s="18"/>
      <c r="K2371" s="23"/>
      <c r="L2371" s="5"/>
      <c r="M2371" s="5"/>
      <c r="N2371" s="5"/>
      <c r="O2371" s="5"/>
      <c r="P2371" s="5"/>
      <c r="Q2371" s="5"/>
      <c r="R2371" s="5"/>
      <c r="S2371" s="5"/>
      <c r="T2371" s="5"/>
      <c r="U2371" s="5"/>
      <c r="V2371" s="5"/>
      <c r="W2371" s="5"/>
      <c r="X2371" s="23"/>
      <c r="Y2371" s="18"/>
      <c r="Z2371" s="23"/>
      <c r="AA2371" s="23"/>
      <c r="AB2371" s="5"/>
      <c r="AC2371" s="5"/>
      <c r="AD2371" s="5"/>
      <c r="AE2371" s="5"/>
      <c r="AF2371" s="5"/>
      <c r="AG2371" s="23"/>
      <c r="AH2371" s="5"/>
      <c r="AI2371" s="5"/>
      <c r="AJ2371" s="5"/>
      <c r="AK2371" s="5"/>
      <c r="AL2371" s="6"/>
      <c r="AM2371" s="5"/>
      <c r="AN2371" s="4"/>
      <c r="AO2371" s="4"/>
      <c r="AP2371" s="4"/>
      <c r="AQ2371" s="4"/>
      <c r="AR2371" s="4"/>
      <c r="AS2371" s="4"/>
      <c r="AT2371" s="4"/>
      <c r="AU2371" s="27"/>
      <c r="AV2371" s="39"/>
      <c r="AW2371" s="4"/>
    </row>
    <row r="2372" spans="1:49" ht="14.5" x14ac:dyDescent="0.35">
      <c r="A2372" s="1"/>
      <c r="B2372" s="4"/>
      <c r="C2372" s="29"/>
      <c r="D2372" s="29"/>
      <c r="E2372" s="29"/>
      <c r="F2372" s="2"/>
      <c r="G2372" s="2"/>
      <c r="H2372" s="6"/>
      <c r="I2372" s="6"/>
      <c r="J2372" s="18"/>
      <c r="K2372" s="23"/>
      <c r="L2372" s="5"/>
      <c r="M2372" s="5"/>
      <c r="N2372" s="5"/>
      <c r="O2372" s="5"/>
      <c r="P2372" s="5"/>
      <c r="Q2372" s="5"/>
      <c r="R2372" s="5"/>
      <c r="S2372" s="5"/>
      <c r="T2372" s="5"/>
      <c r="U2372" s="5"/>
      <c r="V2372" s="5"/>
      <c r="W2372" s="5"/>
      <c r="X2372" s="23"/>
      <c r="Y2372" s="18"/>
      <c r="Z2372" s="23"/>
      <c r="AA2372" s="23"/>
      <c r="AB2372" s="5"/>
      <c r="AC2372" s="5"/>
      <c r="AD2372" s="5"/>
      <c r="AE2372" s="5"/>
      <c r="AF2372" s="5"/>
      <c r="AG2372" s="23"/>
      <c r="AH2372" s="5"/>
      <c r="AI2372" s="5"/>
      <c r="AJ2372" s="5"/>
      <c r="AK2372" s="5"/>
      <c r="AL2372" s="6"/>
      <c r="AM2372" s="5"/>
      <c r="AN2372" s="4"/>
      <c r="AO2372" s="4"/>
      <c r="AP2372" s="4"/>
      <c r="AQ2372" s="4"/>
      <c r="AR2372" s="4"/>
      <c r="AS2372" s="4"/>
      <c r="AT2372" s="4"/>
      <c r="AU2372" s="27"/>
      <c r="AV2372" s="39"/>
      <c r="AW2372" s="4"/>
    </row>
    <row r="2373" spans="1:49" ht="14.5" x14ac:dyDescent="0.35">
      <c r="A2373" s="1"/>
      <c r="B2373" s="4"/>
      <c r="C2373" s="29"/>
      <c r="D2373" s="29"/>
      <c r="E2373" s="29"/>
      <c r="F2373" s="2"/>
      <c r="G2373" s="2"/>
      <c r="H2373" s="6"/>
      <c r="I2373" s="6"/>
      <c r="J2373" s="18"/>
      <c r="K2373" s="23"/>
      <c r="L2373" s="5"/>
      <c r="M2373" s="5"/>
      <c r="N2373" s="5"/>
      <c r="O2373" s="5"/>
      <c r="P2373" s="5"/>
      <c r="Q2373" s="5"/>
      <c r="R2373" s="5"/>
      <c r="S2373" s="5"/>
      <c r="T2373" s="5"/>
      <c r="U2373" s="5"/>
      <c r="V2373" s="5"/>
      <c r="W2373" s="5"/>
      <c r="X2373" s="23"/>
      <c r="Y2373" s="18"/>
      <c r="Z2373" s="23"/>
      <c r="AA2373" s="23"/>
      <c r="AB2373" s="5"/>
      <c r="AC2373" s="5"/>
      <c r="AD2373" s="5"/>
      <c r="AE2373" s="5"/>
      <c r="AF2373" s="5"/>
      <c r="AG2373" s="23"/>
      <c r="AH2373" s="5"/>
      <c r="AI2373" s="5"/>
      <c r="AJ2373" s="5"/>
      <c r="AK2373" s="5"/>
      <c r="AL2373" s="6"/>
      <c r="AM2373" s="5"/>
      <c r="AN2373" s="4"/>
      <c r="AO2373" s="4"/>
      <c r="AP2373" s="4"/>
      <c r="AQ2373" s="4"/>
      <c r="AR2373" s="4"/>
      <c r="AS2373" s="4"/>
      <c r="AT2373" s="4"/>
      <c r="AU2373" s="27"/>
      <c r="AV2373" s="39"/>
      <c r="AW2373" s="4"/>
    </row>
    <row r="2374" spans="1:49" ht="14.5" x14ac:dyDescent="0.35">
      <c r="A2374" s="1"/>
      <c r="B2374" s="4"/>
      <c r="C2374" s="29"/>
      <c r="D2374" s="29"/>
      <c r="E2374" s="29"/>
      <c r="F2374" s="2"/>
      <c r="G2374" s="2"/>
      <c r="H2374" s="6"/>
      <c r="I2374" s="6"/>
      <c r="J2374" s="18"/>
      <c r="K2374" s="23"/>
      <c r="L2374" s="5"/>
      <c r="M2374" s="5"/>
      <c r="N2374" s="5"/>
      <c r="O2374" s="5"/>
      <c r="P2374" s="5"/>
      <c r="Q2374" s="5"/>
      <c r="R2374" s="5"/>
      <c r="S2374" s="5"/>
      <c r="T2374" s="5"/>
      <c r="U2374" s="5"/>
      <c r="V2374" s="5"/>
      <c r="W2374" s="5"/>
      <c r="X2374" s="23"/>
      <c r="Y2374" s="18"/>
      <c r="Z2374" s="23"/>
      <c r="AA2374" s="23"/>
      <c r="AB2374" s="5"/>
      <c r="AC2374" s="5"/>
      <c r="AD2374" s="5"/>
      <c r="AE2374" s="5"/>
      <c r="AF2374" s="5"/>
      <c r="AG2374" s="23"/>
      <c r="AH2374" s="5"/>
      <c r="AI2374" s="5"/>
      <c r="AJ2374" s="5"/>
      <c r="AK2374" s="5"/>
      <c r="AL2374" s="6"/>
      <c r="AM2374" s="5"/>
      <c r="AN2374" s="4"/>
      <c r="AO2374" s="4"/>
      <c r="AP2374" s="4"/>
      <c r="AQ2374" s="4"/>
      <c r="AR2374" s="4"/>
      <c r="AS2374" s="4"/>
      <c r="AT2374" s="4"/>
      <c r="AU2374" s="27"/>
      <c r="AV2374" s="39"/>
      <c r="AW2374" s="4"/>
    </row>
    <row r="2375" spans="1:49" ht="14.5" x14ac:dyDescent="0.35">
      <c r="A2375" s="1"/>
      <c r="B2375" s="4"/>
      <c r="C2375" s="29"/>
      <c r="D2375" s="29"/>
      <c r="E2375" s="29"/>
      <c r="F2375" s="2"/>
      <c r="G2375" s="2"/>
      <c r="H2375" s="6"/>
      <c r="I2375" s="6"/>
      <c r="J2375" s="18"/>
      <c r="K2375" s="23"/>
      <c r="L2375" s="5"/>
      <c r="M2375" s="5"/>
      <c r="N2375" s="5"/>
      <c r="O2375" s="5"/>
      <c r="P2375" s="5"/>
      <c r="Q2375" s="5"/>
      <c r="R2375" s="5"/>
      <c r="S2375" s="5"/>
      <c r="T2375" s="5"/>
      <c r="U2375" s="5"/>
      <c r="V2375" s="5"/>
      <c r="W2375" s="5"/>
      <c r="X2375" s="23"/>
      <c r="Y2375" s="18"/>
      <c r="Z2375" s="23"/>
      <c r="AA2375" s="23"/>
      <c r="AB2375" s="5"/>
      <c r="AC2375" s="5"/>
      <c r="AD2375" s="5"/>
      <c r="AE2375" s="5"/>
      <c r="AF2375" s="5"/>
      <c r="AG2375" s="23"/>
      <c r="AH2375" s="5"/>
      <c r="AI2375" s="5"/>
      <c r="AJ2375" s="5"/>
      <c r="AK2375" s="5"/>
      <c r="AL2375" s="6"/>
      <c r="AM2375" s="5"/>
      <c r="AN2375" s="4"/>
      <c r="AO2375" s="4"/>
      <c r="AP2375" s="4"/>
      <c r="AQ2375" s="4"/>
      <c r="AR2375" s="4"/>
      <c r="AS2375" s="4"/>
      <c r="AT2375" s="4"/>
      <c r="AU2375" s="27"/>
      <c r="AV2375" s="39"/>
      <c r="AW2375" s="4"/>
    </row>
    <row r="2376" spans="1:49" ht="14.5" x14ac:dyDescent="0.35">
      <c r="A2376" s="1"/>
      <c r="B2376" s="4"/>
      <c r="C2376" s="29"/>
      <c r="D2376" s="29"/>
      <c r="E2376" s="29"/>
      <c r="F2376" s="2"/>
      <c r="G2376" s="2"/>
      <c r="H2376" s="6"/>
      <c r="I2376" s="6"/>
      <c r="J2376" s="18"/>
      <c r="K2376" s="23"/>
      <c r="L2376" s="5"/>
      <c r="M2376" s="5"/>
      <c r="N2376" s="5"/>
      <c r="O2376" s="5"/>
      <c r="P2376" s="5"/>
      <c r="Q2376" s="5"/>
      <c r="R2376" s="5"/>
      <c r="S2376" s="5"/>
      <c r="T2376" s="5"/>
      <c r="U2376" s="5"/>
      <c r="V2376" s="5"/>
      <c r="W2376" s="5"/>
      <c r="X2376" s="23"/>
      <c r="Y2376" s="18"/>
      <c r="Z2376" s="23"/>
      <c r="AA2376" s="23"/>
      <c r="AB2376" s="5"/>
      <c r="AC2376" s="5"/>
      <c r="AD2376" s="5"/>
      <c r="AE2376" s="5"/>
      <c r="AF2376" s="5"/>
      <c r="AG2376" s="23"/>
      <c r="AH2376" s="5"/>
      <c r="AI2376" s="5"/>
      <c r="AJ2376" s="5"/>
      <c r="AK2376" s="5"/>
      <c r="AL2376" s="6"/>
      <c r="AM2376" s="5"/>
      <c r="AN2376" s="4"/>
      <c r="AO2376" s="4"/>
      <c r="AP2376" s="4"/>
      <c r="AQ2376" s="4"/>
      <c r="AR2376" s="4"/>
      <c r="AS2376" s="4"/>
      <c r="AT2376" s="4"/>
      <c r="AU2376" s="27"/>
      <c r="AV2376" s="39"/>
      <c r="AW2376" s="4"/>
    </row>
    <row r="2377" spans="1:49" ht="14.5" x14ac:dyDescent="0.35">
      <c r="A2377" s="1"/>
      <c r="B2377" s="4"/>
      <c r="C2377" s="29"/>
      <c r="D2377" s="29"/>
      <c r="E2377" s="29"/>
      <c r="F2377" s="2"/>
      <c r="G2377" s="2"/>
      <c r="H2377" s="6"/>
      <c r="I2377" s="6"/>
      <c r="J2377" s="18"/>
      <c r="K2377" s="23"/>
      <c r="L2377" s="5"/>
      <c r="M2377" s="5"/>
      <c r="N2377" s="5"/>
      <c r="O2377" s="5"/>
      <c r="P2377" s="5"/>
      <c r="Q2377" s="5"/>
      <c r="R2377" s="5"/>
      <c r="S2377" s="5"/>
      <c r="T2377" s="5"/>
      <c r="U2377" s="5"/>
      <c r="V2377" s="5"/>
      <c r="W2377" s="5"/>
      <c r="X2377" s="23"/>
      <c r="Y2377" s="18"/>
      <c r="Z2377" s="23"/>
      <c r="AA2377" s="23"/>
      <c r="AB2377" s="5"/>
      <c r="AC2377" s="5"/>
      <c r="AD2377" s="5"/>
      <c r="AE2377" s="5"/>
      <c r="AF2377" s="5"/>
      <c r="AG2377" s="23"/>
      <c r="AH2377" s="5"/>
      <c r="AI2377" s="5"/>
      <c r="AJ2377" s="5"/>
      <c r="AK2377" s="5"/>
      <c r="AL2377" s="6"/>
      <c r="AM2377" s="5"/>
      <c r="AN2377" s="4"/>
      <c r="AO2377" s="4"/>
      <c r="AP2377" s="4"/>
      <c r="AQ2377" s="4"/>
      <c r="AR2377" s="4"/>
      <c r="AS2377" s="4"/>
      <c r="AT2377" s="4"/>
      <c r="AU2377" s="27"/>
      <c r="AV2377" s="39"/>
      <c r="AW2377" s="4"/>
    </row>
    <row r="2378" spans="1:49" ht="14.5" x14ac:dyDescent="0.35">
      <c r="A2378" s="1"/>
      <c r="B2378" s="4"/>
      <c r="C2378" s="29"/>
      <c r="D2378" s="29"/>
      <c r="E2378" s="29"/>
      <c r="F2378" s="2"/>
      <c r="G2378" s="2"/>
      <c r="H2378" s="6"/>
      <c r="I2378" s="6"/>
      <c r="J2378" s="18"/>
      <c r="K2378" s="23"/>
      <c r="L2378" s="5"/>
      <c r="M2378" s="5"/>
      <c r="N2378" s="5"/>
      <c r="O2378" s="5"/>
      <c r="P2378" s="5"/>
      <c r="Q2378" s="5"/>
      <c r="R2378" s="5"/>
      <c r="S2378" s="5"/>
      <c r="T2378" s="5"/>
      <c r="U2378" s="5"/>
      <c r="V2378" s="5"/>
      <c r="W2378" s="5"/>
      <c r="X2378" s="23"/>
      <c r="Y2378" s="18"/>
      <c r="Z2378" s="23"/>
      <c r="AA2378" s="23"/>
      <c r="AB2378" s="5"/>
      <c r="AC2378" s="5"/>
      <c r="AD2378" s="5"/>
      <c r="AE2378" s="5"/>
      <c r="AF2378" s="5"/>
      <c r="AG2378" s="23"/>
      <c r="AH2378" s="5"/>
      <c r="AI2378" s="5"/>
      <c r="AJ2378" s="5"/>
      <c r="AK2378" s="5"/>
      <c r="AL2378" s="6"/>
      <c r="AM2378" s="5"/>
      <c r="AN2378" s="4"/>
      <c r="AO2378" s="4"/>
      <c r="AP2378" s="4"/>
      <c r="AQ2378" s="4"/>
      <c r="AR2378" s="4"/>
      <c r="AS2378" s="4"/>
      <c r="AT2378" s="4"/>
      <c r="AU2378" s="27"/>
      <c r="AV2378" s="39"/>
      <c r="AW2378" s="4"/>
    </row>
    <row r="2379" spans="1:49" ht="14.5" x14ac:dyDescent="0.35">
      <c r="A2379" s="1"/>
      <c r="B2379" s="4"/>
      <c r="C2379" s="29"/>
      <c r="D2379" s="29"/>
      <c r="E2379" s="29"/>
      <c r="F2379" s="2"/>
      <c r="G2379" s="2"/>
      <c r="H2379" s="6"/>
      <c r="I2379" s="6"/>
      <c r="J2379" s="18"/>
      <c r="K2379" s="23"/>
      <c r="L2379" s="5"/>
      <c r="M2379" s="5"/>
      <c r="N2379" s="5"/>
      <c r="O2379" s="5"/>
      <c r="P2379" s="5"/>
      <c r="Q2379" s="5"/>
      <c r="R2379" s="5"/>
      <c r="S2379" s="5"/>
      <c r="T2379" s="5"/>
      <c r="U2379" s="5"/>
      <c r="V2379" s="5"/>
      <c r="W2379" s="5"/>
      <c r="X2379" s="23"/>
      <c r="Y2379" s="18"/>
      <c r="Z2379" s="23"/>
      <c r="AA2379" s="23"/>
      <c r="AB2379" s="5"/>
      <c r="AC2379" s="5"/>
      <c r="AD2379" s="5"/>
      <c r="AE2379" s="5"/>
      <c r="AF2379" s="5"/>
      <c r="AG2379" s="23"/>
      <c r="AH2379" s="5"/>
      <c r="AI2379" s="5"/>
      <c r="AJ2379" s="5"/>
      <c r="AK2379" s="5"/>
      <c r="AL2379" s="6"/>
      <c r="AM2379" s="5"/>
      <c r="AN2379" s="4"/>
      <c r="AO2379" s="4"/>
      <c r="AP2379" s="4"/>
      <c r="AQ2379" s="4"/>
      <c r="AR2379" s="4"/>
      <c r="AS2379" s="4"/>
      <c r="AT2379" s="4"/>
      <c r="AU2379" s="27"/>
      <c r="AV2379" s="39"/>
      <c r="AW2379" s="4"/>
    </row>
    <row r="2380" spans="1:49" ht="14.5" x14ac:dyDescent="0.35">
      <c r="A2380" s="1"/>
      <c r="B2380" s="4"/>
      <c r="C2380" s="29"/>
      <c r="D2380" s="29"/>
      <c r="E2380" s="29"/>
      <c r="F2380" s="2"/>
      <c r="G2380" s="2"/>
      <c r="H2380" s="6"/>
      <c r="I2380" s="6"/>
      <c r="J2380" s="18"/>
      <c r="K2380" s="23"/>
      <c r="L2380" s="5"/>
      <c r="M2380" s="5"/>
      <c r="N2380" s="5"/>
      <c r="O2380" s="5"/>
      <c r="P2380" s="5"/>
      <c r="Q2380" s="5"/>
      <c r="R2380" s="5"/>
      <c r="S2380" s="5"/>
      <c r="T2380" s="5"/>
      <c r="U2380" s="5"/>
      <c r="V2380" s="5"/>
      <c r="W2380" s="5"/>
      <c r="X2380" s="23"/>
      <c r="Y2380" s="18"/>
      <c r="Z2380" s="23"/>
      <c r="AA2380" s="23"/>
      <c r="AB2380" s="5"/>
      <c r="AC2380" s="5"/>
      <c r="AD2380" s="5"/>
      <c r="AE2380" s="5"/>
      <c r="AF2380" s="5"/>
      <c r="AG2380" s="23"/>
      <c r="AH2380" s="5"/>
      <c r="AI2380" s="5"/>
      <c r="AJ2380" s="5"/>
      <c r="AK2380" s="5"/>
      <c r="AL2380" s="6"/>
      <c r="AM2380" s="5"/>
      <c r="AN2380" s="4"/>
      <c r="AO2380" s="4"/>
      <c r="AP2380" s="4"/>
      <c r="AQ2380" s="4"/>
      <c r="AR2380" s="4"/>
      <c r="AS2380" s="4"/>
      <c r="AT2380" s="4"/>
      <c r="AU2380" s="27"/>
      <c r="AV2380" s="39"/>
      <c r="AW2380" s="4"/>
    </row>
    <row r="2381" spans="1:49" ht="14.5" x14ac:dyDescent="0.35">
      <c r="A2381" s="1"/>
      <c r="B2381" s="4"/>
      <c r="C2381" s="29"/>
      <c r="D2381" s="29"/>
      <c r="E2381" s="29"/>
      <c r="F2381" s="2"/>
      <c r="G2381" s="2"/>
      <c r="H2381" s="6"/>
      <c r="I2381" s="6"/>
      <c r="J2381" s="18"/>
      <c r="K2381" s="23"/>
      <c r="L2381" s="5"/>
      <c r="M2381" s="5"/>
      <c r="N2381" s="5"/>
      <c r="O2381" s="5"/>
      <c r="P2381" s="5"/>
      <c r="Q2381" s="5"/>
      <c r="R2381" s="5"/>
      <c r="S2381" s="5"/>
      <c r="T2381" s="5"/>
      <c r="U2381" s="5"/>
      <c r="V2381" s="5"/>
      <c r="W2381" s="5"/>
      <c r="X2381" s="23"/>
      <c r="Y2381" s="18"/>
      <c r="Z2381" s="23"/>
      <c r="AA2381" s="23"/>
      <c r="AB2381" s="5"/>
      <c r="AC2381" s="5"/>
      <c r="AD2381" s="5"/>
      <c r="AE2381" s="5"/>
      <c r="AF2381" s="5"/>
      <c r="AG2381" s="23"/>
      <c r="AH2381" s="5"/>
      <c r="AI2381" s="5"/>
      <c r="AJ2381" s="5"/>
      <c r="AK2381" s="5"/>
      <c r="AL2381" s="6"/>
      <c r="AM2381" s="5"/>
      <c r="AN2381" s="4"/>
      <c r="AO2381" s="4"/>
      <c r="AP2381" s="4"/>
      <c r="AQ2381" s="4"/>
      <c r="AR2381" s="4"/>
      <c r="AS2381" s="4"/>
      <c r="AT2381" s="4"/>
      <c r="AU2381" s="27"/>
      <c r="AV2381" s="39"/>
      <c r="AW2381" s="4"/>
    </row>
    <row r="2382" spans="1:49" ht="14.5" x14ac:dyDescent="0.35">
      <c r="A2382" s="1"/>
      <c r="B2382" s="4"/>
      <c r="C2382" s="29"/>
      <c r="D2382" s="29"/>
      <c r="E2382" s="29"/>
      <c r="F2382" s="2"/>
      <c r="G2382" s="2"/>
      <c r="H2382" s="6"/>
      <c r="I2382" s="6"/>
      <c r="J2382" s="18"/>
      <c r="K2382" s="23"/>
      <c r="L2382" s="5"/>
      <c r="M2382" s="5"/>
      <c r="N2382" s="5"/>
      <c r="O2382" s="5"/>
      <c r="P2382" s="5"/>
      <c r="Q2382" s="5"/>
      <c r="R2382" s="5"/>
      <c r="S2382" s="5"/>
      <c r="T2382" s="5"/>
      <c r="U2382" s="5"/>
      <c r="V2382" s="5"/>
      <c r="W2382" s="5"/>
      <c r="X2382" s="23"/>
      <c r="Y2382" s="18"/>
      <c r="Z2382" s="23"/>
      <c r="AA2382" s="23"/>
      <c r="AB2382" s="5"/>
      <c r="AC2382" s="5"/>
      <c r="AD2382" s="5"/>
      <c r="AE2382" s="5"/>
      <c r="AF2382" s="5"/>
      <c r="AG2382" s="23"/>
      <c r="AH2382" s="5"/>
      <c r="AI2382" s="5"/>
      <c r="AJ2382" s="5"/>
      <c r="AK2382" s="5"/>
      <c r="AL2382" s="6"/>
      <c r="AM2382" s="5"/>
      <c r="AN2382" s="4"/>
      <c r="AO2382" s="4"/>
      <c r="AP2382" s="4"/>
      <c r="AQ2382" s="4"/>
      <c r="AR2382" s="4"/>
      <c r="AS2382" s="4"/>
      <c r="AT2382" s="4"/>
      <c r="AU2382" s="27"/>
      <c r="AV2382" s="39"/>
      <c r="AW2382" s="4"/>
    </row>
    <row r="2383" spans="1:49" ht="14.5" x14ac:dyDescent="0.35">
      <c r="A2383" s="1"/>
      <c r="B2383" s="4"/>
      <c r="C2383" s="29"/>
      <c r="D2383" s="29"/>
      <c r="E2383" s="29"/>
      <c r="F2383" s="2"/>
      <c r="G2383" s="2"/>
      <c r="H2383" s="6"/>
      <c r="I2383" s="6"/>
      <c r="J2383" s="18"/>
      <c r="K2383" s="23"/>
      <c r="L2383" s="5"/>
      <c r="M2383" s="5"/>
      <c r="N2383" s="5"/>
      <c r="O2383" s="5"/>
      <c r="P2383" s="5"/>
      <c r="Q2383" s="5"/>
      <c r="R2383" s="5"/>
      <c r="S2383" s="5"/>
      <c r="T2383" s="5"/>
      <c r="U2383" s="5"/>
      <c r="V2383" s="5"/>
      <c r="W2383" s="5"/>
      <c r="X2383" s="23"/>
      <c r="Y2383" s="18"/>
      <c r="Z2383" s="23"/>
      <c r="AA2383" s="23"/>
      <c r="AB2383" s="5"/>
      <c r="AC2383" s="5"/>
      <c r="AD2383" s="5"/>
      <c r="AE2383" s="5"/>
      <c r="AF2383" s="5"/>
      <c r="AG2383" s="23"/>
      <c r="AH2383" s="5"/>
      <c r="AI2383" s="5"/>
      <c r="AJ2383" s="5"/>
      <c r="AK2383" s="5"/>
      <c r="AL2383" s="6"/>
      <c r="AM2383" s="5"/>
      <c r="AN2383" s="4"/>
      <c r="AO2383" s="4"/>
      <c r="AP2383" s="4"/>
      <c r="AQ2383" s="4"/>
      <c r="AR2383" s="4"/>
      <c r="AS2383" s="4"/>
      <c r="AT2383" s="4"/>
      <c r="AU2383" s="27"/>
      <c r="AV2383" s="39"/>
      <c r="AW2383" s="4"/>
    </row>
    <row r="2384" spans="1:49" ht="14.5" x14ac:dyDescent="0.35">
      <c r="A2384" s="1"/>
      <c r="B2384" s="4"/>
      <c r="C2384" s="29"/>
      <c r="D2384" s="29"/>
      <c r="E2384" s="29"/>
      <c r="F2384" s="2"/>
      <c r="G2384" s="2"/>
      <c r="H2384" s="6"/>
      <c r="I2384" s="6"/>
      <c r="J2384" s="18"/>
      <c r="K2384" s="23"/>
      <c r="L2384" s="5"/>
      <c r="M2384" s="5"/>
      <c r="N2384" s="5"/>
      <c r="O2384" s="5"/>
      <c r="P2384" s="5"/>
      <c r="Q2384" s="5"/>
      <c r="R2384" s="5"/>
      <c r="S2384" s="5"/>
      <c r="T2384" s="5"/>
      <c r="U2384" s="5"/>
      <c r="V2384" s="5"/>
      <c r="W2384" s="5"/>
      <c r="X2384" s="23"/>
      <c r="Y2384" s="18"/>
      <c r="Z2384" s="23"/>
      <c r="AA2384" s="23"/>
      <c r="AB2384" s="5"/>
      <c r="AC2384" s="5"/>
      <c r="AD2384" s="5"/>
      <c r="AE2384" s="5"/>
      <c r="AF2384" s="5"/>
      <c r="AG2384" s="23"/>
      <c r="AH2384" s="5"/>
      <c r="AI2384" s="5"/>
      <c r="AJ2384" s="5"/>
      <c r="AK2384" s="5"/>
      <c r="AL2384" s="6"/>
      <c r="AM2384" s="5"/>
      <c r="AN2384" s="4"/>
      <c r="AO2384" s="4"/>
      <c r="AP2384" s="4"/>
      <c r="AQ2384" s="4"/>
      <c r="AR2384" s="4"/>
      <c r="AS2384" s="4"/>
      <c r="AT2384" s="4"/>
      <c r="AU2384" s="27"/>
      <c r="AV2384" s="39"/>
      <c r="AW2384" s="4"/>
    </row>
    <row r="2385" spans="1:49" ht="14.5" x14ac:dyDescent="0.35">
      <c r="A2385" s="1"/>
      <c r="B2385" s="4"/>
      <c r="C2385" s="29"/>
      <c r="D2385" s="29"/>
      <c r="E2385" s="29"/>
      <c r="F2385" s="2"/>
      <c r="G2385" s="2"/>
      <c r="H2385" s="6"/>
      <c r="I2385" s="6"/>
      <c r="J2385" s="18"/>
      <c r="K2385" s="23"/>
      <c r="L2385" s="5"/>
      <c r="M2385" s="5"/>
      <c r="N2385" s="5"/>
      <c r="O2385" s="5"/>
      <c r="P2385" s="5"/>
      <c r="Q2385" s="5"/>
      <c r="R2385" s="5"/>
      <c r="S2385" s="5"/>
      <c r="T2385" s="5"/>
      <c r="U2385" s="5"/>
      <c r="V2385" s="5"/>
      <c r="W2385" s="5"/>
      <c r="X2385" s="23"/>
      <c r="Y2385" s="18"/>
      <c r="Z2385" s="23"/>
      <c r="AA2385" s="23"/>
      <c r="AB2385" s="5"/>
      <c r="AC2385" s="5"/>
      <c r="AD2385" s="5"/>
      <c r="AE2385" s="5"/>
      <c r="AF2385" s="5"/>
      <c r="AG2385" s="23"/>
      <c r="AH2385" s="5"/>
      <c r="AI2385" s="5"/>
      <c r="AJ2385" s="5"/>
      <c r="AK2385" s="5"/>
      <c r="AL2385" s="6"/>
      <c r="AM2385" s="5"/>
      <c r="AN2385" s="4"/>
      <c r="AO2385" s="4"/>
      <c r="AP2385" s="4"/>
      <c r="AQ2385" s="4"/>
      <c r="AR2385" s="4"/>
      <c r="AS2385" s="4"/>
      <c r="AT2385" s="4"/>
      <c r="AU2385" s="27"/>
      <c r="AV2385" s="39"/>
      <c r="AW2385" s="4"/>
    </row>
    <row r="2386" spans="1:49" ht="14.5" x14ac:dyDescent="0.35">
      <c r="A2386" s="1"/>
      <c r="B2386" s="4"/>
      <c r="C2386" s="29"/>
      <c r="D2386" s="29"/>
      <c r="E2386" s="29"/>
      <c r="F2386" s="2"/>
      <c r="G2386" s="2"/>
      <c r="H2386" s="6"/>
      <c r="I2386" s="6"/>
      <c r="J2386" s="18"/>
      <c r="K2386" s="23"/>
      <c r="L2386" s="5"/>
      <c r="M2386" s="5"/>
      <c r="N2386" s="5"/>
      <c r="O2386" s="5"/>
      <c r="P2386" s="5"/>
      <c r="Q2386" s="5"/>
      <c r="R2386" s="5"/>
      <c r="S2386" s="5"/>
      <c r="T2386" s="5"/>
      <c r="U2386" s="5"/>
      <c r="V2386" s="5"/>
      <c r="W2386" s="5"/>
      <c r="X2386" s="23"/>
      <c r="Y2386" s="18"/>
      <c r="Z2386" s="23"/>
      <c r="AA2386" s="23"/>
      <c r="AB2386" s="5"/>
      <c r="AC2386" s="5"/>
      <c r="AD2386" s="5"/>
      <c r="AE2386" s="5"/>
      <c r="AF2386" s="5"/>
      <c r="AG2386" s="23"/>
      <c r="AH2386" s="5"/>
      <c r="AI2386" s="5"/>
      <c r="AJ2386" s="5"/>
      <c r="AK2386" s="5"/>
      <c r="AL2386" s="6"/>
      <c r="AM2386" s="5"/>
      <c r="AN2386" s="4"/>
      <c r="AO2386" s="4"/>
      <c r="AP2386" s="4"/>
      <c r="AQ2386" s="4"/>
      <c r="AR2386" s="4"/>
      <c r="AS2386" s="4"/>
      <c r="AT2386" s="4"/>
      <c r="AU2386" s="27"/>
      <c r="AV2386" s="39"/>
      <c r="AW2386" s="4"/>
    </row>
    <row r="2387" spans="1:49" ht="14.5" x14ac:dyDescent="0.35">
      <c r="A2387" s="1"/>
      <c r="B2387" s="4"/>
      <c r="C2387" s="29"/>
      <c r="D2387" s="29"/>
      <c r="E2387" s="29"/>
      <c r="F2387" s="2"/>
      <c r="G2387" s="2"/>
      <c r="H2387" s="6"/>
      <c r="I2387" s="6"/>
      <c r="J2387" s="18"/>
      <c r="K2387" s="23"/>
      <c r="L2387" s="5"/>
      <c r="M2387" s="5"/>
      <c r="N2387" s="5"/>
      <c r="O2387" s="5"/>
      <c r="P2387" s="5"/>
      <c r="Q2387" s="5"/>
      <c r="R2387" s="5"/>
      <c r="S2387" s="5"/>
      <c r="T2387" s="5"/>
      <c r="U2387" s="5"/>
      <c r="V2387" s="5"/>
      <c r="W2387" s="5"/>
      <c r="X2387" s="23"/>
      <c r="Y2387" s="18"/>
      <c r="Z2387" s="23"/>
      <c r="AA2387" s="23"/>
      <c r="AB2387" s="5"/>
      <c r="AC2387" s="5"/>
      <c r="AD2387" s="5"/>
      <c r="AE2387" s="5"/>
      <c r="AF2387" s="5"/>
      <c r="AG2387" s="23"/>
      <c r="AH2387" s="5"/>
      <c r="AI2387" s="5"/>
      <c r="AJ2387" s="5"/>
      <c r="AK2387" s="5"/>
      <c r="AL2387" s="6"/>
      <c r="AM2387" s="5"/>
      <c r="AN2387" s="4"/>
      <c r="AO2387" s="4"/>
      <c r="AP2387" s="4"/>
      <c r="AQ2387" s="4"/>
      <c r="AR2387" s="4"/>
      <c r="AS2387" s="4"/>
      <c r="AT2387" s="4"/>
      <c r="AU2387" s="27"/>
      <c r="AV2387" s="39"/>
      <c r="AW2387" s="4"/>
    </row>
    <row r="2388" spans="1:49" ht="14.5" x14ac:dyDescent="0.35">
      <c r="A2388" s="1"/>
      <c r="B2388" s="4"/>
      <c r="C2388" s="29"/>
      <c r="D2388" s="29"/>
      <c r="E2388" s="29"/>
      <c r="F2388" s="2"/>
      <c r="G2388" s="2"/>
      <c r="H2388" s="6"/>
      <c r="I2388" s="6"/>
      <c r="J2388" s="18"/>
      <c r="K2388" s="23"/>
      <c r="L2388" s="5"/>
      <c r="M2388" s="5"/>
      <c r="N2388" s="5"/>
      <c r="O2388" s="5"/>
      <c r="P2388" s="5"/>
      <c r="Q2388" s="5"/>
      <c r="R2388" s="5"/>
      <c r="S2388" s="5"/>
      <c r="T2388" s="5"/>
      <c r="U2388" s="5"/>
      <c r="V2388" s="5"/>
      <c r="W2388" s="5"/>
      <c r="X2388" s="23"/>
      <c r="Y2388" s="18"/>
      <c r="Z2388" s="23"/>
      <c r="AA2388" s="23"/>
      <c r="AB2388" s="5"/>
      <c r="AC2388" s="5"/>
      <c r="AD2388" s="5"/>
      <c r="AE2388" s="5"/>
      <c r="AF2388" s="5"/>
      <c r="AG2388" s="23"/>
      <c r="AH2388" s="5"/>
      <c r="AI2388" s="5"/>
      <c r="AJ2388" s="5"/>
      <c r="AK2388" s="5"/>
      <c r="AL2388" s="6"/>
      <c r="AM2388" s="5"/>
      <c r="AN2388" s="4"/>
      <c r="AO2388" s="4"/>
      <c r="AP2388" s="4"/>
      <c r="AQ2388" s="4"/>
      <c r="AR2388" s="4"/>
      <c r="AS2388" s="4"/>
      <c r="AT2388" s="4"/>
      <c r="AU2388" s="27"/>
      <c r="AV2388" s="39"/>
      <c r="AW2388" s="4"/>
    </row>
    <row r="2389" spans="1:49" ht="14.5" x14ac:dyDescent="0.35">
      <c r="A2389" s="1"/>
      <c r="B2389" s="4"/>
      <c r="C2389" s="29"/>
      <c r="D2389" s="29"/>
      <c r="E2389" s="29"/>
      <c r="F2389" s="2"/>
      <c r="G2389" s="2"/>
      <c r="H2389" s="6"/>
      <c r="I2389" s="6"/>
      <c r="J2389" s="18"/>
      <c r="K2389" s="23"/>
      <c r="L2389" s="5"/>
      <c r="M2389" s="5"/>
      <c r="N2389" s="5"/>
      <c r="O2389" s="5"/>
      <c r="P2389" s="5"/>
      <c r="Q2389" s="5"/>
      <c r="R2389" s="5"/>
      <c r="S2389" s="5"/>
      <c r="T2389" s="5"/>
      <c r="U2389" s="5"/>
      <c r="V2389" s="5"/>
      <c r="W2389" s="5"/>
      <c r="X2389" s="23"/>
      <c r="Y2389" s="18"/>
      <c r="Z2389" s="23"/>
      <c r="AA2389" s="23"/>
      <c r="AB2389" s="5"/>
      <c r="AC2389" s="5"/>
      <c r="AD2389" s="5"/>
      <c r="AE2389" s="5"/>
      <c r="AF2389" s="5"/>
      <c r="AG2389" s="23"/>
      <c r="AH2389" s="5"/>
      <c r="AI2389" s="5"/>
      <c r="AJ2389" s="5"/>
      <c r="AK2389" s="5"/>
      <c r="AL2389" s="6"/>
      <c r="AM2389" s="5"/>
      <c r="AN2389" s="4"/>
      <c r="AO2389" s="4"/>
      <c r="AP2389" s="4"/>
      <c r="AQ2389" s="4"/>
      <c r="AR2389" s="4"/>
      <c r="AS2389" s="4"/>
      <c r="AT2389" s="4"/>
      <c r="AU2389" s="27"/>
      <c r="AV2389" s="39"/>
      <c r="AW2389" s="4"/>
    </row>
    <row r="2390" spans="1:49" ht="14.5" x14ac:dyDescent="0.35">
      <c r="A2390" s="1"/>
      <c r="B2390" s="4"/>
      <c r="C2390" s="29"/>
      <c r="D2390" s="29"/>
      <c r="E2390" s="29"/>
      <c r="F2390" s="2"/>
      <c r="G2390" s="2"/>
      <c r="H2390" s="6"/>
      <c r="I2390" s="6"/>
      <c r="J2390" s="18"/>
      <c r="K2390" s="23"/>
      <c r="L2390" s="5"/>
      <c r="M2390" s="5"/>
      <c r="N2390" s="5"/>
      <c r="O2390" s="5"/>
      <c r="P2390" s="5"/>
      <c r="Q2390" s="5"/>
      <c r="R2390" s="5"/>
      <c r="S2390" s="5"/>
      <c r="T2390" s="5"/>
      <c r="U2390" s="5"/>
      <c r="V2390" s="5"/>
      <c r="W2390" s="5"/>
      <c r="X2390" s="23"/>
      <c r="Y2390" s="18"/>
      <c r="Z2390" s="23"/>
      <c r="AA2390" s="23"/>
      <c r="AB2390" s="5"/>
      <c r="AC2390" s="5"/>
      <c r="AD2390" s="5"/>
      <c r="AE2390" s="5"/>
      <c r="AF2390" s="5"/>
      <c r="AG2390" s="23"/>
      <c r="AH2390" s="5"/>
      <c r="AI2390" s="5"/>
      <c r="AJ2390" s="5"/>
      <c r="AK2390" s="5"/>
      <c r="AL2390" s="6"/>
      <c r="AM2390" s="5"/>
      <c r="AN2390" s="4"/>
      <c r="AO2390" s="4"/>
      <c r="AP2390" s="4"/>
      <c r="AQ2390" s="4"/>
      <c r="AR2390" s="4"/>
      <c r="AS2390" s="4"/>
      <c r="AT2390" s="4"/>
      <c r="AU2390" s="27"/>
      <c r="AV2390" s="39"/>
      <c r="AW2390" s="4"/>
    </row>
    <row r="2391" spans="1:49" ht="14.5" x14ac:dyDescent="0.35">
      <c r="A2391" s="1"/>
      <c r="B2391" s="4"/>
      <c r="C2391" s="29"/>
      <c r="D2391" s="29"/>
      <c r="E2391" s="29"/>
      <c r="F2391" s="2"/>
      <c r="G2391" s="2"/>
      <c r="H2391" s="6"/>
      <c r="I2391" s="6"/>
      <c r="J2391" s="18"/>
      <c r="K2391" s="23"/>
      <c r="L2391" s="5"/>
      <c r="M2391" s="5"/>
      <c r="N2391" s="5"/>
      <c r="O2391" s="5"/>
      <c r="P2391" s="5"/>
      <c r="Q2391" s="5"/>
      <c r="R2391" s="5"/>
      <c r="S2391" s="5"/>
      <c r="T2391" s="5"/>
      <c r="U2391" s="5"/>
      <c r="V2391" s="5"/>
      <c r="W2391" s="5"/>
      <c r="X2391" s="23"/>
      <c r="Y2391" s="18"/>
      <c r="Z2391" s="23"/>
      <c r="AA2391" s="23"/>
      <c r="AB2391" s="5"/>
      <c r="AC2391" s="5"/>
      <c r="AD2391" s="5"/>
      <c r="AE2391" s="5"/>
      <c r="AF2391" s="5"/>
      <c r="AG2391" s="23"/>
      <c r="AH2391" s="5"/>
      <c r="AI2391" s="5"/>
      <c r="AJ2391" s="5"/>
      <c r="AK2391" s="5"/>
      <c r="AL2391" s="6"/>
      <c r="AM2391" s="5"/>
      <c r="AN2391" s="4"/>
      <c r="AO2391" s="4"/>
      <c r="AP2391" s="4"/>
      <c r="AQ2391" s="4"/>
      <c r="AR2391" s="4"/>
      <c r="AS2391" s="4"/>
      <c r="AT2391" s="4"/>
      <c r="AU2391" s="27"/>
      <c r="AV2391" s="39"/>
      <c r="AW2391" s="4"/>
    </row>
    <row r="2392" spans="1:49" ht="14.5" x14ac:dyDescent="0.35">
      <c r="A2392" s="1"/>
      <c r="B2392" s="4"/>
      <c r="C2392" s="29"/>
      <c r="D2392" s="29"/>
      <c r="E2392" s="29"/>
      <c r="F2392" s="2"/>
      <c r="G2392" s="2"/>
      <c r="H2392" s="6"/>
      <c r="I2392" s="6"/>
      <c r="J2392" s="18"/>
      <c r="K2392" s="23"/>
      <c r="L2392" s="5"/>
      <c r="M2392" s="5"/>
      <c r="N2392" s="5"/>
      <c r="O2392" s="5"/>
      <c r="P2392" s="5"/>
      <c r="Q2392" s="5"/>
      <c r="R2392" s="5"/>
      <c r="S2392" s="5"/>
      <c r="T2392" s="5"/>
      <c r="U2392" s="5"/>
      <c r="V2392" s="5"/>
      <c r="W2392" s="5"/>
      <c r="X2392" s="23"/>
      <c r="Y2392" s="18"/>
      <c r="Z2392" s="23"/>
      <c r="AA2392" s="23"/>
      <c r="AB2392" s="5"/>
      <c r="AC2392" s="5"/>
      <c r="AD2392" s="5"/>
      <c r="AE2392" s="5"/>
      <c r="AF2392" s="5"/>
      <c r="AG2392" s="23"/>
      <c r="AH2392" s="5"/>
      <c r="AI2392" s="5"/>
      <c r="AJ2392" s="5"/>
      <c r="AK2392" s="5"/>
      <c r="AL2392" s="6"/>
      <c r="AM2392" s="5"/>
      <c r="AN2392" s="4"/>
      <c r="AO2392" s="4"/>
      <c r="AP2392" s="4"/>
      <c r="AQ2392" s="4"/>
      <c r="AR2392" s="4"/>
      <c r="AS2392" s="4"/>
      <c r="AT2392" s="4"/>
      <c r="AU2392" s="27"/>
      <c r="AV2392" s="39"/>
      <c r="AW2392" s="4"/>
    </row>
    <row r="2393" spans="1:49" ht="14.5" x14ac:dyDescent="0.35">
      <c r="A2393" s="1"/>
      <c r="B2393" s="4"/>
      <c r="C2393" s="29"/>
      <c r="D2393" s="29"/>
      <c r="E2393" s="29"/>
      <c r="F2393" s="2"/>
      <c r="G2393" s="2"/>
      <c r="H2393" s="6"/>
      <c r="I2393" s="6"/>
      <c r="J2393" s="18"/>
      <c r="K2393" s="23"/>
      <c r="L2393" s="5"/>
      <c r="M2393" s="5"/>
      <c r="N2393" s="5"/>
      <c r="O2393" s="5"/>
      <c r="P2393" s="5"/>
      <c r="Q2393" s="5"/>
      <c r="R2393" s="5"/>
      <c r="S2393" s="5"/>
      <c r="T2393" s="5"/>
      <c r="U2393" s="5"/>
      <c r="V2393" s="5"/>
      <c r="W2393" s="5"/>
      <c r="X2393" s="23"/>
      <c r="Y2393" s="18"/>
      <c r="Z2393" s="23"/>
      <c r="AA2393" s="23"/>
      <c r="AB2393" s="5"/>
      <c r="AC2393" s="5"/>
      <c r="AD2393" s="5"/>
      <c r="AE2393" s="5"/>
      <c r="AF2393" s="5"/>
      <c r="AG2393" s="23"/>
      <c r="AH2393" s="5"/>
      <c r="AI2393" s="5"/>
      <c r="AJ2393" s="5"/>
      <c r="AK2393" s="5"/>
      <c r="AL2393" s="6"/>
      <c r="AM2393" s="5"/>
      <c r="AN2393" s="4"/>
      <c r="AO2393" s="4"/>
      <c r="AP2393" s="4"/>
      <c r="AQ2393" s="4"/>
      <c r="AR2393" s="4"/>
      <c r="AS2393" s="4"/>
      <c r="AT2393" s="4"/>
      <c r="AU2393" s="27"/>
      <c r="AV2393" s="39"/>
      <c r="AW2393" s="4"/>
    </row>
    <row r="2394" spans="1:49" ht="14.5" x14ac:dyDescent="0.35">
      <c r="A2394" s="1"/>
      <c r="B2394" s="4"/>
      <c r="C2394" s="29"/>
      <c r="D2394" s="29"/>
      <c r="E2394" s="29"/>
      <c r="F2394" s="2"/>
      <c r="G2394" s="2"/>
      <c r="H2394" s="6"/>
      <c r="I2394" s="6"/>
      <c r="J2394" s="18"/>
      <c r="K2394" s="23"/>
      <c r="L2394" s="5"/>
      <c r="M2394" s="5"/>
      <c r="N2394" s="5"/>
      <c r="O2394" s="5"/>
      <c r="P2394" s="5"/>
      <c r="Q2394" s="5"/>
      <c r="R2394" s="5"/>
      <c r="S2394" s="5"/>
      <c r="T2394" s="5"/>
      <c r="U2394" s="5"/>
      <c r="V2394" s="5"/>
      <c r="W2394" s="5"/>
      <c r="X2394" s="23"/>
      <c r="Y2394" s="18"/>
      <c r="Z2394" s="23"/>
      <c r="AA2394" s="23"/>
      <c r="AB2394" s="5"/>
      <c r="AC2394" s="5"/>
      <c r="AD2394" s="5"/>
      <c r="AE2394" s="5"/>
      <c r="AF2394" s="5"/>
      <c r="AG2394" s="23"/>
      <c r="AH2394" s="5"/>
      <c r="AI2394" s="5"/>
      <c r="AJ2394" s="5"/>
      <c r="AK2394" s="5"/>
      <c r="AL2394" s="6"/>
      <c r="AM2394" s="5"/>
      <c r="AN2394" s="4"/>
      <c r="AO2394" s="4"/>
      <c r="AP2394" s="4"/>
      <c r="AQ2394" s="4"/>
      <c r="AR2394" s="4"/>
      <c r="AS2394" s="4"/>
      <c r="AT2394" s="4"/>
      <c r="AU2394" s="27"/>
      <c r="AV2394" s="39"/>
      <c r="AW2394" s="4"/>
    </row>
    <row r="2395" spans="1:49" ht="14.5" x14ac:dyDescent="0.35">
      <c r="A2395" s="1"/>
      <c r="B2395" s="4"/>
      <c r="C2395" s="29"/>
      <c r="D2395" s="29"/>
      <c r="E2395" s="29"/>
      <c r="F2395" s="2"/>
      <c r="G2395" s="2"/>
      <c r="H2395" s="6"/>
      <c r="I2395" s="6"/>
      <c r="J2395" s="18"/>
      <c r="K2395" s="23"/>
      <c r="L2395" s="5"/>
      <c r="M2395" s="5"/>
      <c r="N2395" s="5"/>
      <c r="O2395" s="5"/>
      <c r="P2395" s="5"/>
      <c r="Q2395" s="5"/>
      <c r="R2395" s="5"/>
      <c r="S2395" s="5"/>
      <c r="T2395" s="5"/>
      <c r="U2395" s="5"/>
      <c r="V2395" s="5"/>
      <c r="W2395" s="5"/>
      <c r="X2395" s="23"/>
      <c r="Y2395" s="18"/>
      <c r="Z2395" s="23"/>
      <c r="AA2395" s="23"/>
      <c r="AB2395" s="5"/>
      <c r="AC2395" s="5"/>
      <c r="AD2395" s="5"/>
      <c r="AE2395" s="5"/>
      <c r="AF2395" s="5"/>
      <c r="AG2395" s="23"/>
      <c r="AH2395" s="5"/>
      <c r="AI2395" s="5"/>
      <c r="AJ2395" s="5"/>
      <c r="AK2395" s="5"/>
      <c r="AL2395" s="6"/>
      <c r="AM2395" s="5"/>
      <c r="AN2395" s="4"/>
      <c r="AO2395" s="4"/>
      <c r="AP2395" s="4"/>
      <c r="AQ2395" s="4"/>
      <c r="AR2395" s="4"/>
      <c r="AS2395" s="4"/>
      <c r="AT2395" s="4"/>
      <c r="AU2395" s="27"/>
      <c r="AV2395" s="39"/>
      <c r="AW2395" s="4"/>
    </row>
    <row r="2396" spans="1:49" ht="14.5" x14ac:dyDescent="0.35">
      <c r="A2396" s="1"/>
      <c r="B2396" s="4"/>
      <c r="C2396" s="29"/>
      <c r="D2396" s="29"/>
      <c r="E2396" s="29"/>
      <c r="F2396" s="2"/>
      <c r="G2396" s="2"/>
      <c r="H2396" s="6"/>
      <c r="I2396" s="6"/>
      <c r="J2396" s="18"/>
      <c r="K2396" s="23"/>
      <c r="L2396" s="5"/>
      <c r="M2396" s="5"/>
      <c r="N2396" s="5"/>
      <c r="O2396" s="5"/>
      <c r="P2396" s="5"/>
      <c r="Q2396" s="5"/>
      <c r="R2396" s="5"/>
      <c r="S2396" s="5"/>
      <c r="T2396" s="5"/>
      <c r="U2396" s="5"/>
      <c r="V2396" s="5"/>
      <c r="W2396" s="5"/>
      <c r="X2396" s="23"/>
      <c r="Y2396" s="18"/>
      <c r="Z2396" s="23"/>
      <c r="AA2396" s="23"/>
      <c r="AB2396" s="5"/>
      <c r="AC2396" s="5"/>
      <c r="AD2396" s="5"/>
      <c r="AE2396" s="5"/>
      <c r="AF2396" s="5"/>
      <c r="AG2396" s="23"/>
      <c r="AH2396" s="5"/>
      <c r="AI2396" s="5"/>
      <c r="AJ2396" s="5"/>
      <c r="AK2396" s="5"/>
      <c r="AL2396" s="6"/>
      <c r="AM2396" s="5"/>
      <c r="AN2396" s="4"/>
      <c r="AO2396" s="4"/>
      <c r="AP2396" s="4"/>
      <c r="AQ2396" s="4"/>
      <c r="AR2396" s="4"/>
      <c r="AS2396" s="4"/>
      <c r="AT2396" s="4"/>
      <c r="AU2396" s="27"/>
      <c r="AV2396" s="39"/>
      <c r="AW2396" s="4"/>
    </row>
    <row r="2397" spans="1:49" ht="14.5" x14ac:dyDescent="0.35">
      <c r="A2397" s="1"/>
      <c r="B2397" s="4"/>
      <c r="C2397" s="29"/>
      <c r="D2397" s="29"/>
      <c r="E2397" s="29"/>
      <c r="F2397" s="2"/>
      <c r="G2397" s="2"/>
      <c r="H2397" s="6"/>
      <c r="I2397" s="6"/>
      <c r="J2397" s="18"/>
      <c r="K2397" s="23"/>
      <c r="L2397" s="5"/>
      <c r="M2397" s="5"/>
      <c r="N2397" s="5"/>
      <c r="O2397" s="5"/>
      <c r="P2397" s="5"/>
      <c r="Q2397" s="5"/>
      <c r="R2397" s="5"/>
      <c r="S2397" s="5"/>
      <c r="T2397" s="5"/>
      <c r="U2397" s="5"/>
      <c r="V2397" s="5"/>
      <c r="W2397" s="5"/>
      <c r="X2397" s="23"/>
      <c r="Y2397" s="18"/>
      <c r="Z2397" s="23"/>
      <c r="AA2397" s="23"/>
      <c r="AB2397" s="5"/>
      <c r="AC2397" s="5"/>
      <c r="AD2397" s="5"/>
      <c r="AE2397" s="5"/>
      <c r="AF2397" s="5"/>
      <c r="AG2397" s="23"/>
      <c r="AH2397" s="5"/>
      <c r="AI2397" s="5"/>
      <c r="AJ2397" s="5"/>
      <c r="AK2397" s="5"/>
      <c r="AL2397" s="6"/>
      <c r="AM2397" s="5"/>
      <c r="AN2397" s="4"/>
      <c r="AO2397" s="4"/>
      <c r="AP2397" s="4"/>
      <c r="AQ2397" s="4"/>
      <c r="AR2397" s="4"/>
      <c r="AS2397" s="4"/>
      <c r="AT2397" s="4"/>
      <c r="AU2397" s="27"/>
      <c r="AV2397" s="39"/>
      <c r="AW2397" s="4"/>
    </row>
    <row r="2398" spans="1:49" ht="14.5" x14ac:dyDescent="0.35">
      <c r="A2398" s="1"/>
      <c r="B2398" s="4"/>
      <c r="C2398" s="29"/>
      <c r="D2398" s="29"/>
      <c r="E2398" s="29"/>
      <c r="F2398" s="2"/>
      <c r="G2398" s="2"/>
      <c r="H2398" s="6"/>
      <c r="I2398" s="6"/>
      <c r="J2398" s="18"/>
      <c r="K2398" s="23"/>
      <c r="L2398" s="5"/>
      <c r="M2398" s="5"/>
      <c r="N2398" s="5"/>
      <c r="O2398" s="5"/>
      <c r="P2398" s="5"/>
      <c r="Q2398" s="5"/>
      <c r="R2398" s="5"/>
      <c r="S2398" s="5"/>
      <c r="T2398" s="5"/>
      <c r="U2398" s="5"/>
      <c r="V2398" s="5"/>
      <c r="W2398" s="5"/>
      <c r="X2398" s="23"/>
      <c r="Y2398" s="18"/>
      <c r="Z2398" s="23"/>
      <c r="AA2398" s="23"/>
      <c r="AB2398" s="5"/>
      <c r="AC2398" s="5"/>
      <c r="AD2398" s="5"/>
      <c r="AE2398" s="5"/>
      <c r="AF2398" s="5"/>
      <c r="AG2398" s="23"/>
      <c r="AH2398" s="5"/>
      <c r="AI2398" s="5"/>
      <c r="AJ2398" s="5"/>
      <c r="AK2398" s="5"/>
      <c r="AL2398" s="6"/>
      <c r="AM2398" s="5"/>
      <c r="AN2398" s="4"/>
      <c r="AO2398" s="4"/>
      <c r="AP2398" s="4"/>
      <c r="AQ2398" s="4"/>
      <c r="AR2398" s="4"/>
      <c r="AS2398" s="4"/>
      <c r="AT2398" s="4"/>
      <c r="AU2398" s="27"/>
      <c r="AV2398" s="39"/>
      <c r="AW2398" s="4"/>
    </row>
    <row r="2399" spans="1:49" ht="14.5" x14ac:dyDescent="0.35">
      <c r="A2399" s="1"/>
      <c r="B2399" s="4"/>
      <c r="C2399" s="29"/>
      <c r="D2399" s="29"/>
      <c r="E2399" s="29"/>
      <c r="F2399" s="2"/>
      <c r="G2399" s="2"/>
      <c r="H2399" s="6"/>
      <c r="I2399" s="6"/>
      <c r="J2399" s="18"/>
      <c r="K2399" s="23"/>
      <c r="L2399" s="5"/>
      <c r="M2399" s="5"/>
      <c r="N2399" s="5"/>
      <c r="O2399" s="5"/>
      <c r="P2399" s="5"/>
      <c r="Q2399" s="5"/>
      <c r="R2399" s="5"/>
      <c r="S2399" s="5"/>
      <c r="T2399" s="5"/>
      <c r="U2399" s="5"/>
      <c r="V2399" s="5"/>
      <c r="W2399" s="5"/>
      <c r="X2399" s="23"/>
      <c r="Y2399" s="18"/>
      <c r="Z2399" s="23"/>
      <c r="AA2399" s="23"/>
      <c r="AB2399" s="5"/>
      <c r="AC2399" s="5"/>
      <c r="AD2399" s="5"/>
      <c r="AE2399" s="5"/>
      <c r="AF2399" s="5"/>
      <c r="AG2399" s="23"/>
      <c r="AH2399" s="5"/>
      <c r="AI2399" s="5"/>
      <c r="AJ2399" s="5"/>
      <c r="AK2399" s="5"/>
      <c r="AL2399" s="6"/>
      <c r="AM2399" s="5"/>
      <c r="AN2399" s="4"/>
      <c r="AO2399" s="4"/>
      <c r="AP2399" s="4"/>
      <c r="AQ2399" s="4"/>
      <c r="AR2399" s="4"/>
      <c r="AS2399" s="4"/>
      <c r="AT2399" s="4"/>
      <c r="AU2399" s="27"/>
      <c r="AV2399" s="39"/>
      <c r="AW2399" s="4"/>
    </row>
    <row r="2400" spans="1:49" ht="14.5" x14ac:dyDescent="0.35">
      <c r="A2400" s="1"/>
      <c r="B2400" s="4"/>
      <c r="C2400" s="29"/>
      <c r="D2400" s="29"/>
      <c r="E2400" s="29"/>
      <c r="F2400" s="2"/>
      <c r="G2400" s="2"/>
      <c r="H2400" s="6"/>
      <c r="I2400" s="6"/>
      <c r="J2400" s="18"/>
      <c r="K2400" s="23"/>
      <c r="L2400" s="5"/>
      <c r="M2400" s="5"/>
      <c r="N2400" s="5"/>
      <c r="O2400" s="5"/>
      <c r="P2400" s="5"/>
      <c r="Q2400" s="5"/>
      <c r="R2400" s="5"/>
      <c r="S2400" s="5"/>
      <c r="T2400" s="5"/>
      <c r="U2400" s="5"/>
      <c r="V2400" s="5"/>
      <c r="W2400" s="5"/>
      <c r="X2400" s="23"/>
      <c r="Y2400" s="18"/>
      <c r="Z2400" s="23"/>
      <c r="AA2400" s="23"/>
      <c r="AB2400" s="5"/>
      <c r="AC2400" s="5"/>
      <c r="AD2400" s="5"/>
      <c r="AE2400" s="5"/>
      <c r="AF2400" s="5"/>
      <c r="AG2400" s="23"/>
      <c r="AH2400" s="5"/>
      <c r="AI2400" s="5"/>
      <c r="AJ2400" s="5"/>
      <c r="AK2400" s="5"/>
      <c r="AL2400" s="6"/>
      <c r="AM2400" s="5"/>
      <c r="AN2400" s="4"/>
      <c r="AO2400" s="4"/>
      <c r="AP2400" s="4"/>
      <c r="AQ2400" s="4"/>
      <c r="AR2400" s="4"/>
      <c r="AS2400" s="4"/>
      <c r="AT2400" s="4"/>
      <c r="AU2400" s="27"/>
      <c r="AV2400" s="39"/>
      <c r="AW2400" s="4"/>
    </row>
    <row r="2401" spans="1:49" ht="14.5" x14ac:dyDescent="0.35">
      <c r="A2401" s="1"/>
      <c r="B2401" s="4"/>
      <c r="C2401" s="29"/>
      <c r="D2401" s="29"/>
      <c r="E2401" s="29"/>
      <c r="F2401" s="2"/>
      <c r="G2401" s="2"/>
      <c r="H2401" s="6"/>
      <c r="I2401" s="6"/>
      <c r="J2401" s="18"/>
      <c r="K2401" s="23"/>
      <c r="L2401" s="5"/>
      <c r="M2401" s="5"/>
      <c r="N2401" s="5"/>
      <c r="O2401" s="5"/>
      <c r="P2401" s="5"/>
      <c r="Q2401" s="5"/>
      <c r="R2401" s="5"/>
      <c r="S2401" s="5"/>
      <c r="T2401" s="5"/>
      <c r="U2401" s="5"/>
      <c r="V2401" s="5"/>
      <c r="W2401" s="5"/>
      <c r="X2401" s="23"/>
      <c r="Y2401" s="18"/>
      <c r="Z2401" s="23"/>
      <c r="AA2401" s="23"/>
      <c r="AB2401" s="5"/>
      <c r="AC2401" s="5"/>
      <c r="AD2401" s="5"/>
      <c r="AE2401" s="5"/>
      <c r="AF2401" s="5"/>
      <c r="AG2401" s="23"/>
      <c r="AH2401" s="5"/>
      <c r="AI2401" s="5"/>
      <c r="AJ2401" s="5"/>
      <c r="AK2401" s="5"/>
      <c r="AL2401" s="6"/>
      <c r="AM2401" s="5"/>
      <c r="AN2401" s="4"/>
      <c r="AO2401" s="4"/>
      <c r="AP2401" s="4"/>
      <c r="AQ2401" s="4"/>
      <c r="AR2401" s="4"/>
      <c r="AS2401" s="4"/>
      <c r="AT2401" s="4"/>
      <c r="AU2401" s="27"/>
      <c r="AV2401" s="39"/>
      <c r="AW2401" s="4"/>
    </row>
    <row r="2402" spans="1:49" ht="14.5" x14ac:dyDescent="0.35">
      <c r="A2402" s="1"/>
      <c r="B2402" s="4"/>
      <c r="C2402" s="29"/>
      <c r="D2402" s="29"/>
      <c r="E2402" s="29"/>
      <c r="F2402" s="2"/>
      <c r="G2402" s="2"/>
      <c r="H2402" s="6"/>
      <c r="I2402" s="6"/>
      <c r="J2402" s="18"/>
      <c r="K2402" s="23"/>
      <c r="L2402" s="5"/>
      <c r="M2402" s="5"/>
      <c r="N2402" s="5"/>
      <c r="O2402" s="5"/>
      <c r="P2402" s="5"/>
      <c r="Q2402" s="5"/>
      <c r="R2402" s="5"/>
      <c r="S2402" s="5"/>
      <c r="T2402" s="5"/>
      <c r="U2402" s="5"/>
      <c r="V2402" s="5"/>
      <c r="W2402" s="5"/>
      <c r="X2402" s="23"/>
      <c r="Y2402" s="18"/>
      <c r="Z2402" s="23"/>
      <c r="AA2402" s="23"/>
      <c r="AB2402" s="5"/>
      <c r="AC2402" s="5"/>
      <c r="AD2402" s="5"/>
      <c r="AE2402" s="5"/>
      <c r="AF2402" s="5"/>
      <c r="AG2402" s="23"/>
      <c r="AH2402" s="5"/>
      <c r="AI2402" s="5"/>
      <c r="AJ2402" s="5"/>
      <c r="AK2402" s="5"/>
      <c r="AL2402" s="6"/>
      <c r="AM2402" s="5"/>
      <c r="AN2402" s="4"/>
      <c r="AO2402" s="4"/>
      <c r="AP2402" s="4"/>
      <c r="AQ2402" s="4"/>
      <c r="AR2402" s="4"/>
      <c r="AS2402" s="4"/>
      <c r="AT2402" s="4"/>
      <c r="AU2402" s="27"/>
      <c r="AV2402" s="39"/>
      <c r="AW2402" s="4"/>
    </row>
    <row r="2403" spans="1:49" ht="14.5" x14ac:dyDescent="0.35">
      <c r="A2403" s="1"/>
      <c r="B2403" s="4"/>
      <c r="C2403" s="29"/>
      <c r="D2403" s="29"/>
      <c r="E2403" s="29"/>
      <c r="F2403" s="2"/>
      <c r="G2403" s="2"/>
      <c r="H2403" s="6"/>
      <c r="I2403" s="6"/>
      <c r="J2403" s="18"/>
      <c r="K2403" s="23"/>
      <c r="L2403" s="5"/>
      <c r="M2403" s="5"/>
      <c r="N2403" s="5"/>
      <c r="O2403" s="5"/>
      <c r="P2403" s="5"/>
      <c r="Q2403" s="5"/>
      <c r="R2403" s="5"/>
      <c r="S2403" s="5"/>
      <c r="T2403" s="5"/>
      <c r="U2403" s="5"/>
      <c r="V2403" s="5"/>
      <c r="W2403" s="5"/>
      <c r="X2403" s="23"/>
      <c r="Y2403" s="18"/>
      <c r="Z2403" s="23"/>
      <c r="AA2403" s="23"/>
      <c r="AB2403" s="5"/>
      <c r="AC2403" s="5"/>
      <c r="AD2403" s="5"/>
      <c r="AE2403" s="5"/>
      <c r="AF2403" s="5"/>
      <c r="AG2403" s="23"/>
      <c r="AH2403" s="5"/>
      <c r="AI2403" s="5"/>
      <c r="AJ2403" s="5"/>
      <c r="AK2403" s="5"/>
      <c r="AL2403" s="6"/>
      <c r="AM2403" s="5"/>
      <c r="AN2403" s="4"/>
      <c r="AO2403" s="4"/>
      <c r="AP2403" s="4"/>
      <c r="AQ2403" s="4"/>
      <c r="AR2403" s="4"/>
      <c r="AS2403" s="4"/>
      <c r="AT2403" s="4"/>
      <c r="AU2403" s="27"/>
      <c r="AV2403" s="39"/>
      <c r="AW2403" s="4"/>
    </row>
    <row r="2404" spans="1:49" ht="14.5" x14ac:dyDescent="0.35">
      <c r="A2404" s="1"/>
      <c r="B2404" s="4"/>
      <c r="C2404" s="29"/>
      <c r="D2404" s="29"/>
      <c r="E2404" s="29"/>
      <c r="F2404" s="2"/>
      <c r="G2404" s="2"/>
      <c r="H2404" s="6"/>
      <c r="I2404" s="6"/>
      <c r="J2404" s="18"/>
      <c r="K2404" s="23"/>
      <c r="L2404" s="5"/>
      <c r="M2404" s="5"/>
      <c r="N2404" s="5"/>
      <c r="O2404" s="5"/>
      <c r="P2404" s="5"/>
      <c r="Q2404" s="5"/>
      <c r="R2404" s="5"/>
      <c r="S2404" s="5"/>
      <c r="T2404" s="5"/>
      <c r="U2404" s="5"/>
      <c r="V2404" s="5"/>
      <c r="W2404" s="5"/>
      <c r="X2404" s="23"/>
      <c r="Y2404" s="18"/>
      <c r="Z2404" s="23"/>
      <c r="AA2404" s="23"/>
      <c r="AB2404" s="5"/>
      <c r="AC2404" s="5"/>
      <c r="AD2404" s="5"/>
      <c r="AE2404" s="5"/>
      <c r="AF2404" s="5"/>
      <c r="AG2404" s="23"/>
      <c r="AH2404" s="5"/>
      <c r="AI2404" s="5"/>
      <c r="AJ2404" s="5"/>
      <c r="AK2404" s="5"/>
      <c r="AL2404" s="6"/>
      <c r="AM2404" s="5"/>
      <c r="AN2404" s="4"/>
      <c r="AO2404" s="4"/>
      <c r="AP2404" s="4"/>
      <c r="AQ2404" s="4"/>
      <c r="AR2404" s="4"/>
      <c r="AS2404" s="4"/>
      <c r="AT2404" s="4"/>
      <c r="AU2404" s="27"/>
      <c r="AV2404" s="39"/>
      <c r="AW2404" s="4"/>
    </row>
    <row r="2405" spans="1:49" ht="14.5" x14ac:dyDescent="0.35">
      <c r="A2405" s="1"/>
      <c r="B2405" s="4"/>
      <c r="C2405" s="29"/>
      <c r="D2405" s="29"/>
      <c r="E2405" s="29"/>
      <c r="F2405" s="2"/>
      <c r="G2405" s="2"/>
      <c r="H2405" s="6"/>
      <c r="I2405" s="6"/>
      <c r="J2405" s="18"/>
      <c r="K2405" s="23"/>
      <c r="L2405" s="5"/>
      <c r="M2405" s="5"/>
      <c r="N2405" s="5"/>
      <c r="O2405" s="5"/>
      <c r="P2405" s="5"/>
      <c r="Q2405" s="5"/>
      <c r="R2405" s="5"/>
      <c r="S2405" s="5"/>
      <c r="T2405" s="5"/>
      <c r="U2405" s="5"/>
      <c r="V2405" s="5"/>
      <c r="W2405" s="5"/>
      <c r="X2405" s="23"/>
      <c r="Y2405" s="18"/>
      <c r="Z2405" s="23"/>
      <c r="AA2405" s="23"/>
      <c r="AB2405" s="5"/>
      <c r="AC2405" s="5"/>
      <c r="AD2405" s="5"/>
      <c r="AE2405" s="5"/>
      <c r="AF2405" s="5"/>
      <c r="AG2405" s="23"/>
      <c r="AH2405" s="5"/>
      <c r="AI2405" s="5"/>
      <c r="AJ2405" s="5"/>
      <c r="AK2405" s="5"/>
      <c r="AL2405" s="6"/>
      <c r="AM2405" s="5"/>
      <c r="AN2405" s="4"/>
      <c r="AO2405" s="4"/>
      <c r="AP2405" s="4"/>
      <c r="AQ2405" s="4"/>
      <c r="AR2405" s="4"/>
      <c r="AS2405" s="4"/>
      <c r="AT2405" s="4"/>
      <c r="AU2405" s="27"/>
      <c r="AV2405" s="39"/>
      <c r="AW2405" s="4"/>
    </row>
    <row r="2406" spans="1:49" ht="14.5" x14ac:dyDescent="0.35">
      <c r="A2406" s="1"/>
      <c r="B2406" s="4"/>
      <c r="C2406" s="29"/>
      <c r="D2406" s="29"/>
      <c r="E2406" s="29"/>
      <c r="F2406" s="2"/>
      <c r="G2406" s="2"/>
      <c r="H2406" s="6"/>
      <c r="I2406" s="6"/>
      <c r="J2406" s="18"/>
      <c r="K2406" s="23"/>
      <c r="L2406" s="5"/>
      <c r="M2406" s="5"/>
      <c r="N2406" s="5"/>
      <c r="O2406" s="5"/>
      <c r="P2406" s="5"/>
      <c r="Q2406" s="5"/>
      <c r="R2406" s="5"/>
      <c r="S2406" s="5"/>
      <c r="T2406" s="5"/>
      <c r="U2406" s="5"/>
      <c r="V2406" s="5"/>
      <c r="W2406" s="5"/>
      <c r="X2406" s="23"/>
      <c r="Y2406" s="18"/>
      <c r="Z2406" s="23"/>
      <c r="AA2406" s="23"/>
      <c r="AB2406" s="5"/>
      <c r="AC2406" s="5"/>
      <c r="AD2406" s="5"/>
      <c r="AE2406" s="5"/>
      <c r="AF2406" s="5"/>
      <c r="AG2406" s="23"/>
      <c r="AH2406" s="5"/>
      <c r="AI2406" s="5"/>
      <c r="AJ2406" s="5"/>
      <c r="AK2406" s="5"/>
      <c r="AL2406" s="6"/>
      <c r="AM2406" s="5"/>
      <c r="AN2406" s="4"/>
      <c r="AO2406" s="4"/>
      <c r="AP2406" s="4"/>
      <c r="AQ2406" s="4"/>
      <c r="AR2406" s="4"/>
      <c r="AS2406" s="4"/>
      <c r="AT2406" s="4"/>
      <c r="AU2406" s="27"/>
      <c r="AV2406" s="39"/>
      <c r="AW2406" s="4"/>
    </row>
    <row r="2407" spans="1:49" ht="14.5" x14ac:dyDescent="0.35">
      <c r="A2407" s="1"/>
      <c r="B2407" s="4"/>
      <c r="C2407" s="29"/>
      <c r="D2407" s="29"/>
      <c r="E2407" s="29"/>
      <c r="F2407" s="2"/>
      <c r="G2407" s="2"/>
      <c r="H2407" s="6"/>
      <c r="I2407" s="6"/>
      <c r="J2407" s="18"/>
      <c r="K2407" s="23"/>
      <c r="L2407" s="5"/>
      <c r="M2407" s="5"/>
      <c r="N2407" s="5"/>
      <c r="O2407" s="5"/>
      <c r="P2407" s="5"/>
      <c r="Q2407" s="5"/>
      <c r="R2407" s="5"/>
      <c r="S2407" s="5"/>
      <c r="T2407" s="5"/>
      <c r="U2407" s="5"/>
      <c r="V2407" s="5"/>
      <c r="W2407" s="5"/>
      <c r="X2407" s="23"/>
      <c r="Y2407" s="18"/>
      <c r="Z2407" s="23"/>
      <c r="AA2407" s="23"/>
      <c r="AB2407" s="5"/>
      <c r="AC2407" s="5"/>
      <c r="AD2407" s="5"/>
      <c r="AE2407" s="5"/>
      <c r="AF2407" s="5"/>
      <c r="AG2407" s="23"/>
      <c r="AH2407" s="5"/>
      <c r="AI2407" s="5"/>
      <c r="AJ2407" s="5"/>
      <c r="AK2407" s="5"/>
      <c r="AL2407" s="6"/>
      <c r="AM2407" s="5"/>
      <c r="AN2407" s="4"/>
      <c r="AO2407" s="4"/>
      <c r="AP2407" s="4"/>
      <c r="AQ2407" s="4"/>
      <c r="AR2407" s="4"/>
      <c r="AS2407" s="4"/>
      <c r="AT2407" s="4"/>
      <c r="AU2407" s="27"/>
      <c r="AV2407" s="39"/>
      <c r="AW2407" s="4"/>
    </row>
    <row r="2408" spans="1:49" ht="14.5" x14ac:dyDescent="0.35">
      <c r="A2408" s="1"/>
      <c r="B2408" s="4"/>
      <c r="C2408" s="29"/>
      <c r="D2408" s="29"/>
      <c r="E2408" s="29"/>
      <c r="F2408" s="2"/>
      <c r="G2408" s="2"/>
      <c r="H2408" s="6"/>
      <c r="I2408" s="6"/>
      <c r="J2408" s="18"/>
      <c r="K2408" s="23"/>
      <c r="L2408" s="5"/>
      <c r="M2408" s="5"/>
      <c r="N2408" s="5"/>
      <c r="O2408" s="5"/>
      <c r="P2408" s="5"/>
      <c r="Q2408" s="5"/>
      <c r="R2408" s="5"/>
      <c r="S2408" s="5"/>
      <c r="T2408" s="5"/>
      <c r="U2408" s="5"/>
      <c r="V2408" s="5"/>
      <c r="W2408" s="5"/>
      <c r="X2408" s="23"/>
      <c r="Y2408" s="18"/>
      <c r="Z2408" s="23"/>
      <c r="AA2408" s="23"/>
      <c r="AB2408" s="5"/>
      <c r="AC2408" s="5"/>
      <c r="AD2408" s="5"/>
      <c r="AE2408" s="5"/>
      <c r="AF2408" s="5"/>
      <c r="AG2408" s="23"/>
      <c r="AH2408" s="5"/>
      <c r="AI2408" s="5"/>
      <c r="AJ2408" s="5"/>
      <c r="AK2408" s="5"/>
      <c r="AL2408" s="6"/>
      <c r="AM2408" s="5"/>
      <c r="AN2408" s="4"/>
      <c r="AO2408" s="4"/>
      <c r="AP2408" s="4"/>
      <c r="AQ2408" s="4"/>
      <c r="AR2408" s="4"/>
      <c r="AS2408" s="4"/>
      <c r="AT2408" s="4"/>
      <c r="AU2408" s="27"/>
      <c r="AV2408" s="39"/>
      <c r="AW2408" s="4"/>
    </row>
    <row r="2409" spans="1:49" ht="14.5" x14ac:dyDescent="0.35">
      <c r="A2409" s="1"/>
      <c r="B2409" s="4"/>
      <c r="C2409" s="29"/>
      <c r="D2409" s="29"/>
      <c r="E2409" s="29"/>
      <c r="F2409" s="2"/>
      <c r="G2409" s="2"/>
      <c r="H2409" s="6"/>
      <c r="I2409" s="6"/>
      <c r="J2409" s="18"/>
      <c r="K2409" s="23"/>
      <c r="L2409" s="5"/>
      <c r="M2409" s="5"/>
      <c r="N2409" s="5"/>
      <c r="O2409" s="5"/>
      <c r="P2409" s="5"/>
      <c r="Q2409" s="5"/>
      <c r="R2409" s="5"/>
      <c r="S2409" s="5"/>
      <c r="T2409" s="5"/>
      <c r="U2409" s="5"/>
      <c r="V2409" s="5"/>
      <c r="W2409" s="5"/>
      <c r="X2409" s="23"/>
      <c r="Y2409" s="18"/>
      <c r="Z2409" s="23"/>
      <c r="AA2409" s="23"/>
      <c r="AB2409" s="5"/>
      <c r="AC2409" s="5"/>
      <c r="AD2409" s="5"/>
      <c r="AE2409" s="5"/>
      <c r="AF2409" s="5"/>
      <c r="AG2409" s="23"/>
      <c r="AH2409" s="5"/>
      <c r="AI2409" s="5"/>
      <c r="AJ2409" s="5"/>
      <c r="AK2409" s="5"/>
      <c r="AL2409" s="6"/>
      <c r="AM2409" s="5"/>
      <c r="AN2409" s="4"/>
      <c r="AO2409" s="4"/>
      <c r="AP2409" s="4"/>
      <c r="AQ2409" s="4"/>
      <c r="AR2409" s="4"/>
      <c r="AS2409" s="4"/>
      <c r="AT2409" s="4"/>
      <c r="AU2409" s="27"/>
      <c r="AV2409" s="39"/>
      <c r="AW2409" s="4"/>
    </row>
    <row r="2410" spans="1:49" ht="14.5" x14ac:dyDescent="0.35">
      <c r="A2410" s="1"/>
      <c r="B2410" s="4"/>
      <c r="C2410" s="29"/>
      <c r="D2410" s="29"/>
      <c r="E2410" s="29"/>
      <c r="F2410" s="2"/>
      <c r="G2410" s="2"/>
      <c r="H2410" s="6"/>
      <c r="I2410" s="6"/>
      <c r="J2410" s="18"/>
      <c r="K2410" s="23"/>
      <c r="L2410" s="5"/>
      <c r="M2410" s="5"/>
      <c r="N2410" s="5"/>
      <c r="O2410" s="5"/>
      <c r="P2410" s="5"/>
      <c r="Q2410" s="5"/>
      <c r="R2410" s="5"/>
      <c r="S2410" s="5"/>
      <c r="T2410" s="5"/>
      <c r="U2410" s="5"/>
      <c r="V2410" s="5"/>
      <c r="W2410" s="5"/>
      <c r="X2410" s="23"/>
      <c r="Y2410" s="18"/>
      <c r="Z2410" s="23"/>
      <c r="AA2410" s="23"/>
      <c r="AB2410" s="5"/>
      <c r="AC2410" s="5"/>
      <c r="AD2410" s="5"/>
      <c r="AE2410" s="5"/>
      <c r="AF2410" s="5"/>
      <c r="AG2410" s="23"/>
      <c r="AH2410" s="5"/>
      <c r="AI2410" s="5"/>
      <c r="AJ2410" s="5"/>
      <c r="AK2410" s="5"/>
      <c r="AL2410" s="6"/>
      <c r="AM2410" s="5"/>
      <c r="AN2410" s="4"/>
      <c r="AO2410" s="4"/>
      <c r="AP2410" s="4"/>
      <c r="AQ2410" s="4"/>
      <c r="AR2410" s="4"/>
      <c r="AS2410" s="4"/>
      <c r="AT2410" s="4"/>
      <c r="AU2410" s="27"/>
      <c r="AV2410" s="39"/>
      <c r="AW2410" s="4"/>
    </row>
    <row r="2411" spans="1:49" ht="14.5" x14ac:dyDescent="0.35">
      <c r="A2411" s="1"/>
      <c r="B2411" s="4"/>
      <c r="C2411" s="29"/>
      <c r="D2411" s="29"/>
      <c r="E2411" s="29"/>
      <c r="F2411" s="2"/>
      <c r="G2411" s="2"/>
      <c r="H2411" s="6"/>
      <c r="I2411" s="6"/>
      <c r="J2411" s="18"/>
      <c r="K2411" s="23"/>
      <c r="L2411" s="5"/>
      <c r="M2411" s="5"/>
      <c r="N2411" s="5"/>
      <c r="O2411" s="5"/>
      <c r="P2411" s="5"/>
      <c r="Q2411" s="5"/>
      <c r="R2411" s="5"/>
      <c r="S2411" s="5"/>
      <c r="T2411" s="5"/>
      <c r="U2411" s="5"/>
      <c r="V2411" s="5"/>
      <c r="W2411" s="5"/>
      <c r="X2411" s="23"/>
      <c r="Y2411" s="18"/>
      <c r="Z2411" s="23"/>
      <c r="AA2411" s="23"/>
      <c r="AB2411" s="5"/>
      <c r="AC2411" s="5"/>
      <c r="AD2411" s="5"/>
      <c r="AE2411" s="5"/>
      <c r="AF2411" s="5"/>
      <c r="AG2411" s="23"/>
      <c r="AH2411" s="5"/>
      <c r="AI2411" s="5"/>
      <c r="AJ2411" s="5"/>
      <c r="AK2411" s="5"/>
      <c r="AL2411" s="6"/>
      <c r="AM2411" s="5"/>
      <c r="AN2411" s="4"/>
      <c r="AO2411" s="4"/>
      <c r="AP2411" s="4"/>
      <c r="AQ2411" s="4"/>
      <c r="AR2411" s="4"/>
      <c r="AS2411" s="4"/>
      <c r="AT2411" s="4"/>
      <c r="AU2411" s="27"/>
      <c r="AV2411" s="39"/>
      <c r="AW2411" s="4"/>
    </row>
    <row r="2412" spans="1:49" ht="14.5" x14ac:dyDescent="0.35">
      <c r="A2412" s="1"/>
      <c r="B2412" s="4"/>
      <c r="C2412" s="29"/>
      <c r="D2412" s="29"/>
      <c r="E2412" s="29"/>
      <c r="F2412" s="2"/>
      <c r="G2412" s="2"/>
      <c r="H2412" s="6"/>
      <c r="I2412" s="6"/>
      <c r="J2412" s="18"/>
      <c r="K2412" s="23"/>
      <c r="L2412" s="5"/>
      <c r="M2412" s="5"/>
      <c r="N2412" s="5"/>
      <c r="O2412" s="5"/>
      <c r="P2412" s="5"/>
      <c r="Q2412" s="5"/>
      <c r="R2412" s="5"/>
      <c r="S2412" s="5"/>
      <c r="T2412" s="5"/>
      <c r="U2412" s="5"/>
      <c r="V2412" s="5"/>
      <c r="W2412" s="5"/>
      <c r="X2412" s="23"/>
      <c r="Y2412" s="18"/>
      <c r="Z2412" s="23"/>
      <c r="AA2412" s="23"/>
      <c r="AB2412" s="5"/>
      <c r="AC2412" s="5"/>
      <c r="AD2412" s="5"/>
      <c r="AE2412" s="5"/>
      <c r="AF2412" s="5"/>
      <c r="AG2412" s="23"/>
      <c r="AH2412" s="5"/>
      <c r="AI2412" s="5"/>
      <c r="AJ2412" s="5"/>
      <c r="AK2412" s="5"/>
      <c r="AL2412" s="6"/>
      <c r="AM2412" s="5"/>
      <c r="AN2412" s="4"/>
      <c r="AO2412" s="4"/>
      <c r="AP2412" s="4"/>
      <c r="AQ2412" s="4"/>
      <c r="AR2412" s="4"/>
      <c r="AS2412" s="4"/>
      <c r="AT2412" s="4"/>
      <c r="AU2412" s="27"/>
      <c r="AV2412" s="39"/>
      <c r="AW2412" s="4"/>
    </row>
    <row r="2413" spans="1:49" ht="14.5" x14ac:dyDescent="0.35">
      <c r="A2413" s="1"/>
      <c r="B2413" s="4"/>
      <c r="C2413" s="29"/>
      <c r="D2413" s="29"/>
      <c r="E2413" s="29"/>
      <c r="F2413" s="2"/>
      <c r="G2413" s="2"/>
      <c r="H2413" s="6"/>
      <c r="I2413" s="6"/>
      <c r="J2413" s="18"/>
      <c r="K2413" s="23"/>
      <c r="L2413" s="5"/>
      <c r="M2413" s="5"/>
      <c r="N2413" s="5"/>
      <c r="O2413" s="5"/>
      <c r="P2413" s="5"/>
      <c r="Q2413" s="5"/>
      <c r="R2413" s="5"/>
      <c r="S2413" s="5"/>
      <c r="T2413" s="5"/>
      <c r="U2413" s="5"/>
      <c r="V2413" s="5"/>
      <c r="W2413" s="5"/>
      <c r="X2413" s="23"/>
      <c r="Y2413" s="18"/>
      <c r="Z2413" s="23"/>
      <c r="AA2413" s="23"/>
      <c r="AB2413" s="5"/>
      <c r="AC2413" s="5"/>
      <c r="AD2413" s="5"/>
      <c r="AE2413" s="5"/>
      <c r="AF2413" s="5"/>
      <c r="AG2413" s="23"/>
      <c r="AH2413" s="5"/>
      <c r="AI2413" s="5"/>
      <c r="AJ2413" s="5"/>
      <c r="AK2413" s="5"/>
      <c r="AL2413" s="6"/>
      <c r="AM2413" s="5"/>
      <c r="AN2413" s="4"/>
      <c r="AO2413" s="4"/>
      <c r="AP2413" s="4"/>
      <c r="AQ2413" s="4"/>
      <c r="AR2413" s="4"/>
      <c r="AS2413" s="4"/>
      <c r="AT2413" s="4"/>
      <c r="AU2413" s="27"/>
      <c r="AV2413" s="39"/>
      <c r="AW2413" s="4"/>
    </row>
    <row r="2414" spans="1:49" ht="14.5" x14ac:dyDescent="0.35">
      <c r="A2414" s="1"/>
      <c r="B2414" s="4"/>
      <c r="C2414" s="29"/>
      <c r="D2414" s="29"/>
      <c r="E2414" s="29"/>
      <c r="F2414" s="2"/>
      <c r="G2414" s="2"/>
      <c r="H2414" s="6"/>
      <c r="I2414" s="6"/>
      <c r="J2414" s="18"/>
      <c r="K2414" s="23"/>
      <c r="L2414" s="5"/>
      <c r="M2414" s="5"/>
      <c r="N2414" s="5"/>
      <c r="O2414" s="5"/>
      <c r="P2414" s="5"/>
      <c r="Q2414" s="5"/>
      <c r="R2414" s="5"/>
      <c r="S2414" s="5"/>
      <c r="T2414" s="5"/>
      <c r="U2414" s="5"/>
      <c r="V2414" s="5"/>
      <c r="W2414" s="5"/>
      <c r="X2414" s="23"/>
      <c r="Y2414" s="18"/>
      <c r="Z2414" s="23"/>
      <c r="AA2414" s="23"/>
      <c r="AB2414" s="5"/>
      <c r="AC2414" s="5"/>
      <c r="AD2414" s="5"/>
      <c r="AE2414" s="5"/>
      <c r="AF2414" s="5"/>
      <c r="AG2414" s="23"/>
      <c r="AH2414" s="5"/>
      <c r="AI2414" s="5"/>
      <c r="AJ2414" s="5"/>
      <c r="AK2414" s="5"/>
      <c r="AL2414" s="6"/>
      <c r="AM2414" s="5"/>
      <c r="AN2414" s="4"/>
      <c r="AO2414" s="4"/>
      <c r="AP2414" s="4"/>
      <c r="AQ2414" s="4"/>
      <c r="AR2414" s="4"/>
      <c r="AS2414" s="4"/>
      <c r="AT2414" s="4"/>
      <c r="AU2414" s="27"/>
      <c r="AV2414" s="39"/>
      <c r="AW2414" s="4"/>
    </row>
    <row r="2415" spans="1:49" ht="14.5" x14ac:dyDescent="0.35">
      <c r="A2415" s="1"/>
      <c r="B2415" s="4"/>
      <c r="C2415" s="29"/>
      <c r="D2415" s="29"/>
      <c r="E2415" s="29"/>
      <c r="F2415" s="2"/>
      <c r="G2415" s="2"/>
      <c r="H2415" s="6"/>
      <c r="I2415" s="6"/>
      <c r="J2415" s="18"/>
      <c r="K2415" s="23"/>
      <c r="L2415" s="5"/>
      <c r="M2415" s="5"/>
      <c r="N2415" s="5"/>
      <c r="O2415" s="5"/>
      <c r="P2415" s="5"/>
      <c r="Q2415" s="5"/>
      <c r="R2415" s="5"/>
      <c r="S2415" s="5"/>
      <c r="T2415" s="5"/>
      <c r="U2415" s="5"/>
      <c r="V2415" s="5"/>
      <c r="W2415" s="5"/>
      <c r="X2415" s="23"/>
      <c r="Y2415" s="18"/>
      <c r="Z2415" s="23"/>
      <c r="AA2415" s="23"/>
      <c r="AB2415" s="5"/>
      <c r="AC2415" s="5"/>
      <c r="AD2415" s="5"/>
      <c r="AE2415" s="5"/>
      <c r="AF2415" s="5"/>
      <c r="AG2415" s="23"/>
      <c r="AH2415" s="5"/>
      <c r="AI2415" s="5"/>
      <c r="AJ2415" s="5"/>
      <c r="AK2415" s="5"/>
      <c r="AL2415" s="6"/>
      <c r="AM2415" s="5"/>
      <c r="AN2415" s="4"/>
      <c r="AO2415" s="4"/>
      <c r="AP2415" s="4"/>
      <c r="AQ2415" s="4"/>
      <c r="AR2415" s="4"/>
      <c r="AS2415" s="4"/>
      <c r="AT2415" s="4"/>
      <c r="AU2415" s="27"/>
      <c r="AV2415" s="39"/>
      <c r="AW2415" s="4"/>
    </row>
    <row r="2416" spans="1:49" ht="14.5" x14ac:dyDescent="0.35">
      <c r="A2416" s="1"/>
      <c r="B2416" s="4"/>
      <c r="C2416" s="29"/>
      <c r="D2416" s="29"/>
      <c r="E2416" s="29"/>
      <c r="F2416" s="2"/>
      <c r="G2416" s="2"/>
      <c r="H2416" s="6"/>
      <c r="I2416" s="6"/>
      <c r="J2416" s="18"/>
      <c r="K2416" s="23"/>
      <c r="L2416" s="5"/>
      <c r="M2416" s="5"/>
      <c r="N2416" s="5"/>
      <c r="O2416" s="5"/>
      <c r="P2416" s="5"/>
      <c r="Q2416" s="5"/>
      <c r="R2416" s="5"/>
      <c r="S2416" s="5"/>
      <c r="T2416" s="5"/>
      <c r="U2416" s="5"/>
      <c r="V2416" s="5"/>
      <c r="W2416" s="5"/>
      <c r="X2416" s="23"/>
      <c r="Y2416" s="18"/>
      <c r="Z2416" s="23"/>
      <c r="AA2416" s="23"/>
      <c r="AB2416" s="5"/>
      <c r="AC2416" s="5"/>
      <c r="AD2416" s="5"/>
      <c r="AE2416" s="5"/>
      <c r="AF2416" s="5"/>
      <c r="AG2416" s="23"/>
      <c r="AH2416" s="5"/>
      <c r="AI2416" s="5"/>
      <c r="AJ2416" s="5"/>
      <c r="AK2416" s="5"/>
      <c r="AL2416" s="6"/>
      <c r="AM2416" s="5"/>
      <c r="AN2416" s="4"/>
      <c r="AO2416" s="4"/>
      <c r="AP2416" s="4"/>
      <c r="AQ2416" s="4"/>
      <c r="AR2416" s="4"/>
      <c r="AS2416" s="4"/>
      <c r="AT2416" s="4"/>
      <c r="AU2416" s="27"/>
      <c r="AV2416" s="39"/>
      <c r="AW2416" s="4"/>
    </row>
    <row r="2417" spans="1:49" ht="14.5" x14ac:dyDescent="0.35">
      <c r="A2417" s="1"/>
      <c r="B2417" s="4"/>
      <c r="C2417" s="29"/>
      <c r="D2417" s="29"/>
      <c r="E2417" s="29"/>
      <c r="F2417" s="2"/>
      <c r="G2417" s="2"/>
      <c r="H2417" s="6"/>
      <c r="I2417" s="6"/>
      <c r="J2417" s="18"/>
      <c r="K2417" s="23"/>
      <c r="L2417" s="5"/>
      <c r="M2417" s="5"/>
      <c r="N2417" s="5"/>
      <c r="O2417" s="5"/>
      <c r="P2417" s="5"/>
      <c r="Q2417" s="5"/>
      <c r="R2417" s="5"/>
      <c r="S2417" s="5"/>
      <c r="T2417" s="5"/>
      <c r="U2417" s="5"/>
      <c r="V2417" s="5"/>
      <c r="W2417" s="5"/>
      <c r="X2417" s="23"/>
      <c r="Y2417" s="18"/>
      <c r="Z2417" s="23"/>
      <c r="AA2417" s="23"/>
      <c r="AB2417" s="5"/>
      <c r="AC2417" s="5"/>
      <c r="AD2417" s="5"/>
      <c r="AE2417" s="5"/>
      <c r="AF2417" s="5"/>
      <c r="AG2417" s="23"/>
      <c r="AH2417" s="5"/>
      <c r="AI2417" s="5"/>
      <c r="AJ2417" s="5"/>
      <c r="AK2417" s="5"/>
      <c r="AL2417" s="6"/>
      <c r="AM2417" s="5"/>
      <c r="AN2417" s="4"/>
      <c r="AO2417" s="4"/>
      <c r="AP2417" s="4"/>
      <c r="AQ2417" s="4"/>
      <c r="AR2417" s="4"/>
      <c r="AS2417" s="4"/>
      <c r="AT2417" s="4"/>
      <c r="AU2417" s="27"/>
      <c r="AV2417" s="39"/>
      <c r="AW2417" s="4"/>
    </row>
    <row r="2418" spans="1:49" ht="14.5" x14ac:dyDescent="0.35">
      <c r="A2418" s="1"/>
      <c r="B2418" s="4"/>
      <c r="C2418" s="29"/>
      <c r="D2418" s="29"/>
      <c r="E2418" s="29"/>
      <c r="F2418" s="2"/>
      <c r="G2418" s="2"/>
      <c r="H2418" s="6"/>
      <c r="I2418" s="6"/>
      <c r="J2418" s="18"/>
      <c r="K2418" s="23"/>
      <c r="L2418" s="5"/>
      <c r="M2418" s="5"/>
      <c r="N2418" s="5"/>
      <c r="O2418" s="5"/>
      <c r="P2418" s="5"/>
      <c r="Q2418" s="5"/>
      <c r="R2418" s="5"/>
      <c r="S2418" s="5"/>
      <c r="T2418" s="5"/>
      <c r="U2418" s="5"/>
      <c r="V2418" s="5"/>
      <c r="W2418" s="5"/>
      <c r="X2418" s="23"/>
      <c r="Y2418" s="18"/>
      <c r="Z2418" s="23"/>
      <c r="AA2418" s="23"/>
      <c r="AB2418" s="5"/>
      <c r="AC2418" s="5"/>
      <c r="AD2418" s="5"/>
      <c r="AE2418" s="5"/>
      <c r="AF2418" s="5"/>
      <c r="AG2418" s="23"/>
      <c r="AH2418" s="5"/>
      <c r="AI2418" s="5"/>
      <c r="AJ2418" s="5"/>
      <c r="AK2418" s="5"/>
      <c r="AL2418" s="6"/>
      <c r="AM2418" s="5"/>
      <c r="AN2418" s="4"/>
      <c r="AO2418" s="4"/>
      <c r="AP2418" s="4"/>
      <c r="AQ2418" s="4"/>
      <c r="AR2418" s="4"/>
      <c r="AS2418" s="4"/>
      <c r="AT2418" s="4"/>
      <c r="AU2418" s="27"/>
      <c r="AV2418" s="39"/>
      <c r="AW2418" s="4"/>
    </row>
    <row r="2419" spans="1:49" ht="14.5" x14ac:dyDescent="0.35">
      <c r="A2419" s="1"/>
      <c r="B2419" s="4"/>
      <c r="C2419" s="29"/>
      <c r="D2419" s="29"/>
      <c r="E2419" s="29"/>
      <c r="F2419" s="2"/>
      <c r="G2419" s="2"/>
      <c r="H2419" s="6"/>
      <c r="I2419" s="6"/>
      <c r="J2419" s="18"/>
      <c r="K2419" s="23"/>
      <c r="L2419" s="5"/>
      <c r="M2419" s="5"/>
      <c r="N2419" s="5"/>
      <c r="O2419" s="5"/>
      <c r="P2419" s="5"/>
      <c r="Q2419" s="5"/>
      <c r="R2419" s="5"/>
      <c r="S2419" s="5"/>
      <c r="T2419" s="5"/>
      <c r="U2419" s="5"/>
      <c r="V2419" s="5"/>
      <c r="W2419" s="5"/>
      <c r="X2419" s="23"/>
      <c r="Y2419" s="18"/>
      <c r="Z2419" s="23"/>
      <c r="AA2419" s="23"/>
      <c r="AB2419" s="5"/>
      <c r="AC2419" s="5"/>
      <c r="AD2419" s="5"/>
      <c r="AE2419" s="5"/>
      <c r="AF2419" s="5"/>
      <c r="AG2419" s="23"/>
      <c r="AH2419" s="5"/>
      <c r="AI2419" s="5"/>
      <c r="AJ2419" s="5"/>
      <c r="AK2419" s="5"/>
      <c r="AL2419" s="6"/>
      <c r="AM2419" s="5"/>
      <c r="AN2419" s="4"/>
      <c r="AO2419" s="4"/>
      <c r="AP2419" s="4"/>
      <c r="AQ2419" s="4"/>
      <c r="AR2419" s="4"/>
      <c r="AS2419" s="4"/>
      <c r="AT2419" s="4"/>
      <c r="AU2419" s="27"/>
      <c r="AV2419" s="39"/>
      <c r="AW2419" s="4"/>
    </row>
    <row r="2420" spans="1:49" ht="14.5" x14ac:dyDescent="0.35">
      <c r="A2420" s="1"/>
      <c r="B2420" s="4"/>
      <c r="C2420" s="29"/>
      <c r="D2420" s="29"/>
      <c r="E2420" s="29"/>
      <c r="F2420" s="2"/>
      <c r="G2420" s="2"/>
      <c r="H2420" s="6"/>
      <c r="I2420" s="6"/>
      <c r="J2420" s="18"/>
      <c r="K2420" s="23"/>
      <c r="L2420" s="5"/>
      <c r="M2420" s="5"/>
      <c r="N2420" s="5"/>
      <c r="O2420" s="5"/>
      <c r="P2420" s="5"/>
      <c r="Q2420" s="5"/>
      <c r="R2420" s="5"/>
      <c r="S2420" s="5"/>
      <c r="T2420" s="5"/>
      <c r="U2420" s="5"/>
      <c r="V2420" s="5"/>
      <c r="W2420" s="5"/>
      <c r="X2420" s="23"/>
      <c r="Y2420" s="18"/>
      <c r="Z2420" s="23"/>
      <c r="AA2420" s="23"/>
      <c r="AB2420" s="5"/>
      <c r="AC2420" s="5"/>
      <c r="AD2420" s="5"/>
      <c r="AE2420" s="5"/>
      <c r="AF2420" s="5"/>
      <c r="AG2420" s="23"/>
      <c r="AH2420" s="5"/>
      <c r="AI2420" s="5"/>
      <c r="AJ2420" s="5"/>
      <c r="AK2420" s="5"/>
      <c r="AL2420" s="6"/>
      <c r="AM2420" s="5"/>
      <c r="AN2420" s="4"/>
      <c r="AO2420" s="4"/>
      <c r="AP2420" s="4"/>
      <c r="AQ2420" s="4"/>
      <c r="AR2420" s="4"/>
      <c r="AS2420" s="4"/>
      <c r="AT2420" s="4"/>
      <c r="AU2420" s="27"/>
      <c r="AV2420" s="39"/>
      <c r="AW2420" s="4"/>
    </row>
    <row r="2421" spans="1:49" ht="14.5" x14ac:dyDescent="0.35">
      <c r="A2421" s="1"/>
      <c r="B2421" s="4"/>
      <c r="C2421" s="29"/>
      <c r="D2421" s="29"/>
      <c r="E2421" s="29"/>
      <c r="F2421" s="2"/>
      <c r="G2421" s="2"/>
      <c r="H2421" s="6"/>
      <c r="I2421" s="6"/>
      <c r="J2421" s="18"/>
      <c r="K2421" s="23"/>
      <c r="L2421" s="5"/>
      <c r="M2421" s="5"/>
      <c r="N2421" s="5"/>
      <c r="O2421" s="5"/>
      <c r="P2421" s="5"/>
      <c r="Q2421" s="5"/>
      <c r="R2421" s="5"/>
      <c r="S2421" s="5"/>
      <c r="T2421" s="5"/>
      <c r="U2421" s="5"/>
      <c r="V2421" s="5"/>
      <c r="W2421" s="5"/>
      <c r="X2421" s="23"/>
      <c r="Y2421" s="18"/>
      <c r="Z2421" s="23"/>
      <c r="AA2421" s="23"/>
      <c r="AB2421" s="5"/>
      <c r="AC2421" s="5"/>
      <c r="AD2421" s="5"/>
      <c r="AE2421" s="5"/>
      <c r="AF2421" s="5"/>
      <c r="AG2421" s="23"/>
      <c r="AH2421" s="5"/>
      <c r="AI2421" s="5"/>
      <c r="AJ2421" s="5"/>
      <c r="AK2421" s="5"/>
      <c r="AL2421" s="6"/>
      <c r="AM2421" s="5"/>
      <c r="AN2421" s="4"/>
      <c r="AO2421" s="4"/>
      <c r="AP2421" s="4"/>
      <c r="AQ2421" s="4"/>
      <c r="AR2421" s="4"/>
      <c r="AS2421" s="4"/>
      <c r="AT2421" s="4"/>
      <c r="AU2421" s="27"/>
      <c r="AV2421" s="39"/>
      <c r="AW2421" s="4"/>
    </row>
    <row r="2422" spans="1:49" ht="14.5" x14ac:dyDescent="0.35">
      <c r="A2422" s="1"/>
      <c r="B2422" s="4"/>
      <c r="C2422" s="29"/>
      <c r="D2422" s="29"/>
      <c r="E2422" s="29"/>
      <c r="F2422" s="2"/>
      <c r="G2422" s="2"/>
      <c r="H2422" s="6"/>
      <c r="I2422" s="6"/>
      <c r="J2422" s="18"/>
      <c r="K2422" s="23"/>
      <c r="L2422" s="5"/>
      <c r="M2422" s="5"/>
      <c r="N2422" s="5"/>
      <c r="O2422" s="5"/>
      <c r="P2422" s="5"/>
      <c r="Q2422" s="5"/>
      <c r="R2422" s="5"/>
      <c r="S2422" s="5"/>
      <c r="T2422" s="5"/>
      <c r="U2422" s="5"/>
      <c r="V2422" s="5"/>
      <c r="W2422" s="5"/>
      <c r="X2422" s="23"/>
      <c r="Y2422" s="18"/>
      <c r="Z2422" s="23"/>
      <c r="AA2422" s="23"/>
      <c r="AB2422" s="5"/>
      <c r="AC2422" s="5"/>
      <c r="AD2422" s="5"/>
      <c r="AE2422" s="5"/>
      <c r="AF2422" s="5"/>
      <c r="AG2422" s="23"/>
      <c r="AH2422" s="5"/>
      <c r="AI2422" s="5"/>
      <c r="AJ2422" s="5"/>
      <c r="AK2422" s="5"/>
      <c r="AL2422" s="6"/>
      <c r="AM2422" s="5"/>
      <c r="AN2422" s="4"/>
      <c r="AO2422" s="4"/>
      <c r="AP2422" s="4"/>
      <c r="AQ2422" s="4"/>
      <c r="AR2422" s="4"/>
      <c r="AS2422" s="4"/>
      <c r="AT2422" s="4"/>
      <c r="AU2422" s="27"/>
      <c r="AV2422" s="39"/>
      <c r="AW2422" s="4"/>
    </row>
    <row r="2423" spans="1:49" ht="14.5" x14ac:dyDescent="0.35">
      <c r="A2423" s="1"/>
      <c r="B2423" s="4"/>
      <c r="C2423" s="29"/>
      <c r="D2423" s="29"/>
      <c r="E2423" s="29"/>
      <c r="F2423" s="2"/>
      <c r="G2423" s="2"/>
      <c r="H2423" s="6"/>
      <c r="I2423" s="6"/>
      <c r="J2423" s="18"/>
      <c r="K2423" s="23"/>
      <c r="L2423" s="5"/>
      <c r="M2423" s="5"/>
      <c r="N2423" s="5"/>
      <c r="O2423" s="5"/>
      <c r="P2423" s="5"/>
      <c r="Q2423" s="5"/>
      <c r="R2423" s="5"/>
      <c r="S2423" s="5"/>
      <c r="T2423" s="5"/>
      <c r="U2423" s="5"/>
      <c r="V2423" s="5"/>
      <c r="W2423" s="5"/>
      <c r="X2423" s="23"/>
      <c r="Y2423" s="18"/>
      <c r="Z2423" s="23"/>
      <c r="AA2423" s="23"/>
      <c r="AB2423" s="5"/>
      <c r="AC2423" s="5"/>
      <c r="AD2423" s="5"/>
      <c r="AE2423" s="5"/>
      <c r="AF2423" s="5"/>
      <c r="AG2423" s="23"/>
      <c r="AH2423" s="5"/>
      <c r="AI2423" s="5"/>
      <c r="AJ2423" s="5"/>
      <c r="AK2423" s="5"/>
      <c r="AL2423" s="6"/>
      <c r="AM2423" s="5"/>
      <c r="AN2423" s="4"/>
      <c r="AO2423" s="4"/>
      <c r="AP2423" s="4"/>
      <c r="AQ2423" s="4"/>
      <c r="AR2423" s="4"/>
      <c r="AS2423" s="4"/>
      <c r="AT2423" s="4"/>
      <c r="AU2423" s="27"/>
      <c r="AV2423" s="39"/>
      <c r="AW2423" s="4"/>
    </row>
    <row r="2424" spans="1:49" ht="14.5" x14ac:dyDescent="0.35">
      <c r="A2424" s="1"/>
      <c r="B2424" s="4"/>
      <c r="C2424" s="29"/>
      <c r="D2424" s="29"/>
      <c r="E2424" s="29"/>
      <c r="F2424" s="2"/>
      <c r="G2424" s="2"/>
      <c r="H2424" s="6"/>
      <c r="I2424" s="6"/>
      <c r="J2424" s="18"/>
      <c r="K2424" s="23"/>
      <c r="L2424" s="5"/>
      <c r="M2424" s="5"/>
      <c r="N2424" s="5"/>
      <c r="O2424" s="5"/>
      <c r="P2424" s="5"/>
      <c r="Q2424" s="5"/>
      <c r="R2424" s="5"/>
      <c r="S2424" s="5"/>
      <c r="T2424" s="5"/>
      <c r="U2424" s="5"/>
      <c r="V2424" s="5"/>
      <c r="W2424" s="5"/>
      <c r="X2424" s="23"/>
      <c r="Y2424" s="18"/>
      <c r="Z2424" s="23"/>
      <c r="AA2424" s="23"/>
      <c r="AB2424" s="5"/>
      <c r="AC2424" s="5"/>
      <c r="AD2424" s="5"/>
      <c r="AE2424" s="5"/>
      <c r="AF2424" s="5"/>
      <c r="AG2424" s="23"/>
      <c r="AH2424" s="5"/>
      <c r="AI2424" s="5"/>
      <c r="AJ2424" s="5"/>
      <c r="AK2424" s="5"/>
      <c r="AL2424" s="6"/>
      <c r="AM2424" s="5"/>
      <c r="AN2424" s="4"/>
      <c r="AO2424" s="4"/>
      <c r="AP2424" s="4"/>
      <c r="AQ2424" s="4"/>
      <c r="AR2424" s="4"/>
      <c r="AS2424" s="4"/>
      <c r="AT2424" s="4"/>
      <c r="AU2424" s="27"/>
      <c r="AV2424" s="39"/>
      <c r="AW2424" s="4"/>
    </row>
    <row r="2425" spans="1:49" ht="14.5" x14ac:dyDescent="0.35">
      <c r="A2425" s="1"/>
      <c r="B2425" s="4"/>
      <c r="C2425" s="29"/>
      <c r="D2425" s="29"/>
      <c r="E2425" s="29"/>
      <c r="F2425" s="2"/>
      <c r="G2425" s="2"/>
      <c r="H2425" s="6"/>
      <c r="I2425" s="6"/>
      <c r="J2425" s="18"/>
      <c r="K2425" s="23"/>
      <c r="L2425" s="5"/>
      <c r="M2425" s="5"/>
      <c r="N2425" s="5"/>
      <c r="O2425" s="5"/>
      <c r="P2425" s="5"/>
      <c r="Q2425" s="5"/>
      <c r="R2425" s="5"/>
      <c r="S2425" s="5"/>
      <c r="T2425" s="5"/>
      <c r="U2425" s="5"/>
      <c r="V2425" s="5"/>
      <c r="W2425" s="5"/>
      <c r="X2425" s="23"/>
      <c r="Y2425" s="18"/>
      <c r="Z2425" s="23"/>
      <c r="AA2425" s="23"/>
      <c r="AB2425" s="5"/>
      <c r="AC2425" s="5"/>
      <c r="AD2425" s="5"/>
      <c r="AE2425" s="5"/>
      <c r="AF2425" s="5"/>
      <c r="AG2425" s="23"/>
      <c r="AH2425" s="5"/>
      <c r="AI2425" s="5"/>
      <c r="AJ2425" s="5"/>
      <c r="AK2425" s="5"/>
      <c r="AL2425" s="6"/>
      <c r="AM2425" s="5"/>
      <c r="AN2425" s="4"/>
      <c r="AO2425" s="4"/>
      <c r="AP2425" s="4"/>
      <c r="AQ2425" s="4"/>
      <c r="AR2425" s="4"/>
      <c r="AS2425" s="4"/>
      <c r="AT2425" s="4"/>
      <c r="AU2425" s="27"/>
      <c r="AV2425" s="39"/>
      <c r="AW2425" s="4"/>
    </row>
    <row r="2426" spans="1:49" ht="14.5" x14ac:dyDescent="0.35">
      <c r="A2426" s="1"/>
      <c r="B2426" s="4"/>
      <c r="C2426" s="29"/>
      <c r="D2426" s="29"/>
      <c r="E2426" s="29"/>
      <c r="F2426" s="2"/>
      <c r="G2426" s="2"/>
      <c r="H2426" s="6"/>
      <c r="I2426" s="6"/>
      <c r="J2426" s="18"/>
      <c r="K2426" s="23"/>
      <c r="L2426" s="5"/>
      <c r="M2426" s="5"/>
      <c r="N2426" s="5"/>
      <c r="O2426" s="5"/>
      <c r="P2426" s="5"/>
      <c r="Q2426" s="5"/>
      <c r="R2426" s="5"/>
      <c r="S2426" s="5"/>
      <c r="T2426" s="5"/>
      <c r="U2426" s="5"/>
      <c r="V2426" s="5"/>
      <c r="W2426" s="5"/>
      <c r="X2426" s="23"/>
      <c r="Y2426" s="18"/>
      <c r="Z2426" s="23"/>
      <c r="AA2426" s="23"/>
      <c r="AB2426" s="5"/>
      <c r="AC2426" s="5"/>
      <c r="AD2426" s="5"/>
      <c r="AE2426" s="5"/>
      <c r="AF2426" s="5"/>
      <c r="AG2426" s="23"/>
      <c r="AH2426" s="5"/>
      <c r="AI2426" s="5"/>
      <c r="AJ2426" s="5"/>
      <c r="AK2426" s="5"/>
      <c r="AL2426" s="6"/>
      <c r="AM2426" s="5"/>
      <c r="AN2426" s="4"/>
      <c r="AO2426" s="4"/>
      <c r="AP2426" s="4"/>
      <c r="AQ2426" s="4"/>
      <c r="AR2426" s="4"/>
      <c r="AS2426" s="4"/>
      <c r="AT2426" s="4"/>
      <c r="AU2426" s="27"/>
      <c r="AV2426" s="39"/>
      <c r="AW2426" s="4"/>
    </row>
    <row r="2427" spans="1:49" ht="14.5" x14ac:dyDescent="0.35">
      <c r="A2427" s="1"/>
      <c r="B2427" s="4"/>
      <c r="C2427" s="29"/>
      <c r="D2427" s="29"/>
      <c r="E2427" s="29"/>
      <c r="F2427" s="2"/>
      <c r="G2427" s="2"/>
      <c r="H2427" s="6"/>
      <c r="I2427" s="6"/>
      <c r="J2427" s="18"/>
      <c r="K2427" s="23"/>
      <c r="L2427" s="5"/>
      <c r="M2427" s="5"/>
      <c r="N2427" s="5"/>
      <c r="O2427" s="5"/>
      <c r="P2427" s="5"/>
      <c r="Q2427" s="5"/>
      <c r="R2427" s="5"/>
      <c r="S2427" s="5"/>
      <c r="T2427" s="5"/>
      <c r="U2427" s="5"/>
      <c r="V2427" s="5"/>
      <c r="W2427" s="5"/>
      <c r="X2427" s="23"/>
      <c r="Y2427" s="18"/>
      <c r="Z2427" s="23"/>
      <c r="AA2427" s="23"/>
      <c r="AB2427" s="5"/>
      <c r="AC2427" s="5"/>
      <c r="AD2427" s="5"/>
      <c r="AE2427" s="5"/>
      <c r="AF2427" s="5"/>
      <c r="AG2427" s="23"/>
      <c r="AH2427" s="5"/>
      <c r="AI2427" s="5"/>
      <c r="AJ2427" s="5"/>
      <c r="AK2427" s="5"/>
      <c r="AL2427" s="6"/>
      <c r="AM2427" s="5"/>
      <c r="AN2427" s="4"/>
      <c r="AO2427" s="4"/>
      <c r="AP2427" s="4"/>
      <c r="AQ2427" s="4"/>
      <c r="AR2427" s="4"/>
      <c r="AS2427" s="4"/>
      <c r="AT2427" s="4"/>
      <c r="AU2427" s="27"/>
      <c r="AV2427" s="39"/>
      <c r="AW2427" s="4"/>
    </row>
    <row r="2428" spans="1:49" ht="14.5" x14ac:dyDescent="0.35">
      <c r="A2428" s="1"/>
      <c r="B2428" s="4"/>
      <c r="C2428" s="29"/>
      <c r="D2428" s="29"/>
      <c r="E2428" s="29"/>
      <c r="F2428" s="2"/>
      <c r="G2428" s="2"/>
      <c r="H2428" s="6"/>
      <c r="I2428" s="6"/>
      <c r="J2428" s="18"/>
      <c r="K2428" s="23"/>
      <c r="L2428" s="5"/>
      <c r="M2428" s="5"/>
      <c r="N2428" s="5"/>
      <c r="O2428" s="5"/>
      <c r="P2428" s="5"/>
      <c r="Q2428" s="5"/>
      <c r="R2428" s="5"/>
      <c r="S2428" s="5"/>
      <c r="T2428" s="5"/>
      <c r="U2428" s="5"/>
      <c r="V2428" s="5"/>
      <c r="W2428" s="5"/>
      <c r="X2428" s="23"/>
      <c r="Y2428" s="18"/>
      <c r="Z2428" s="23"/>
      <c r="AA2428" s="23"/>
      <c r="AB2428" s="5"/>
      <c r="AC2428" s="5"/>
      <c r="AD2428" s="5"/>
      <c r="AE2428" s="5"/>
      <c r="AF2428" s="5"/>
      <c r="AG2428" s="23"/>
      <c r="AH2428" s="5"/>
      <c r="AI2428" s="5"/>
      <c r="AJ2428" s="5"/>
      <c r="AK2428" s="5"/>
      <c r="AL2428" s="6"/>
      <c r="AM2428" s="5"/>
      <c r="AN2428" s="4"/>
      <c r="AO2428" s="4"/>
      <c r="AP2428" s="4"/>
      <c r="AQ2428" s="4"/>
      <c r="AR2428" s="4"/>
      <c r="AS2428" s="4"/>
      <c r="AT2428" s="4"/>
      <c r="AU2428" s="27"/>
      <c r="AV2428" s="39"/>
      <c r="AW2428" s="4"/>
    </row>
    <row r="2429" spans="1:49" ht="14.5" x14ac:dyDescent="0.35">
      <c r="A2429" s="1"/>
      <c r="B2429" s="4"/>
      <c r="C2429" s="29"/>
      <c r="D2429" s="29"/>
      <c r="E2429" s="29"/>
      <c r="F2429" s="2"/>
      <c r="G2429" s="2"/>
      <c r="H2429" s="6"/>
      <c r="I2429" s="6"/>
      <c r="J2429" s="18"/>
      <c r="K2429" s="23"/>
      <c r="L2429" s="5"/>
      <c r="M2429" s="5"/>
      <c r="N2429" s="5"/>
      <c r="O2429" s="5"/>
      <c r="P2429" s="5"/>
      <c r="Q2429" s="5"/>
      <c r="R2429" s="5"/>
      <c r="S2429" s="5"/>
      <c r="T2429" s="5"/>
      <c r="U2429" s="5"/>
      <c r="V2429" s="5"/>
      <c r="W2429" s="5"/>
      <c r="X2429" s="23"/>
      <c r="Y2429" s="18"/>
      <c r="Z2429" s="23"/>
      <c r="AA2429" s="23"/>
      <c r="AB2429" s="5"/>
      <c r="AC2429" s="5"/>
      <c r="AD2429" s="5"/>
      <c r="AE2429" s="5"/>
      <c r="AF2429" s="5"/>
      <c r="AG2429" s="23"/>
      <c r="AH2429" s="5"/>
      <c r="AI2429" s="5"/>
      <c r="AJ2429" s="5"/>
      <c r="AK2429" s="5"/>
      <c r="AL2429" s="6"/>
      <c r="AM2429" s="5"/>
      <c r="AN2429" s="4"/>
      <c r="AO2429" s="4"/>
      <c r="AP2429" s="4"/>
      <c r="AQ2429" s="4"/>
      <c r="AR2429" s="4"/>
      <c r="AS2429" s="4"/>
      <c r="AT2429" s="4"/>
      <c r="AU2429" s="27"/>
      <c r="AV2429" s="39"/>
      <c r="AW2429" s="4"/>
    </row>
    <row r="2430" spans="1:49" ht="14.5" x14ac:dyDescent="0.35">
      <c r="A2430" s="1"/>
      <c r="B2430" s="4"/>
      <c r="C2430" s="29"/>
      <c r="D2430" s="29"/>
      <c r="E2430" s="29"/>
      <c r="F2430" s="2"/>
      <c r="G2430" s="2"/>
      <c r="H2430" s="6"/>
      <c r="I2430" s="6"/>
      <c r="J2430" s="18"/>
      <c r="K2430" s="23"/>
      <c r="L2430" s="5"/>
      <c r="M2430" s="5"/>
      <c r="N2430" s="5"/>
      <c r="O2430" s="5"/>
      <c r="P2430" s="5"/>
      <c r="Q2430" s="5"/>
      <c r="R2430" s="5"/>
      <c r="S2430" s="5"/>
      <c r="T2430" s="5"/>
      <c r="U2430" s="5"/>
      <c r="V2430" s="5"/>
      <c r="W2430" s="5"/>
      <c r="X2430" s="23"/>
      <c r="Y2430" s="18"/>
      <c r="Z2430" s="23"/>
      <c r="AA2430" s="23"/>
      <c r="AB2430" s="5"/>
      <c r="AC2430" s="5"/>
      <c r="AD2430" s="5"/>
      <c r="AE2430" s="5"/>
      <c r="AF2430" s="5"/>
      <c r="AG2430" s="23"/>
      <c r="AH2430" s="5"/>
      <c r="AI2430" s="5"/>
      <c r="AJ2430" s="5"/>
      <c r="AK2430" s="5"/>
      <c r="AL2430" s="6"/>
      <c r="AM2430" s="5"/>
      <c r="AN2430" s="4"/>
      <c r="AO2430" s="4"/>
      <c r="AP2430" s="4"/>
      <c r="AQ2430" s="4"/>
      <c r="AR2430" s="4"/>
      <c r="AS2430" s="4"/>
      <c r="AT2430" s="4"/>
      <c r="AU2430" s="27"/>
      <c r="AV2430" s="39"/>
      <c r="AW2430" s="4"/>
    </row>
    <row r="2431" spans="1:49" ht="14.5" x14ac:dyDescent="0.35">
      <c r="A2431" s="1"/>
      <c r="B2431" s="4"/>
      <c r="C2431" s="29"/>
      <c r="D2431" s="29"/>
      <c r="E2431" s="29"/>
      <c r="F2431" s="2"/>
      <c r="G2431" s="2"/>
      <c r="H2431" s="6"/>
      <c r="I2431" s="6"/>
      <c r="J2431" s="18"/>
      <c r="K2431" s="23"/>
      <c r="L2431" s="5"/>
      <c r="M2431" s="5"/>
      <c r="N2431" s="5"/>
      <c r="O2431" s="5"/>
      <c r="P2431" s="5"/>
      <c r="Q2431" s="5"/>
      <c r="R2431" s="5"/>
      <c r="S2431" s="5"/>
      <c r="T2431" s="5"/>
      <c r="U2431" s="5"/>
      <c r="V2431" s="5"/>
      <c r="W2431" s="5"/>
      <c r="X2431" s="23"/>
      <c r="Y2431" s="18"/>
      <c r="Z2431" s="23"/>
      <c r="AA2431" s="23"/>
      <c r="AB2431" s="5"/>
      <c r="AC2431" s="5"/>
      <c r="AD2431" s="5"/>
      <c r="AE2431" s="5"/>
      <c r="AF2431" s="5"/>
      <c r="AG2431" s="23"/>
      <c r="AH2431" s="5"/>
      <c r="AI2431" s="5"/>
      <c r="AJ2431" s="5"/>
      <c r="AK2431" s="5"/>
      <c r="AL2431" s="6"/>
      <c r="AM2431" s="5"/>
      <c r="AN2431" s="4"/>
      <c r="AO2431" s="4"/>
      <c r="AP2431" s="4"/>
      <c r="AQ2431" s="4"/>
      <c r="AR2431" s="4"/>
      <c r="AS2431" s="4"/>
      <c r="AT2431" s="4"/>
      <c r="AU2431" s="27"/>
      <c r="AV2431" s="39"/>
      <c r="AW2431" s="4"/>
    </row>
    <row r="2432" spans="1:49" ht="14.5" x14ac:dyDescent="0.35">
      <c r="A2432" s="1"/>
      <c r="B2432" s="4"/>
      <c r="C2432" s="29"/>
      <c r="D2432" s="29"/>
      <c r="E2432" s="29"/>
      <c r="F2432" s="2"/>
      <c r="G2432" s="2"/>
      <c r="H2432" s="6"/>
      <c r="I2432" s="6"/>
      <c r="J2432" s="18"/>
      <c r="K2432" s="23"/>
      <c r="L2432" s="5"/>
      <c r="M2432" s="5"/>
      <c r="N2432" s="5"/>
      <c r="O2432" s="5"/>
      <c r="P2432" s="5"/>
      <c r="Q2432" s="5"/>
      <c r="R2432" s="5"/>
      <c r="S2432" s="5"/>
      <c r="T2432" s="5"/>
      <c r="U2432" s="5"/>
      <c r="V2432" s="5"/>
      <c r="W2432" s="5"/>
      <c r="X2432" s="23"/>
      <c r="Y2432" s="18"/>
      <c r="Z2432" s="23"/>
      <c r="AA2432" s="23"/>
      <c r="AB2432" s="5"/>
      <c r="AC2432" s="5"/>
      <c r="AD2432" s="5"/>
      <c r="AE2432" s="5"/>
      <c r="AF2432" s="5"/>
      <c r="AG2432" s="23"/>
      <c r="AH2432" s="5"/>
      <c r="AI2432" s="5"/>
      <c r="AJ2432" s="5"/>
      <c r="AK2432" s="5"/>
      <c r="AL2432" s="6"/>
      <c r="AM2432" s="5"/>
      <c r="AN2432" s="4"/>
      <c r="AO2432" s="4"/>
      <c r="AP2432" s="4"/>
      <c r="AQ2432" s="4"/>
      <c r="AR2432" s="4"/>
      <c r="AS2432" s="4"/>
      <c r="AT2432" s="4"/>
      <c r="AU2432" s="27"/>
      <c r="AV2432" s="39"/>
      <c r="AW2432" s="4"/>
    </row>
    <row r="2433" spans="1:49" ht="14.5" x14ac:dyDescent="0.35">
      <c r="A2433" s="1"/>
      <c r="B2433" s="4"/>
      <c r="C2433" s="29"/>
      <c r="D2433" s="29"/>
      <c r="E2433" s="29"/>
      <c r="F2433" s="2"/>
      <c r="G2433" s="2"/>
      <c r="H2433" s="6"/>
      <c r="I2433" s="6"/>
      <c r="J2433" s="18"/>
      <c r="K2433" s="23"/>
      <c r="L2433" s="5"/>
      <c r="M2433" s="5"/>
      <c r="N2433" s="5"/>
      <c r="O2433" s="5"/>
      <c r="P2433" s="5"/>
      <c r="Q2433" s="5"/>
      <c r="R2433" s="5"/>
      <c r="S2433" s="5"/>
      <c r="T2433" s="5"/>
      <c r="U2433" s="5"/>
      <c r="V2433" s="5"/>
      <c r="W2433" s="5"/>
      <c r="X2433" s="23"/>
      <c r="Y2433" s="18"/>
      <c r="Z2433" s="23"/>
      <c r="AA2433" s="23"/>
      <c r="AB2433" s="5"/>
      <c r="AC2433" s="5"/>
      <c r="AD2433" s="5"/>
      <c r="AE2433" s="5"/>
      <c r="AF2433" s="5"/>
      <c r="AG2433" s="23"/>
      <c r="AH2433" s="5"/>
      <c r="AI2433" s="5"/>
      <c r="AJ2433" s="5"/>
      <c r="AK2433" s="5"/>
      <c r="AL2433" s="6"/>
      <c r="AM2433" s="5"/>
      <c r="AN2433" s="4"/>
      <c r="AO2433" s="4"/>
      <c r="AP2433" s="4"/>
      <c r="AQ2433" s="4"/>
      <c r="AR2433" s="4"/>
      <c r="AS2433" s="4"/>
      <c r="AT2433" s="4"/>
      <c r="AU2433" s="27"/>
      <c r="AV2433" s="39"/>
      <c r="AW2433" s="4"/>
    </row>
    <row r="2434" spans="1:49" ht="14.5" x14ac:dyDescent="0.35">
      <c r="A2434" s="1"/>
      <c r="B2434" s="4"/>
      <c r="C2434" s="29"/>
      <c r="D2434" s="29"/>
      <c r="E2434" s="29"/>
      <c r="F2434" s="2"/>
      <c r="G2434" s="2"/>
      <c r="H2434" s="6"/>
      <c r="I2434" s="6"/>
      <c r="J2434" s="18"/>
      <c r="K2434" s="23"/>
      <c r="L2434" s="5"/>
      <c r="M2434" s="5"/>
      <c r="N2434" s="5"/>
      <c r="O2434" s="5"/>
      <c r="P2434" s="5"/>
      <c r="Q2434" s="5"/>
      <c r="R2434" s="5"/>
      <c r="S2434" s="5"/>
      <c r="T2434" s="5"/>
      <c r="U2434" s="5"/>
      <c r="V2434" s="5"/>
      <c r="W2434" s="5"/>
      <c r="X2434" s="23"/>
      <c r="Y2434" s="18"/>
      <c r="Z2434" s="23"/>
      <c r="AA2434" s="23"/>
      <c r="AB2434" s="5"/>
      <c r="AC2434" s="5"/>
      <c r="AD2434" s="5"/>
      <c r="AE2434" s="5"/>
      <c r="AF2434" s="5"/>
      <c r="AG2434" s="23"/>
      <c r="AH2434" s="5"/>
      <c r="AI2434" s="5"/>
      <c r="AJ2434" s="5"/>
      <c r="AK2434" s="5"/>
      <c r="AL2434" s="6"/>
      <c r="AM2434" s="5"/>
      <c r="AN2434" s="4"/>
      <c r="AO2434" s="4"/>
      <c r="AP2434" s="4"/>
      <c r="AQ2434" s="4"/>
      <c r="AR2434" s="4"/>
      <c r="AS2434" s="4"/>
      <c r="AT2434" s="4"/>
      <c r="AU2434" s="27"/>
      <c r="AV2434" s="39"/>
      <c r="AW2434" s="4"/>
    </row>
    <row r="2435" spans="1:49" ht="14.5" x14ac:dyDescent="0.35">
      <c r="A2435" s="1"/>
      <c r="B2435" s="4"/>
      <c r="C2435" s="29"/>
      <c r="D2435" s="29"/>
      <c r="E2435" s="29"/>
      <c r="F2435" s="2"/>
      <c r="G2435" s="2"/>
      <c r="H2435" s="6"/>
      <c r="I2435" s="6"/>
      <c r="J2435" s="18"/>
      <c r="K2435" s="23"/>
      <c r="L2435" s="5"/>
      <c r="M2435" s="5"/>
      <c r="N2435" s="5"/>
      <c r="O2435" s="5"/>
      <c r="P2435" s="5"/>
      <c r="Q2435" s="5"/>
      <c r="R2435" s="5"/>
      <c r="S2435" s="5"/>
      <c r="T2435" s="5"/>
      <c r="U2435" s="5"/>
      <c r="V2435" s="5"/>
      <c r="W2435" s="5"/>
      <c r="X2435" s="23"/>
      <c r="Y2435" s="18"/>
      <c r="Z2435" s="23"/>
      <c r="AA2435" s="23"/>
      <c r="AB2435" s="5"/>
      <c r="AC2435" s="5"/>
      <c r="AD2435" s="5"/>
      <c r="AE2435" s="5"/>
      <c r="AF2435" s="5"/>
      <c r="AG2435" s="23"/>
      <c r="AH2435" s="5"/>
      <c r="AI2435" s="5"/>
      <c r="AJ2435" s="5"/>
      <c r="AK2435" s="5"/>
      <c r="AL2435" s="6"/>
      <c r="AM2435" s="5"/>
      <c r="AN2435" s="4"/>
      <c r="AO2435" s="4"/>
      <c r="AP2435" s="4"/>
      <c r="AQ2435" s="4"/>
      <c r="AR2435" s="4"/>
      <c r="AS2435" s="4"/>
      <c r="AT2435" s="4"/>
      <c r="AU2435" s="27"/>
      <c r="AV2435" s="39"/>
      <c r="AW2435" s="4"/>
    </row>
    <row r="2436" spans="1:49" ht="14.5" x14ac:dyDescent="0.35">
      <c r="A2436" s="1"/>
      <c r="B2436" s="4"/>
      <c r="C2436" s="29"/>
      <c r="D2436" s="29"/>
      <c r="E2436" s="29"/>
      <c r="F2436" s="2"/>
      <c r="G2436" s="2"/>
      <c r="H2436" s="6"/>
      <c r="I2436" s="6"/>
      <c r="J2436" s="18"/>
      <c r="K2436" s="23"/>
      <c r="L2436" s="5"/>
      <c r="M2436" s="5"/>
      <c r="N2436" s="5"/>
      <c r="O2436" s="5"/>
      <c r="P2436" s="5"/>
      <c r="Q2436" s="5"/>
      <c r="R2436" s="5"/>
      <c r="S2436" s="5"/>
      <c r="T2436" s="5"/>
      <c r="U2436" s="5"/>
      <c r="V2436" s="5"/>
      <c r="W2436" s="5"/>
      <c r="X2436" s="23"/>
      <c r="Y2436" s="18"/>
      <c r="Z2436" s="23"/>
      <c r="AA2436" s="23"/>
      <c r="AB2436" s="5"/>
      <c r="AC2436" s="5"/>
      <c r="AD2436" s="5"/>
      <c r="AE2436" s="5"/>
      <c r="AF2436" s="5"/>
      <c r="AG2436" s="23"/>
      <c r="AH2436" s="5"/>
      <c r="AI2436" s="5"/>
      <c r="AJ2436" s="5"/>
      <c r="AK2436" s="5"/>
      <c r="AL2436" s="6"/>
      <c r="AM2436" s="5"/>
      <c r="AN2436" s="4"/>
      <c r="AO2436" s="4"/>
      <c r="AP2436" s="4"/>
      <c r="AQ2436" s="4"/>
      <c r="AR2436" s="4"/>
      <c r="AS2436" s="4"/>
      <c r="AT2436" s="4"/>
      <c r="AU2436" s="27"/>
      <c r="AV2436" s="39"/>
      <c r="AW2436" s="4"/>
    </row>
    <row r="2437" spans="1:49" ht="14.5" x14ac:dyDescent="0.35">
      <c r="A2437" s="1"/>
      <c r="B2437" s="4"/>
      <c r="C2437" s="29"/>
      <c r="D2437" s="29"/>
      <c r="E2437" s="29"/>
      <c r="F2437" s="2"/>
      <c r="G2437" s="2"/>
      <c r="H2437" s="6"/>
      <c r="I2437" s="6"/>
      <c r="J2437" s="18"/>
      <c r="K2437" s="23"/>
      <c r="L2437" s="5"/>
      <c r="M2437" s="5"/>
      <c r="N2437" s="5"/>
      <c r="O2437" s="5"/>
      <c r="P2437" s="5"/>
      <c r="Q2437" s="5"/>
      <c r="R2437" s="5"/>
      <c r="S2437" s="5"/>
      <c r="T2437" s="5"/>
      <c r="U2437" s="5"/>
      <c r="V2437" s="5"/>
      <c r="W2437" s="5"/>
      <c r="X2437" s="23"/>
      <c r="Y2437" s="18"/>
      <c r="Z2437" s="23"/>
      <c r="AA2437" s="23"/>
      <c r="AB2437" s="5"/>
      <c r="AC2437" s="5"/>
      <c r="AD2437" s="5"/>
      <c r="AE2437" s="5"/>
      <c r="AF2437" s="5"/>
      <c r="AG2437" s="23"/>
      <c r="AH2437" s="5"/>
      <c r="AI2437" s="5"/>
      <c r="AJ2437" s="5"/>
      <c r="AK2437" s="5"/>
      <c r="AL2437" s="6"/>
      <c r="AM2437" s="5"/>
      <c r="AN2437" s="4"/>
      <c r="AO2437" s="4"/>
      <c r="AP2437" s="4"/>
      <c r="AQ2437" s="4"/>
      <c r="AR2437" s="4"/>
      <c r="AS2437" s="4"/>
      <c r="AT2437" s="4"/>
      <c r="AU2437" s="27"/>
      <c r="AV2437" s="39"/>
      <c r="AW2437" s="4"/>
    </row>
    <row r="2438" spans="1:49" ht="14.5" x14ac:dyDescent="0.35">
      <c r="A2438" s="1"/>
      <c r="B2438" s="4"/>
      <c r="C2438" s="29"/>
      <c r="D2438" s="29"/>
      <c r="E2438" s="29"/>
      <c r="F2438" s="2"/>
      <c r="G2438" s="2"/>
      <c r="H2438" s="6"/>
      <c r="I2438" s="6"/>
      <c r="J2438" s="18"/>
      <c r="K2438" s="23"/>
      <c r="L2438" s="5"/>
      <c r="M2438" s="5"/>
      <c r="N2438" s="5"/>
      <c r="O2438" s="5"/>
      <c r="P2438" s="5"/>
      <c r="Q2438" s="5"/>
      <c r="R2438" s="5"/>
      <c r="S2438" s="5"/>
      <c r="T2438" s="5"/>
      <c r="U2438" s="5"/>
      <c r="V2438" s="5"/>
      <c r="W2438" s="5"/>
      <c r="X2438" s="23"/>
      <c r="Y2438" s="18"/>
      <c r="Z2438" s="23"/>
      <c r="AA2438" s="23"/>
      <c r="AB2438" s="5"/>
      <c r="AC2438" s="5"/>
      <c r="AD2438" s="5"/>
      <c r="AE2438" s="5"/>
      <c r="AF2438" s="5"/>
      <c r="AG2438" s="23"/>
      <c r="AH2438" s="5"/>
      <c r="AI2438" s="5"/>
      <c r="AJ2438" s="5"/>
      <c r="AK2438" s="5"/>
      <c r="AL2438" s="6"/>
      <c r="AM2438" s="5"/>
      <c r="AN2438" s="4"/>
      <c r="AO2438" s="4"/>
      <c r="AP2438" s="4"/>
      <c r="AQ2438" s="4"/>
      <c r="AR2438" s="4"/>
      <c r="AS2438" s="4"/>
      <c r="AT2438" s="4"/>
      <c r="AU2438" s="27"/>
      <c r="AV2438" s="39"/>
      <c r="AW2438" s="4"/>
    </row>
    <row r="2439" spans="1:49" ht="14.5" x14ac:dyDescent="0.35">
      <c r="A2439" s="1"/>
      <c r="B2439" s="4"/>
      <c r="C2439" s="29"/>
      <c r="D2439" s="29"/>
      <c r="E2439" s="29"/>
      <c r="F2439" s="2"/>
      <c r="G2439" s="2"/>
      <c r="H2439" s="6"/>
      <c r="I2439" s="6"/>
      <c r="J2439" s="18"/>
      <c r="K2439" s="23"/>
      <c r="L2439" s="5"/>
      <c r="M2439" s="5"/>
      <c r="N2439" s="5"/>
      <c r="O2439" s="5"/>
      <c r="P2439" s="5"/>
      <c r="Q2439" s="5"/>
      <c r="R2439" s="5"/>
      <c r="S2439" s="5"/>
      <c r="T2439" s="5"/>
      <c r="U2439" s="5"/>
      <c r="V2439" s="5"/>
      <c r="W2439" s="5"/>
      <c r="X2439" s="23"/>
      <c r="Y2439" s="18"/>
      <c r="Z2439" s="23"/>
      <c r="AA2439" s="23"/>
      <c r="AB2439" s="5"/>
      <c r="AC2439" s="5"/>
      <c r="AD2439" s="5"/>
      <c r="AE2439" s="5"/>
      <c r="AF2439" s="5"/>
      <c r="AG2439" s="23"/>
      <c r="AH2439" s="5"/>
      <c r="AI2439" s="5"/>
      <c r="AJ2439" s="5"/>
      <c r="AK2439" s="5"/>
      <c r="AL2439" s="6"/>
      <c r="AM2439" s="5"/>
      <c r="AN2439" s="4"/>
      <c r="AO2439" s="4"/>
      <c r="AP2439" s="4"/>
      <c r="AQ2439" s="4"/>
      <c r="AR2439" s="4"/>
      <c r="AS2439" s="4"/>
      <c r="AT2439" s="4"/>
      <c r="AU2439" s="27"/>
      <c r="AV2439" s="39"/>
      <c r="AW2439" s="4"/>
    </row>
    <row r="2440" spans="1:49" ht="14.5" x14ac:dyDescent="0.35">
      <c r="A2440" s="1"/>
      <c r="B2440" s="4"/>
      <c r="C2440" s="29"/>
      <c r="D2440" s="29"/>
      <c r="E2440" s="29"/>
      <c r="F2440" s="2"/>
      <c r="G2440" s="2"/>
      <c r="H2440" s="6"/>
      <c r="I2440" s="6"/>
      <c r="J2440" s="18"/>
      <c r="K2440" s="23"/>
      <c r="L2440" s="5"/>
      <c r="M2440" s="5"/>
      <c r="N2440" s="5"/>
      <c r="O2440" s="5"/>
      <c r="P2440" s="5"/>
      <c r="Q2440" s="5"/>
      <c r="R2440" s="5"/>
      <c r="S2440" s="5"/>
      <c r="T2440" s="5"/>
      <c r="U2440" s="5"/>
      <c r="V2440" s="5"/>
      <c r="W2440" s="5"/>
      <c r="X2440" s="23"/>
      <c r="Y2440" s="18"/>
      <c r="Z2440" s="23"/>
      <c r="AA2440" s="23"/>
      <c r="AB2440" s="5"/>
      <c r="AC2440" s="5"/>
      <c r="AD2440" s="5"/>
      <c r="AE2440" s="5"/>
      <c r="AF2440" s="5"/>
      <c r="AG2440" s="23"/>
      <c r="AH2440" s="5"/>
      <c r="AI2440" s="5"/>
      <c r="AJ2440" s="5"/>
      <c r="AK2440" s="5"/>
      <c r="AL2440" s="6"/>
      <c r="AM2440" s="5"/>
      <c r="AN2440" s="4"/>
      <c r="AO2440" s="4"/>
      <c r="AP2440" s="4"/>
      <c r="AQ2440" s="4"/>
      <c r="AR2440" s="4"/>
      <c r="AS2440" s="4"/>
      <c r="AT2440" s="4"/>
      <c r="AU2440" s="27"/>
      <c r="AV2440" s="39"/>
      <c r="AW2440" s="4"/>
    </row>
    <row r="2441" spans="1:49" ht="14.5" x14ac:dyDescent="0.35">
      <c r="A2441" s="1"/>
      <c r="B2441" s="4"/>
      <c r="C2441" s="29"/>
      <c r="D2441" s="29"/>
      <c r="E2441" s="29"/>
      <c r="F2441" s="2"/>
      <c r="G2441" s="2"/>
      <c r="H2441" s="6"/>
      <c r="I2441" s="6"/>
      <c r="J2441" s="18"/>
      <c r="K2441" s="23"/>
      <c r="L2441" s="5"/>
      <c r="M2441" s="5"/>
      <c r="N2441" s="5"/>
      <c r="O2441" s="5"/>
      <c r="P2441" s="5"/>
      <c r="Q2441" s="5"/>
      <c r="R2441" s="5"/>
      <c r="S2441" s="5"/>
      <c r="T2441" s="5"/>
      <c r="U2441" s="5"/>
      <c r="V2441" s="5"/>
      <c r="W2441" s="5"/>
      <c r="X2441" s="23"/>
      <c r="Y2441" s="18"/>
      <c r="Z2441" s="23"/>
      <c r="AA2441" s="23"/>
      <c r="AB2441" s="5"/>
      <c r="AC2441" s="5"/>
      <c r="AD2441" s="5"/>
      <c r="AE2441" s="5"/>
      <c r="AF2441" s="5"/>
      <c r="AG2441" s="23"/>
      <c r="AH2441" s="5"/>
      <c r="AI2441" s="5"/>
      <c r="AJ2441" s="5"/>
      <c r="AK2441" s="5"/>
      <c r="AL2441" s="6"/>
      <c r="AM2441" s="5"/>
      <c r="AN2441" s="4"/>
      <c r="AO2441" s="4"/>
      <c r="AP2441" s="4"/>
      <c r="AQ2441" s="4"/>
      <c r="AR2441" s="4"/>
      <c r="AS2441" s="4"/>
      <c r="AT2441" s="4"/>
      <c r="AU2441" s="27"/>
      <c r="AV2441" s="39"/>
      <c r="AW2441" s="4"/>
    </row>
    <row r="2442" spans="1:49" ht="14.5" x14ac:dyDescent="0.35">
      <c r="A2442" s="1"/>
      <c r="B2442" s="4"/>
      <c r="C2442" s="29"/>
      <c r="D2442" s="29"/>
      <c r="E2442" s="29"/>
      <c r="F2442" s="2"/>
      <c r="G2442" s="2"/>
      <c r="H2442" s="6"/>
      <c r="I2442" s="6"/>
      <c r="J2442" s="18"/>
      <c r="K2442" s="23"/>
      <c r="L2442" s="5"/>
      <c r="M2442" s="5"/>
      <c r="N2442" s="5"/>
      <c r="O2442" s="5"/>
      <c r="P2442" s="5"/>
      <c r="Q2442" s="5"/>
      <c r="R2442" s="5"/>
      <c r="S2442" s="5"/>
      <c r="T2442" s="5"/>
      <c r="U2442" s="5"/>
      <c r="V2442" s="5"/>
      <c r="W2442" s="5"/>
      <c r="X2442" s="23"/>
      <c r="Y2442" s="18"/>
      <c r="Z2442" s="23"/>
      <c r="AA2442" s="23"/>
      <c r="AB2442" s="5"/>
      <c r="AC2442" s="5"/>
      <c r="AD2442" s="5"/>
      <c r="AE2442" s="5"/>
      <c r="AF2442" s="5"/>
      <c r="AG2442" s="23"/>
      <c r="AH2442" s="5"/>
      <c r="AI2442" s="5"/>
      <c r="AJ2442" s="5"/>
      <c r="AK2442" s="5"/>
      <c r="AL2442" s="6"/>
      <c r="AM2442" s="5"/>
      <c r="AN2442" s="4"/>
      <c r="AO2442" s="4"/>
      <c r="AP2442" s="4"/>
      <c r="AQ2442" s="4"/>
      <c r="AR2442" s="4"/>
      <c r="AS2442" s="4"/>
      <c r="AT2442" s="4"/>
      <c r="AU2442" s="27"/>
      <c r="AV2442" s="39"/>
      <c r="AW2442" s="4"/>
    </row>
    <row r="2443" spans="1:49" ht="14.5" x14ac:dyDescent="0.35">
      <c r="A2443" s="1"/>
      <c r="B2443" s="4"/>
      <c r="C2443" s="29"/>
      <c r="D2443" s="29"/>
      <c r="E2443" s="29"/>
      <c r="F2443" s="2"/>
      <c r="G2443" s="2"/>
      <c r="H2443" s="6"/>
      <c r="I2443" s="6"/>
      <c r="J2443" s="18"/>
      <c r="K2443" s="23"/>
      <c r="L2443" s="5"/>
      <c r="M2443" s="5"/>
      <c r="N2443" s="5"/>
      <c r="O2443" s="5"/>
      <c r="P2443" s="5"/>
      <c r="Q2443" s="5"/>
      <c r="R2443" s="5"/>
      <c r="S2443" s="5"/>
      <c r="T2443" s="5"/>
      <c r="U2443" s="5"/>
      <c r="V2443" s="5"/>
      <c r="W2443" s="5"/>
      <c r="X2443" s="23"/>
      <c r="Y2443" s="18"/>
      <c r="Z2443" s="23"/>
      <c r="AA2443" s="23"/>
      <c r="AB2443" s="5"/>
      <c r="AC2443" s="5"/>
      <c r="AD2443" s="5"/>
      <c r="AE2443" s="5"/>
      <c r="AF2443" s="5"/>
      <c r="AG2443" s="23"/>
      <c r="AH2443" s="5"/>
      <c r="AI2443" s="5"/>
      <c r="AJ2443" s="5"/>
      <c r="AK2443" s="5"/>
      <c r="AL2443" s="6"/>
      <c r="AM2443" s="5"/>
      <c r="AN2443" s="4"/>
      <c r="AO2443" s="4"/>
      <c r="AP2443" s="4"/>
      <c r="AQ2443" s="4"/>
      <c r="AR2443" s="4"/>
      <c r="AS2443" s="4"/>
      <c r="AT2443" s="4"/>
      <c r="AU2443" s="27"/>
      <c r="AV2443" s="39"/>
      <c r="AW2443" s="4"/>
    </row>
    <row r="2444" spans="1:49" ht="14.5" x14ac:dyDescent="0.35">
      <c r="A2444" s="1"/>
      <c r="B2444" s="4"/>
      <c r="C2444" s="29"/>
      <c r="D2444" s="29"/>
      <c r="E2444" s="29"/>
      <c r="F2444" s="2"/>
      <c r="G2444" s="2"/>
      <c r="H2444" s="6"/>
      <c r="I2444" s="6"/>
      <c r="J2444" s="18"/>
      <c r="K2444" s="23"/>
      <c r="L2444" s="5"/>
      <c r="M2444" s="5"/>
      <c r="N2444" s="5"/>
      <c r="O2444" s="5"/>
      <c r="P2444" s="5"/>
      <c r="Q2444" s="5"/>
      <c r="R2444" s="5"/>
      <c r="S2444" s="5"/>
      <c r="T2444" s="5"/>
      <c r="U2444" s="5"/>
      <c r="V2444" s="5"/>
      <c r="W2444" s="5"/>
      <c r="X2444" s="23"/>
      <c r="Y2444" s="18"/>
      <c r="Z2444" s="23"/>
      <c r="AA2444" s="23"/>
      <c r="AB2444" s="5"/>
      <c r="AC2444" s="5"/>
      <c r="AD2444" s="5"/>
      <c r="AE2444" s="5"/>
      <c r="AF2444" s="5"/>
      <c r="AG2444" s="23"/>
      <c r="AH2444" s="5"/>
      <c r="AI2444" s="5"/>
      <c r="AJ2444" s="5"/>
      <c r="AK2444" s="5"/>
      <c r="AL2444" s="6"/>
      <c r="AM2444" s="5"/>
      <c r="AN2444" s="4"/>
      <c r="AO2444" s="4"/>
      <c r="AP2444" s="4"/>
      <c r="AQ2444" s="4"/>
      <c r="AR2444" s="4"/>
      <c r="AS2444" s="4"/>
      <c r="AT2444" s="4"/>
      <c r="AU2444" s="27"/>
      <c r="AV2444" s="39"/>
      <c r="AW2444" s="4"/>
    </row>
    <row r="2445" spans="1:49" ht="14.5" x14ac:dyDescent="0.35">
      <c r="A2445" s="1"/>
      <c r="B2445" s="4"/>
      <c r="C2445" s="29"/>
      <c r="D2445" s="29"/>
      <c r="E2445" s="29"/>
      <c r="F2445" s="2"/>
      <c r="G2445" s="2"/>
      <c r="H2445" s="6"/>
      <c r="I2445" s="6"/>
      <c r="J2445" s="18"/>
      <c r="K2445" s="23"/>
      <c r="L2445" s="5"/>
      <c r="M2445" s="5"/>
      <c r="N2445" s="5"/>
      <c r="O2445" s="5"/>
      <c r="P2445" s="5"/>
      <c r="Q2445" s="5"/>
      <c r="R2445" s="5"/>
      <c r="S2445" s="5"/>
      <c r="T2445" s="5"/>
      <c r="U2445" s="5"/>
      <c r="V2445" s="5"/>
      <c r="W2445" s="5"/>
      <c r="X2445" s="23"/>
      <c r="Y2445" s="18"/>
      <c r="Z2445" s="23"/>
      <c r="AA2445" s="23"/>
      <c r="AB2445" s="5"/>
      <c r="AC2445" s="5"/>
      <c r="AD2445" s="5"/>
      <c r="AE2445" s="5"/>
      <c r="AF2445" s="5"/>
      <c r="AG2445" s="23"/>
      <c r="AH2445" s="5"/>
      <c r="AI2445" s="5"/>
      <c r="AJ2445" s="5"/>
      <c r="AK2445" s="5"/>
      <c r="AL2445" s="6"/>
      <c r="AM2445" s="5"/>
      <c r="AN2445" s="4"/>
      <c r="AO2445" s="4"/>
      <c r="AP2445" s="4"/>
      <c r="AQ2445" s="4"/>
      <c r="AR2445" s="4"/>
      <c r="AS2445" s="4"/>
      <c r="AT2445" s="4"/>
      <c r="AU2445" s="27"/>
      <c r="AV2445" s="39"/>
      <c r="AW2445" s="4"/>
    </row>
    <row r="2446" spans="1:49" ht="14.5" x14ac:dyDescent="0.35">
      <c r="A2446" s="1"/>
      <c r="B2446" s="4"/>
      <c r="C2446" s="29"/>
      <c r="D2446" s="29"/>
      <c r="E2446" s="29"/>
      <c r="F2446" s="2"/>
      <c r="G2446" s="2"/>
      <c r="H2446" s="6"/>
      <c r="I2446" s="6"/>
      <c r="J2446" s="18"/>
      <c r="K2446" s="23"/>
      <c r="L2446" s="5"/>
      <c r="M2446" s="5"/>
      <c r="N2446" s="5"/>
      <c r="O2446" s="5"/>
      <c r="P2446" s="5"/>
      <c r="Q2446" s="5"/>
      <c r="R2446" s="5"/>
      <c r="S2446" s="5"/>
      <c r="T2446" s="5"/>
      <c r="U2446" s="5"/>
      <c r="V2446" s="5"/>
      <c r="W2446" s="5"/>
      <c r="X2446" s="23"/>
      <c r="Y2446" s="18"/>
      <c r="Z2446" s="23"/>
      <c r="AA2446" s="23"/>
      <c r="AB2446" s="5"/>
      <c r="AC2446" s="5"/>
      <c r="AD2446" s="5"/>
      <c r="AE2446" s="5"/>
      <c r="AF2446" s="5"/>
      <c r="AG2446" s="23"/>
      <c r="AH2446" s="5"/>
      <c r="AI2446" s="5"/>
      <c r="AJ2446" s="5"/>
      <c r="AK2446" s="5"/>
      <c r="AL2446" s="6"/>
      <c r="AM2446" s="5"/>
      <c r="AN2446" s="4"/>
      <c r="AO2446" s="4"/>
      <c r="AP2446" s="4"/>
      <c r="AQ2446" s="4"/>
      <c r="AR2446" s="4"/>
      <c r="AS2446" s="4"/>
      <c r="AT2446" s="4"/>
      <c r="AU2446" s="27"/>
      <c r="AV2446" s="39"/>
      <c r="AW2446" s="4"/>
    </row>
    <row r="2447" spans="1:49" ht="14.5" x14ac:dyDescent="0.35">
      <c r="A2447" s="1"/>
      <c r="B2447" s="4"/>
      <c r="C2447" s="29"/>
      <c r="D2447" s="29"/>
      <c r="E2447" s="29"/>
      <c r="F2447" s="2"/>
      <c r="G2447" s="2"/>
      <c r="H2447" s="6"/>
      <c r="I2447" s="6"/>
      <c r="J2447" s="18"/>
      <c r="K2447" s="23"/>
      <c r="L2447" s="5"/>
      <c r="M2447" s="5"/>
      <c r="N2447" s="5"/>
      <c r="O2447" s="5"/>
      <c r="P2447" s="5"/>
      <c r="Q2447" s="5"/>
      <c r="R2447" s="5"/>
      <c r="S2447" s="5"/>
      <c r="T2447" s="5"/>
      <c r="U2447" s="5"/>
      <c r="V2447" s="5"/>
      <c r="W2447" s="5"/>
      <c r="X2447" s="23"/>
      <c r="Y2447" s="18"/>
      <c r="Z2447" s="23"/>
      <c r="AA2447" s="23"/>
      <c r="AB2447" s="5"/>
      <c r="AC2447" s="5"/>
      <c r="AD2447" s="5"/>
      <c r="AE2447" s="5"/>
      <c r="AF2447" s="5"/>
      <c r="AG2447" s="23"/>
      <c r="AH2447" s="5"/>
      <c r="AI2447" s="5"/>
      <c r="AJ2447" s="5"/>
      <c r="AK2447" s="5"/>
      <c r="AL2447" s="6"/>
      <c r="AM2447" s="5"/>
      <c r="AN2447" s="4"/>
      <c r="AO2447" s="4"/>
      <c r="AP2447" s="4"/>
      <c r="AQ2447" s="4"/>
      <c r="AR2447" s="4"/>
      <c r="AS2447" s="4"/>
      <c r="AT2447" s="4"/>
      <c r="AU2447" s="27"/>
      <c r="AV2447" s="39"/>
      <c r="AW2447" s="4"/>
    </row>
    <row r="2448" spans="1:49" ht="14.5" x14ac:dyDescent="0.35">
      <c r="A2448" s="1"/>
      <c r="B2448" s="4"/>
      <c r="C2448" s="29"/>
      <c r="D2448" s="29"/>
      <c r="E2448" s="29"/>
      <c r="F2448" s="2"/>
      <c r="G2448" s="2"/>
      <c r="H2448" s="6"/>
      <c r="I2448" s="6"/>
      <c r="J2448" s="18"/>
      <c r="K2448" s="23"/>
      <c r="L2448" s="5"/>
      <c r="M2448" s="5"/>
      <c r="N2448" s="5"/>
      <c r="O2448" s="5"/>
      <c r="P2448" s="5"/>
      <c r="Q2448" s="5"/>
      <c r="R2448" s="5"/>
      <c r="S2448" s="5"/>
      <c r="T2448" s="5"/>
      <c r="U2448" s="5"/>
      <c r="V2448" s="5"/>
      <c r="W2448" s="5"/>
      <c r="X2448" s="23"/>
      <c r="Y2448" s="18"/>
      <c r="Z2448" s="23"/>
      <c r="AA2448" s="23"/>
      <c r="AB2448" s="5"/>
      <c r="AC2448" s="5"/>
      <c r="AD2448" s="5"/>
      <c r="AE2448" s="5"/>
      <c r="AF2448" s="5"/>
      <c r="AG2448" s="23"/>
      <c r="AH2448" s="5"/>
      <c r="AI2448" s="5"/>
      <c r="AJ2448" s="5"/>
      <c r="AK2448" s="5"/>
      <c r="AL2448" s="6"/>
      <c r="AM2448" s="5"/>
      <c r="AN2448" s="4"/>
      <c r="AO2448" s="4"/>
      <c r="AP2448" s="4"/>
      <c r="AQ2448" s="4"/>
      <c r="AR2448" s="4"/>
      <c r="AS2448" s="4"/>
      <c r="AT2448" s="4"/>
      <c r="AU2448" s="27"/>
      <c r="AV2448" s="39"/>
      <c r="AW2448" s="4"/>
    </row>
    <row r="2449" spans="1:49" ht="14.5" x14ac:dyDescent="0.35">
      <c r="A2449" s="1"/>
      <c r="B2449" s="4"/>
      <c r="C2449" s="29"/>
      <c r="D2449" s="29"/>
      <c r="E2449" s="29"/>
      <c r="F2449" s="2"/>
      <c r="G2449" s="2"/>
      <c r="H2449" s="6"/>
      <c r="I2449" s="6"/>
      <c r="J2449" s="18"/>
      <c r="K2449" s="23"/>
      <c r="L2449" s="5"/>
      <c r="M2449" s="5"/>
      <c r="N2449" s="5"/>
      <c r="O2449" s="5"/>
      <c r="P2449" s="5"/>
      <c r="Q2449" s="5"/>
      <c r="R2449" s="5"/>
      <c r="S2449" s="5"/>
      <c r="T2449" s="5"/>
      <c r="U2449" s="5"/>
      <c r="V2449" s="5"/>
      <c r="W2449" s="5"/>
      <c r="X2449" s="23"/>
      <c r="Y2449" s="18"/>
      <c r="Z2449" s="23"/>
      <c r="AA2449" s="23"/>
      <c r="AB2449" s="5"/>
      <c r="AC2449" s="5"/>
      <c r="AD2449" s="5"/>
      <c r="AE2449" s="5"/>
      <c r="AF2449" s="5"/>
      <c r="AG2449" s="23"/>
      <c r="AH2449" s="5"/>
      <c r="AI2449" s="5"/>
      <c r="AJ2449" s="5"/>
      <c r="AK2449" s="5"/>
      <c r="AL2449" s="6"/>
      <c r="AM2449" s="5"/>
      <c r="AN2449" s="4"/>
      <c r="AO2449" s="4"/>
      <c r="AP2449" s="4"/>
      <c r="AQ2449" s="4"/>
      <c r="AR2449" s="4"/>
      <c r="AS2449" s="4"/>
      <c r="AT2449" s="4"/>
      <c r="AU2449" s="27"/>
      <c r="AV2449" s="39"/>
      <c r="AW2449" s="4"/>
    </row>
    <row r="2450" spans="1:49" ht="14.5" x14ac:dyDescent="0.35">
      <c r="A2450" s="1"/>
      <c r="B2450" s="4"/>
      <c r="C2450" s="29"/>
      <c r="D2450" s="29"/>
      <c r="E2450" s="29"/>
      <c r="F2450" s="2"/>
      <c r="G2450" s="2"/>
      <c r="H2450" s="6"/>
      <c r="I2450" s="6"/>
      <c r="J2450" s="18"/>
      <c r="K2450" s="23"/>
      <c r="L2450" s="5"/>
      <c r="M2450" s="5"/>
      <c r="N2450" s="5"/>
      <c r="O2450" s="5"/>
      <c r="P2450" s="5"/>
      <c r="Q2450" s="5"/>
      <c r="R2450" s="5"/>
      <c r="S2450" s="5"/>
      <c r="T2450" s="5"/>
      <c r="U2450" s="5"/>
      <c r="V2450" s="5"/>
      <c r="W2450" s="5"/>
      <c r="X2450" s="23"/>
      <c r="Y2450" s="18"/>
      <c r="Z2450" s="23"/>
      <c r="AA2450" s="23"/>
      <c r="AB2450" s="5"/>
      <c r="AC2450" s="5"/>
      <c r="AD2450" s="5"/>
      <c r="AE2450" s="5"/>
      <c r="AF2450" s="5"/>
      <c r="AG2450" s="23"/>
      <c r="AH2450" s="5"/>
      <c r="AI2450" s="5"/>
      <c r="AJ2450" s="5"/>
      <c r="AK2450" s="5"/>
      <c r="AL2450" s="6"/>
      <c r="AM2450" s="5"/>
      <c r="AN2450" s="4"/>
      <c r="AO2450" s="4"/>
      <c r="AP2450" s="4"/>
      <c r="AQ2450" s="4"/>
      <c r="AR2450" s="4"/>
      <c r="AS2450" s="4"/>
      <c r="AT2450" s="4"/>
      <c r="AU2450" s="27"/>
      <c r="AV2450" s="39"/>
      <c r="AW2450" s="4"/>
    </row>
    <row r="2451" spans="1:49" ht="14.5" x14ac:dyDescent="0.35">
      <c r="A2451" s="1"/>
      <c r="B2451" s="4"/>
      <c r="C2451" s="29"/>
      <c r="D2451" s="29"/>
      <c r="E2451" s="29"/>
      <c r="F2451" s="2"/>
      <c r="G2451" s="2"/>
      <c r="H2451" s="6"/>
      <c r="I2451" s="6"/>
      <c r="J2451" s="18"/>
      <c r="K2451" s="23"/>
      <c r="L2451" s="5"/>
      <c r="M2451" s="5"/>
      <c r="N2451" s="5"/>
      <c r="O2451" s="5"/>
      <c r="P2451" s="5"/>
      <c r="Q2451" s="5"/>
      <c r="R2451" s="5"/>
      <c r="S2451" s="5"/>
      <c r="T2451" s="5"/>
      <c r="U2451" s="5"/>
      <c r="V2451" s="5"/>
      <c r="W2451" s="5"/>
      <c r="X2451" s="23"/>
      <c r="Y2451" s="18"/>
      <c r="Z2451" s="23"/>
      <c r="AA2451" s="23"/>
      <c r="AB2451" s="5"/>
      <c r="AC2451" s="5"/>
      <c r="AD2451" s="5"/>
      <c r="AE2451" s="5"/>
      <c r="AF2451" s="5"/>
      <c r="AG2451" s="23"/>
      <c r="AH2451" s="5"/>
      <c r="AI2451" s="5"/>
      <c r="AJ2451" s="5"/>
      <c r="AK2451" s="5"/>
      <c r="AL2451" s="6"/>
      <c r="AM2451" s="5"/>
      <c r="AN2451" s="4"/>
      <c r="AO2451" s="4"/>
      <c r="AP2451" s="4"/>
      <c r="AQ2451" s="4"/>
      <c r="AR2451" s="4"/>
      <c r="AS2451" s="4"/>
      <c r="AT2451" s="4"/>
      <c r="AU2451" s="27"/>
      <c r="AV2451" s="39"/>
      <c r="AW2451" s="4"/>
    </row>
    <row r="2452" spans="1:49" ht="14.5" x14ac:dyDescent="0.35">
      <c r="A2452" s="1"/>
      <c r="B2452" s="4"/>
      <c r="C2452" s="29"/>
      <c r="D2452" s="29"/>
      <c r="E2452" s="29"/>
      <c r="F2452" s="2"/>
      <c r="G2452" s="2"/>
      <c r="H2452" s="6"/>
      <c r="I2452" s="6"/>
      <c r="J2452" s="18"/>
      <c r="K2452" s="23"/>
      <c r="L2452" s="5"/>
      <c r="M2452" s="5"/>
      <c r="N2452" s="5"/>
      <c r="O2452" s="5"/>
      <c r="P2452" s="5"/>
      <c r="Q2452" s="5"/>
      <c r="R2452" s="5"/>
      <c r="S2452" s="5"/>
      <c r="T2452" s="5"/>
      <c r="U2452" s="5"/>
      <c r="V2452" s="5"/>
      <c r="W2452" s="5"/>
      <c r="X2452" s="23"/>
      <c r="Y2452" s="18"/>
      <c r="Z2452" s="23"/>
      <c r="AA2452" s="23"/>
      <c r="AB2452" s="5"/>
      <c r="AC2452" s="5"/>
      <c r="AD2452" s="5"/>
      <c r="AE2452" s="5"/>
      <c r="AF2452" s="5"/>
      <c r="AG2452" s="23"/>
      <c r="AH2452" s="5"/>
      <c r="AI2452" s="5"/>
      <c r="AJ2452" s="5"/>
      <c r="AK2452" s="5"/>
      <c r="AL2452" s="6"/>
      <c r="AM2452" s="5"/>
      <c r="AN2452" s="4"/>
      <c r="AO2452" s="4"/>
      <c r="AP2452" s="4"/>
      <c r="AQ2452" s="4"/>
      <c r="AR2452" s="4"/>
      <c r="AS2452" s="4"/>
      <c r="AT2452" s="4"/>
      <c r="AU2452" s="27"/>
      <c r="AV2452" s="39"/>
      <c r="AW2452" s="4"/>
    </row>
    <row r="2453" spans="1:49" ht="14.5" x14ac:dyDescent="0.35">
      <c r="A2453" s="1"/>
      <c r="B2453" s="4"/>
      <c r="C2453" s="29"/>
      <c r="D2453" s="29"/>
      <c r="E2453" s="29"/>
      <c r="F2453" s="2"/>
      <c r="G2453" s="2"/>
      <c r="H2453" s="6"/>
      <c r="I2453" s="6"/>
      <c r="J2453" s="18"/>
      <c r="K2453" s="23"/>
      <c r="L2453" s="5"/>
      <c r="M2453" s="5"/>
      <c r="N2453" s="5"/>
      <c r="O2453" s="5"/>
      <c r="P2453" s="5"/>
      <c r="Q2453" s="5"/>
      <c r="R2453" s="5"/>
      <c r="S2453" s="5"/>
      <c r="T2453" s="5"/>
      <c r="U2453" s="5"/>
      <c r="V2453" s="5"/>
      <c r="W2453" s="5"/>
      <c r="X2453" s="23"/>
      <c r="Y2453" s="18"/>
      <c r="Z2453" s="23"/>
      <c r="AA2453" s="23"/>
      <c r="AB2453" s="5"/>
      <c r="AC2453" s="5"/>
      <c r="AD2453" s="5"/>
      <c r="AE2453" s="5"/>
      <c r="AF2453" s="5"/>
      <c r="AG2453" s="23"/>
      <c r="AH2453" s="5"/>
      <c r="AI2453" s="5"/>
      <c r="AJ2453" s="5"/>
      <c r="AK2453" s="5"/>
      <c r="AL2453" s="6"/>
      <c r="AM2453" s="5"/>
      <c r="AN2453" s="4"/>
      <c r="AO2453" s="4"/>
      <c r="AP2453" s="4"/>
      <c r="AQ2453" s="4"/>
      <c r="AR2453" s="4"/>
      <c r="AS2453" s="4"/>
      <c r="AT2453" s="4"/>
      <c r="AU2453" s="27"/>
      <c r="AV2453" s="39"/>
      <c r="AW2453" s="4"/>
    </row>
    <row r="2454" spans="1:49" ht="14.5" x14ac:dyDescent="0.35">
      <c r="A2454" s="1"/>
      <c r="B2454" s="4"/>
      <c r="C2454" s="29"/>
      <c r="D2454" s="29"/>
      <c r="E2454" s="29"/>
      <c r="F2454" s="2"/>
      <c r="G2454" s="2"/>
      <c r="H2454" s="6"/>
      <c r="I2454" s="6"/>
      <c r="J2454" s="18"/>
      <c r="K2454" s="23"/>
      <c r="L2454" s="5"/>
      <c r="M2454" s="5"/>
      <c r="N2454" s="5"/>
      <c r="O2454" s="5"/>
      <c r="P2454" s="5"/>
      <c r="Q2454" s="5"/>
      <c r="R2454" s="5"/>
      <c r="S2454" s="5"/>
      <c r="T2454" s="5"/>
      <c r="U2454" s="5"/>
      <c r="V2454" s="5"/>
      <c r="W2454" s="5"/>
      <c r="X2454" s="23"/>
      <c r="Y2454" s="18"/>
      <c r="Z2454" s="23"/>
      <c r="AA2454" s="23"/>
      <c r="AB2454" s="5"/>
      <c r="AC2454" s="5"/>
      <c r="AD2454" s="5"/>
      <c r="AE2454" s="5"/>
      <c r="AF2454" s="5"/>
      <c r="AG2454" s="23"/>
      <c r="AH2454" s="5"/>
      <c r="AI2454" s="5"/>
      <c r="AJ2454" s="5"/>
      <c r="AK2454" s="5"/>
      <c r="AL2454" s="6"/>
      <c r="AM2454" s="5"/>
      <c r="AN2454" s="4"/>
      <c r="AO2454" s="4"/>
      <c r="AP2454" s="4"/>
      <c r="AQ2454" s="4"/>
      <c r="AR2454" s="4"/>
      <c r="AS2454" s="4"/>
      <c r="AT2454" s="4"/>
      <c r="AU2454" s="27"/>
      <c r="AV2454" s="39"/>
      <c r="AW2454" s="4"/>
    </row>
    <row r="2455" spans="1:49" ht="14.5" x14ac:dyDescent="0.35">
      <c r="A2455" s="1"/>
      <c r="B2455" s="4"/>
      <c r="C2455" s="29"/>
      <c r="D2455" s="29"/>
      <c r="E2455" s="29"/>
      <c r="F2455" s="2"/>
      <c r="G2455" s="2"/>
      <c r="H2455" s="6"/>
      <c r="I2455" s="6"/>
      <c r="J2455" s="18"/>
      <c r="K2455" s="23"/>
      <c r="L2455" s="5"/>
      <c r="M2455" s="5"/>
      <c r="N2455" s="5"/>
      <c r="O2455" s="5"/>
      <c r="P2455" s="5"/>
      <c r="Q2455" s="5"/>
      <c r="R2455" s="5"/>
      <c r="S2455" s="5"/>
      <c r="T2455" s="5"/>
      <c r="U2455" s="5"/>
      <c r="V2455" s="5"/>
      <c r="W2455" s="5"/>
      <c r="X2455" s="23"/>
      <c r="Y2455" s="18"/>
      <c r="Z2455" s="23"/>
      <c r="AA2455" s="23"/>
      <c r="AB2455" s="5"/>
      <c r="AC2455" s="5"/>
      <c r="AD2455" s="5"/>
      <c r="AE2455" s="5"/>
      <c r="AF2455" s="5"/>
      <c r="AG2455" s="23"/>
      <c r="AH2455" s="5"/>
      <c r="AI2455" s="5"/>
      <c r="AJ2455" s="5"/>
      <c r="AK2455" s="5"/>
      <c r="AL2455" s="6"/>
      <c r="AM2455" s="5"/>
      <c r="AN2455" s="4"/>
      <c r="AO2455" s="4"/>
      <c r="AP2455" s="4"/>
      <c r="AQ2455" s="4"/>
      <c r="AR2455" s="4"/>
      <c r="AS2455" s="4"/>
      <c r="AT2455" s="4"/>
      <c r="AU2455" s="27"/>
      <c r="AV2455" s="39"/>
      <c r="AW2455" s="4"/>
    </row>
    <row r="2456" spans="1:49" ht="14.5" x14ac:dyDescent="0.35">
      <c r="A2456" s="1"/>
      <c r="B2456" s="4"/>
      <c r="C2456" s="29"/>
      <c r="D2456" s="29"/>
      <c r="E2456" s="29"/>
      <c r="F2456" s="2"/>
      <c r="G2456" s="2"/>
      <c r="H2456" s="6"/>
      <c r="I2456" s="6"/>
      <c r="J2456" s="18"/>
      <c r="K2456" s="23"/>
      <c r="L2456" s="5"/>
      <c r="M2456" s="5"/>
      <c r="N2456" s="5"/>
      <c r="O2456" s="5"/>
      <c r="P2456" s="5"/>
      <c r="Q2456" s="5"/>
      <c r="R2456" s="5"/>
      <c r="S2456" s="5"/>
      <c r="T2456" s="5"/>
      <c r="U2456" s="5"/>
      <c r="V2456" s="5"/>
      <c r="W2456" s="5"/>
      <c r="X2456" s="23"/>
      <c r="Y2456" s="18"/>
      <c r="Z2456" s="23"/>
      <c r="AA2456" s="23"/>
      <c r="AB2456" s="5"/>
      <c r="AC2456" s="5"/>
      <c r="AD2456" s="5"/>
      <c r="AE2456" s="5"/>
      <c r="AF2456" s="5"/>
      <c r="AG2456" s="23"/>
      <c r="AH2456" s="5"/>
      <c r="AI2456" s="5"/>
      <c r="AJ2456" s="5"/>
      <c r="AK2456" s="5"/>
      <c r="AL2456" s="6"/>
      <c r="AM2456" s="5"/>
      <c r="AN2456" s="4"/>
      <c r="AO2456" s="4"/>
      <c r="AP2456" s="4"/>
      <c r="AQ2456" s="4"/>
      <c r="AR2456" s="4"/>
      <c r="AS2456" s="4"/>
      <c r="AT2456" s="4"/>
      <c r="AU2456" s="27"/>
      <c r="AV2456" s="39"/>
      <c r="AW2456" s="4"/>
    </row>
    <row r="2457" spans="1:49" ht="14.5" x14ac:dyDescent="0.35">
      <c r="A2457" s="1"/>
      <c r="B2457" s="4"/>
      <c r="C2457" s="29"/>
      <c r="D2457" s="29"/>
      <c r="E2457" s="29"/>
      <c r="F2457" s="2"/>
      <c r="G2457" s="2"/>
      <c r="H2457" s="6"/>
      <c r="I2457" s="6"/>
      <c r="J2457" s="18"/>
      <c r="K2457" s="23"/>
      <c r="L2457" s="5"/>
      <c r="M2457" s="5"/>
      <c r="N2457" s="5"/>
      <c r="O2457" s="5"/>
      <c r="P2457" s="5"/>
      <c r="Q2457" s="5"/>
      <c r="R2457" s="5"/>
      <c r="S2457" s="5"/>
      <c r="T2457" s="5"/>
      <c r="U2457" s="5"/>
      <c r="V2457" s="5"/>
      <c r="W2457" s="5"/>
      <c r="X2457" s="23"/>
      <c r="Y2457" s="18"/>
      <c r="Z2457" s="23"/>
      <c r="AA2457" s="23"/>
      <c r="AB2457" s="5"/>
      <c r="AC2457" s="5"/>
      <c r="AD2457" s="5"/>
      <c r="AE2457" s="5"/>
      <c r="AF2457" s="5"/>
      <c r="AG2457" s="23"/>
      <c r="AH2457" s="5"/>
      <c r="AI2457" s="5"/>
      <c r="AJ2457" s="5"/>
      <c r="AK2457" s="5"/>
      <c r="AL2457" s="6"/>
      <c r="AM2457" s="5"/>
      <c r="AN2457" s="4"/>
      <c r="AO2457" s="4"/>
      <c r="AP2457" s="4"/>
      <c r="AQ2457" s="4"/>
      <c r="AR2457" s="4"/>
      <c r="AS2457" s="4"/>
      <c r="AT2457" s="4"/>
      <c r="AU2457" s="27"/>
      <c r="AV2457" s="39"/>
      <c r="AW2457" s="4"/>
    </row>
    <row r="2458" spans="1:49" ht="14.5" x14ac:dyDescent="0.35">
      <c r="A2458" s="1"/>
      <c r="B2458" s="4"/>
      <c r="C2458" s="29"/>
      <c r="D2458" s="29"/>
      <c r="E2458" s="29"/>
      <c r="F2458" s="2"/>
      <c r="G2458" s="2"/>
      <c r="H2458" s="6"/>
      <c r="I2458" s="6"/>
      <c r="J2458" s="18"/>
      <c r="K2458" s="23"/>
      <c r="L2458" s="5"/>
      <c r="M2458" s="5"/>
      <c r="N2458" s="5"/>
      <c r="O2458" s="5"/>
      <c r="P2458" s="5"/>
      <c r="Q2458" s="5"/>
      <c r="R2458" s="5"/>
      <c r="S2458" s="5"/>
      <c r="T2458" s="5"/>
      <c r="U2458" s="5"/>
      <c r="V2458" s="5"/>
      <c r="W2458" s="5"/>
      <c r="X2458" s="23"/>
      <c r="Y2458" s="18"/>
      <c r="Z2458" s="23"/>
      <c r="AA2458" s="23"/>
      <c r="AB2458" s="5"/>
      <c r="AC2458" s="5"/>
      <c r="AD2458" s="5"/>
      <c r="AE2458" s="5"/>
      <c r="AF2458" s="5"/>
      <c r="AG2458" s="23"/>
      <c r="AH2458" s="5"/>
      <c r="AI2458" s="5"/>
      <c r="AJ2458" s="5"/>
      <c r="AK2458" s="5"/>
      <c r="AL2458" s="6"/>
      <c r="AM2458" s="5"/>
      <c r="AN2458" s="4"/>
      <c r="AO2458" s="4"/>
      <c r="AP2458" s="4"/>
      <c r="AQ2458" s="4"/>
      <c r="AR2458" s="4"/>
      <c r="AS2458" s="4"/>
      <c r="AT2458" s="4"/>
      <c r="AU2458" s="27"/>
      <c r="AV2458" s="39"/>
      <c r="AW2458" s="4"/>
    </row>
    <row r="2459" spans="1:49" ht="14.5" x14ac:dyDescent="0.35">
      <c r="A2459" s="1"/>
      <c r="B2459" s="4"/>
      <c r="C2459" s="29"/>
      <c r="D2459" s="29"/>
      <c r="E2459" s="29"/>
      <c r="F2459" s="2"/>
      <c r="G2459" s="2"/>
      <c r="H2459" s="6"/>
      <c r="I2459" s="6"/>
      <c r="J2459" s="18"/>
      <c r="K2459" s="23"/>
      <c r="L2459" s="5"/>
      <c r="M2459" s="5"/>
      <c r="N2459" s="5"/>
      <c r="O2459" s="5"/>
      <c r="P2459" s="5"/>
      <c r="Q2459" s="5"/>
      <c r="R2459" s="5"/>
      <c r="S2459" s="5"/>
      <c r="T2459" s="5"/>
      <c r="U2459" s="5"/>
      <c r="V2459" s="5"/>
      <c r="W2459" s="5"/>
      <c r="X2459" s="23"/>
      <c r="Y2459" s="18"/>
      <c r="Z2459" s="23"/>
      <c r="AA2459" s="23"/>
      <c r="AB2459" s="5"/>
      <c r="AC2459" s="5"/>
      <c r="AD2459" s="5"/>
      <c r="AE2459" s="5"/>
      <c r="AF2459" s="5"/>
      <c r="AG2459" s="23"/>
      <c r="AH2459" s="5"/>
      <c r="AI2459" s="5"/>
      <c r="AJ2459" s="5"/>
      <c r="AK2459" s="5"/>
      <c r="AL2459" s="6"/>
      <c r="AM2459" s="5"/>
      <c r="AN2459" s="4"/>
      <c r="AO2459" s="4"/>
      <c r="AP2459" s="4"/>
      <c r="AQ2459" s="4"/>
      <c r="AR2459" s="4"/>
      <c r="AS2459" s="4"/>
      <c r="AT2459" s="4"/>
      <c r="AU2459" s="27"/>
      <c r="AV2459" s="39"/>
      <c r="AW2459" s="4"/>
    </row>
    <row r="2460" spans="1:49" ht="14.5" x14ac:dyDescent="0.35">
      <c r="A2460" s="1"/>
      <c r="B2460" s="4"/>
      <c r="C2460" s="29"/>
      <c r="D2460" s="29"/>
      <c r="E2460" s="29"/>
      <c r="F2460" s="2"/>
      <c r="G2460" s="2"/>
      <c r="H2460" s="6"/>
      <c r="I2460" s="6"/>
      <c r="J2460" s="18"/>
      <c r="K2460" s="23"/>
      <c r="L2460" s="5"/>
      <c r="M2460" s="5"/>
      <c r="N2460" s="5"/>
      <c r="O2460" s="5"/>
      <c r="P2460" s="5"/>
      <c r="Q2460" s="5"/>
      <c r="R2460" s="5"/>
      <c r="S2460" s="5"/>
      <c r="T2460" s="5"/>
      <c r="U2460" s="5"/>
      <c r="V2460" s="5"/>
      <c r="W2460" s="5"/>
      <c r="X2460" s="23"/>
      <c r="Y2460" s="18"/>
      <c r="Z2460" s="23"/>
      <c r="AA2460" s="23"/>
      <c r="AB2460" s="5"/>
      <c r="AC2460" s="5"/>
      <c r="AD2460" s="5"/>
      <c r="AE2460" s="5"/>
      <c r="AF2460" s="5"/>
      <c r="AG2460" s="23"/>
      <c r="AH2460" s="5"/>
      <c r="AI2460" s="5"/>
      <c r="AJ2460" s="5"/>
      <c r="AK2460" s="5"/>
      <c r="AL2460" s="6"/>
      <c r="AM2460" s="5"/>
      <c r="AN2460" s="4"/>
      <c r="AO2460" s="4"/>
      <c r="AP2460" s="4"/>
      <c r="AQ2460" s="4"/>
      <c r="AR2460" s="4"/>
      <c r="AS2460" s="4"/>
      <c r="AT2460" s="4"/>
      <c r="AU2460" s="27"/>
      <c r="AV2460" s="39"/>
      <c r="AW2460" s="4"/>
    </row>
    <row r="2461" spans="1:49" ht="14.5" x14ac:dyDescent="0.35">
      <c r="A2461" s="1"/>
      <c r="B2461" s="4"/>
      <c r="C2461" s="29"/>
      <c r="D2461" s="29"/>
      <c r="E2461" s="29"/>
      <c r="F2461" s="2"/>
      <c r="G2461" s="2"/>
      <c r="H2461" s="6"/>
      <c r="I2461" s="6"/>
      <c r="J2461" s="18"/>
      <c r="K2461" s="23"/>
      <c r="L2461" s="5"/>
      <c r="M2461" s="5"/>
      <c r="N2461" s="5"/>
      <c r="O2461" s="5"/>
      <c r="P2461" s="5"/>
      <c r="Q2461" s="5"/>
      <c r="R2461" s="5"/>
      <c r="S2461" s="5"/>
      <c r="T2461" s="5"/>
      <c r="U2461" s="5"/>
      <c r="V2461" s="5"/>
      <c r="W2461" s="5"/>
      <c r="X2461" s="23"/>
      <c r="Y2461" s="18"/>
      <c r="Z2461" s="23"/>
      <c r="AA2461" s="23"/>
      <c r="AB2461" s="5"/>
      <c r="AC2461" s="5"/>
      <c r="AD2461" s="5"/>
      <c r="AE2461" s="5"/>
      <c r="AF2461" s="5"/>
      <c r="AG2461" s="23"/>
      <c r="AH2461" s="5"/>
      <c r="AI2461" s="5"/>
      <c r="AJ2461" s="5"/>
      <c r="AK2461" s="5"/>
      <c r="AL2461" s="6"/>
      <c r="AM2461" s="5"/>
      <c r="AN2461" s="4"/>
      <c r="AO2461" s="4"/>
      <c r="AP2461" s="4"/>
      <c r="AQ2461" s="4"/>
      <c r="AR2461" s="4"/>
      <c r="AS2461" s="4"/>
      <c r="AT2461" s="4"/>
      <c r="AU2461" s="27"/>
      <c r="AV2461" s="39"/>
      <c r="AW2461" s="4"/>
    </row>
    <row r="2462" spans="1:49" ht="14.5" x14ac:dyDescent="0.35">
      <c r="A2462" s="1"/>
      <c r="B2462" s="4"/>
      <c r="C2462" s="29"/>
      <c r="D2462" s="29"/>
      <c r="E2462" s="29"/>
      <c r="F2462" s="2"/>
      <c r="G2462" s="2"/>
      <c r="H2462" s="6"/>
      <c r="I2462" s="6"/>
      <c r="J2462" s="18"/>
      <c r="K2462" s="23"/>
      <c r="L2462" s="5"/>
      <c r="M2462" s="5"/>
      <c r="N2462" s="5"/>
      <c r="O2462" s="5"/>
      <c r="P2462" s="5"/>
      <c r="Q2462" s="5"/>
      <c r="R2462" s="5"/>
      <c r="S2462" s="5"/>
      <c r="T2462" s="5"/>
      <c r="U2462" s="5"/>
      <c r="V2462" s="5"/>
      <c r="W2462" s="5"/>
      <c r="X2462" s="23"/>
      <c r="Y2462" s="18"/>
      <c r="Z2462" s="23"/>
      <c r="AA2462" s="23"/>
      <c r="AB2462" s="5"/>
      <c r="AC2462" s="5"/>
      <c r="AD2462" s="5"/>
      <c r="AE2462" s="5"/>
      <c r="AF2462" s="5"/>
      <c r="AG2462" s="23"/>
      <c r="AH2462" s="5"/>
      <c r="AI2462" s="5"/>
      <c r="AJ2462" s="5"/>
      <c r="AK2462" s="5"/>
      <c r="AL2462" s="6"/>
      <c r="AM2462" s="5"/>
      <c r="AN2462" s="4"/>
      <c r="AO2462" s="4"/>
      <c r="AP2462" s="4"/>
      <c r="AQ2462" s="4"/>
      <c r="AR2462" s="4"/>
      <c r="AS2462" s="4"/>
      <c r="AT2462" s="4"/>
      <c r="AU2462" s="27"/>
      <c r="AV2462" s="39"/>
      <c r="AW2462" s="4"/>
    </row>
    <row r="2463" spans="1:49" ht="14.5" x14ac:dyDescent="0.35">
      <c r="A2463" s="1"/>
      <c r="B2463" s="4"/>
      <c r="C2463" s="29"/>
      <c r="D2463" s="29"/>
      <c r="E2463" s="29"/>
      <c r="F2463" s="2"/>
      <c r="G2463" s="2"/>
      <c r="H2463" s="6"/>
      <c r="I2463" s="6"/>
      <c r="J2463" s="18"/>
      <c r="K2463" s="23"/>
      <c r="L2463" s="5"/>
      <c r="M2463" s="5"/>
      <c r="N2463" s="5"/>
      <c r="O2463" s="5"/>
      <c r="P2463" s="5"/>
      <c r="Q2463" s="5"/>
      <c r="R2463" s="5"/>
      <c r="S2463" s="5"/>
      <c r="T2463" s="5"/>
      <c r="U2463" s="5"/>
      <c r="V2463" s="5"/>
      <c r="W2463" s="5"/>
      <c r="X2463" s="23"/>
      <c r="Y2463" s="18"/>
      <c r="Z2463" s="23"/>
      <c r="AA2463" s="23"/>
      <c r="AB2463" s="5"/>
      <c r="AC2463" s="5"/>
      <c r="AD2463" s="5"/>
      <c r="AE2463" s="5"/>
      <c r="AF2463" s="5"/>
      <c r="AG2463" s="23"/>
      <c r="AH2463" s="5"/>
      <c r="AI2463" s="5"/>
      <c r="AJ2463" s="5"/>
      <c r="AK2463" s="5"/>
      <c r="AL2463" s="6"/>
      <c r="AM2463" s="5"/>
      <c r="AN2463" s="4"/>
      <c r="AO2463" s="4"/>
      <c r="AP2463" s="4"/>
      <c r="AQ2463" s="4"/>
      <c r="AR2463" s="4"/>
      <c r="AS2463" s="4"/>
      <c r="AT2463" s="4"/>
      <c r="AU2463" s="27"/>
      <c r="AV2463" s="39"/>
      <c r="AW2463" s="4"/>
    </row>
    <row r="2464" spans="1:49" ht="14.5" x14ac:dyDescent="0.35">
      <c r="A2464" s="1"/>
      <c r="B2464" s="4"/>
      <c r="C2464" s="29"/>
      <c r="D2464" s="29"/>
      <c r="E2464" s="29"/>
      <c r="F2464" s="2"/>
      <c r="G2464" s="2"/>
      <c r="H2464" s="6"/>
      <c r="I2464" s="6"/>
      <c r="J2464" s="18"/>
      <c r="K2464" s="23"/>
      <c r="L2464" s="5"/>
      <c r="M2464" s="5"/>
      <c r="N2464" s="5"/>
      <c r="O2464" s="5"/>
      <c r="P2464" s="5"/>
      <c r="Q2464" s="5"/>
      <c r="R2464" s="5"/>
      <c r="S2464" s="5"/>
      <c r="T2464" s="5"/>
      <c r="U2464" s="5"/>
      <c r="V2464" s="5"/>
      <c r="W2464" s="5"/>
      <c r="X2464" s="23"/>
      <c r="Y2464" s="18"/>
      <c r="Z2464" s="23"/>
      <c r="AA2464" s="23"/>
      <c r="AB2464" s="5"/>
      <c r="AC2464" s="5"/>
      <c r="AD2464" s="5"/>
      <c r="AE2464" s="5"/>
      <c r="AF2464" s="5"/>
      <c r="AG2464" s="23"/>
      <c r="AH2464" s="5"/>
      <c r="AI2464" s="5"/>
      <c r="AJ2464" s="5"/>
      <c r="AK2464" s="5"/>
      <c r="AL2464" s="6"/>
      <c r="AM2464" s="5"/>
      <c r="AN2464" s="4"/>
      <c r="AO2464" s="4"/>
      <c r="AP2464" s="4"/>
      <c r="AQ2464" s="4"/>
      <c r="AR2464" s="4"/>
      <c r="AS2464" s="4"/>
      <c r="AT2464" s="4"/>
      <c r="AU2464" s="27"/>
      <c r="AV2464" s="39"/>
      <c r="AW2464" s="4"/>
    </row>
    <row r="2465" spans="1:49" ht="14.5" x14ac:dyDescent="0.35">
      <c r="A2465" s="1"/>
      <c r="B2465" s="4"/>
      <c r="C2465" s="29"/>
      <c r="D2465" s="29"/>
      <c r="E2465" s="29"/>
      <c r="F2465" s="2"/>
      <c r="G2465" s="2"/>
      <c r="H2465" s="6"/>
      <c r="I2465" s="6"/>
      <c r="J2465" s="18"/>
      <c r="K2465" s="23"/>
      <c r="L2465" s="5"/>
      <c r="M2465" s="5"/>
      <c r="N2465" s="5"/>
      <c r="O2465" s="5"/>
      <c r="P2465" s="5"/>
      <c r="Q2465" s="5"/>
      <c r="R2465" s="5"/>
      <c r="S2465" s="5"/>
      <c r="T2465" s="5"/>
      <c r="U2465" s="5"/>
      <c r="V2465" s="5"/>
      <c r="W2465" s="5"/>
      <c r="X2465" s="23"/>
      <c r="Y2465" s="18"/>
      <c r="Z2465" s="23"/>
      <c r="AA2465" s="23"/>
      <c r="AB2465" s="5"/>
      <c r="AC2465" s="5"/>
      <c r="AD2465" s="5"/>
      <c r="AE2465" s="5"/>
      <c r="AF2465" s="5"/>
      <c r="AG2465" s="23"/>
      <c r="AH2465" s="5"/>
      <c r="AI2465" s="5"/>
      <c r="AJ2465" s="5"/>
      <c r="AK2465" s="5"/>
      <c r="AL2465" s="6"/>
      <c r="AM2465" s="5"/>
      <c r="AN2465" s="4"/>
      <c r="AO2465" s="4"/>
      <c r="AP2465" s="4"/>
      <c r="AQ2465" s="4"/>
      <c r="AR2465" s="4"/>
      <c r="AS2465" s="4"/>
      <c r="AT2465" s="4"/>
      <c r="AU2465" s="27"/>
      <c r="AV2465" s="39"/>
      <c r="AW2465" s="4"/>
    </row>
    <row r="2466" spans="1:49" ht="14.5" x14ac:dyDescent="0.35">
      <c r="A2466" s="1"/>
      <c r="B2466" s="4"/>
      <c r="C2466" s="29"/>
      <c r="D2466" s="29"/>
      <c r="E2466" s="29"/>
      <c r="F2466" s="2"/>
      <c r="G2466" s="2"/>
      <c r="H2466" s="6"/>
      <c r="I2466" s="6"/>
      <c r="J2466" s="18"/>
      <c r="K2466" s="23"/>
      <c r="L2466" s="5"/>
      <c r="M2466" s="5"/>
      <c r="N2466" s="5"/>
      <c r="O2466" s="5"/>
      <c r="P2466" s="5"/>
      <c r="Q2466" s="5"/>
      <c r="R2466" s="5"/>
      <c r="S2466" s="5"/>
      <c r="T2466" s="5"/>
      <c r="U2466" s="5"/>
      <c r="V2466" s="5"/>
      <c r="W2466" s="5"/>
      <c r="X2466" s="23"/>
      <c r="Y2466" s="18"/>
      <c r="Z2466" s="23"/>
      <c r="AA2466" s="23"/>
      <c r="AB2466" s="5"/>
      <c r="AC2466" s="5"/>
      <c r="AD2466" s="5"/>
      <c r="AE2466" s="5"/>
      <c r="AF2466" s="5"/>
      <c r="AG2466" s="23"/>
      <c r="AH2466" s="5"/>
      <c r="AI2466" s="5"/>
      <c r="AJ2466" s="5"/>
      <c r="AK2466" s="5"/>
      <c r="AL2466" s="6"/>
      <c r="AM2466" s="5"/>
      <c r="AN2466" s="4"/>
      <c r="AO2466" s="4"/>
      <c r="AP2466" s="4"/>
      <c r="AQ2466" s="4"/>
      <c r="AR2466" s="4"/>
      <c r="AS2466" s="4"/>
      <c r="AT2466" s="4"/>
      <c r="AU2466" s="27"/>
      <c r="AV2466" s="39"/>
      <c r="AW2466" s="4"/>
    </row>
    <row r="2467" spans="1:49" ht="14.5" x14ac:dyDescent="0.35">
      <c r="A2467" s="1"/>
      <c r="B2467" s="4"/>
      <c r="C2467" s="29"/>
      <c r="D2467" s="29"/>
      <c r="E2467" s="29"/>
      <c r="F2467" s="2"/>
      <c r="G2467" s="2"/>
      <c r="H2467" s="6"/>
      <c r="I2467" s="6"/>
      <c r="J2467" s="18"/>
      <c r="K2467" s="23"/>
      <c r="L2467" s="5"/>
      <c r="M2467" s="5"/>
      <c r="N2467" s="5"/>
      <c r="O2467" s="5"/>
      <c r="P2467" s="5"/>
      <c r="Q2467" s="5"/>
      <c r="R2467" s="5"/>
      <c r="S2467" s="5"/>
      <c r="T2467" s="5"/>
      <c r="U2467" s="5"/>
      <c r="V2467" s="5"/>
      <c r="W2467" s="5"/>
      <c r="X2467" s="23"/>
      <c r="Y2467" s="18"/>
      <c r="Z2467" s="23"/>
      <c r="AA2467" s="23"/>
      <c r="AB2467" s="5"/>
      <c r="AC2467" s="5"/>
      <c r="AD2467" s="5"/>
      <c r="AE2467" s="5"/>
      <c r="AF2467" s="5"/>
      <c r="AG2467" s="23"/>
      <c r="AH2467" s="5"/>
      <c r="AI2467" s="5"/>
      <c r="AJ2467" s="5"/>
      <c r="AK2467" s="5"/>
      <c r="AL2467" s="6"/>
      <c r="AM2467" s="5"/>
      <c r="AN2467" s="4"/>
      <c r="AO2467" s="4"/>
      <c r="AP2467" s="4"/>
      <c r="AQ2467" s="4"/>
      <c r="AR2467" s="4"/>
      <c r="AS2467" s="4"/>
      <c r="AT2467" s="4"/>
      <c r="AU2467" s="27"/>
      <c r="AV2467" s="39"/>
      <c r="AW2467" s="4"/>
    </row>
    <row r="2468" spans="1:49" ht="14.5" x14ac:dyDescent="0.35">
      <c r="A2468" s="1"/>
      <c r="B2468" s="4"/>
      <c r="C2468" s="29"/>
      <c r="D2468" s="29"/>
      <c r="E2468" s="29"/>
      <c r="F2468" s="2"/>
      <c r="G2468" s="2"/>
      <c r="H2468" s="6"/>
      <c r="I2468" s="6"/>
      <c r="J2468" s="18"/>
      <c r="K2468" s="23"/>
      <c r="L2468" s="5"/>
      <c r="M2468" s="5"/>
      <c r="N2468" s="5"/>
      <c r="O2468" s="5"/>
      <c r="P2468" s="5"/>
      <c r="Q2468" s="5"/>
      <c r="R2468" s="5"/>
      <c r="S2468" s="5"/>
      <c r="T2468" s="5"/>
      <c r="U2468" s="5"/>
      <c r="V2468" s="5"/>
      <c r="W2468" s="5"/>
      <c r="X2468" s="23"/>
      <c r="Y2468" s="18"/>
      <c r="Z2468" s="23"/>
      <c r="AA2468" s="23"/>
      <c r="AB2468" s="5"/>
      <c r="AC2468" s="5"/>
      <c r="AD2468" s="5"/>
      <c r="AE2468" s="5"/>
      <c r="AF2468" s="5"/>
      <c r="AG2468" s="23"/>
      <c r="AH2468" s="5"/>
      <c r="AI2468" s="5"/>
      <c r="AJ2468" s="5"/>
      <c r="AK2468" s="5"/>
      <c r="AL2468" s="6"/>
      <c r="AM2468" s="5"/>
      <c r="AN2468" s="4"/>
      <c r="AO2468" s="4"/>
      <c r="AP2468" s="4"/>
      <c r="AQ2468" s="4"/>
      <c r="AR2468" s="4"/>
      <c r="AS2468" s="4"/>
      <c r="AT2468" s="4"/>
      <c r="AU2468" s="27"/>
      <c r="AV2468" s="39"/>
      <c r="AW2468" s="4"/>
    </row>
    <row r="2469" spans="1:49" ht="14.5" x14ac:dyDescent="0.35">
      <c r="A2469" s="1"/>
      <c r="B2469" s="4"/>
      <c r="C2469" s="29"/>
      <c r="D2469" s="29"/>
      <c r="E2469" s="29"/>
      <c r="F2469" s="2"/>
      <c r="G2469" s="2"/>
      <c r="H2469" s="6"/>
      <c r="I2469" s="6"/>
      <c r="J2469" s="18"/>
      <c r="K2469" s="23"/>
      <c r="L2469" s="5"/>
      <c r="M2469" s="5"/>
      <c r="N2469" s="5"/>
      <c r="O2469" s="5"/>
      <c r="P2469" s="5"/>
      <c r="Q2469" s="5"/>
      <c r="R2469" s="5"/>
      <c r="S2469" s="5"/>
      <c r="T2469" s="5"/>
      <c r="U2469" s="5"/>
      <c r="V2469" s="5"/>
      <c r="W2469" s="5"/>
      <c r="X2469" s="23"/>
      <c r="Y2469" s="18"/>
      <c r="Z2469" s="23"/>
      <c r="AA2469" s="23"/>
      <c r="AB2469" s="5"/>
      <c r="AC2469" s="5"/>
      <c r="AD2469" s="5"/>
      <c r="AE2469" s="5"/>
      <c r="AF2469" s="5"/>
      <c r="AG2469" s="23"/>
      <c r="AH2469" s="5"/>
      <c r="AI2469" s="5"/>
      <c r="AJ2469" s="5"/>
      <c r="AK2469" s="5"/>
      <c r="AL2469" s="6"/>
      <c r="AM2469" s="5"/>
      <c r="AN2469" s="4"/>
      <c r="AO2469" s="4"/>
      <c r="AP2469" s="4"/>
      <c r="AQ2469" s="4"/>
      <c r="AR2469" s="4"/>
      <c r="AS2469" s="4"/>
      <c r="AT2469" s="4"/>
      <c r="AU2469" s="27"/>
      <c r="AV2469" s="39"/>
      <c r="AW2469" s="4"/>
    </row>
    <row r="2470" spans="1:49" ht="14.5" x14ac:dyDescent="0.35">
      <c r="A2470" s="1"/>
      <c r="B2470" s="4"/>
      <c r="C2470" s="29"/>
      <c r="D2470" s="29"/>
      <c r="E2470" s="29"/>
      <c r="F2470" s="2"/>
      <c r="G2470" s="2"/>
      <c r="H2470" s="6"/>
      <c r="I2470" s="6"/>
      <c r="J2470" s="18"/>
      <c r="K2470" s="23"/>
      <c r="L2470" s="5"/>
      <c r="M2470" s="5"/>
      <c r="N2470" s="5"/>
      <c r="O2470" s="5"/>
      <c r="P2470" s="5"/>
      <c r="Q2470" s="5"/>
      <c r="R2470" s="5"/>
      <c r="S2470" s="5"/>
      <c r="T2470" s="5"/>
      <c r="U2470" s="5"/>
      <c r="V2470" s="5"/>
      <c r="W2470" s="5"/>
      <c r="X2470" s="23"/>
      <c r="Y2470" s="18"/>
      <c r="Z2470" s="23"/>
      <c r="AA2470" s="23"/>
      <c r="AB2470" s="5"/>
      <c r="AC2470" s="5"/>
      <c r="AD2470" s="5"/>
      <c r="AE2470" s="5"/>
      <c r="AF2470" s="5"/>
      <c r="AG2470" s="23"/>
      <c r="AH2470" s="5"/>
      <c r="AI2470" s="5"/>
      <c r="AJ2470" s="5"/>
      <c r="AK2470" s="5"/>
      <c r="AL2470" s="6"/>
      <c r="AM2470" s="5"/>
      <c r="AN2470" s="4"/>
      <c r="AO2470" s="4"/>
      <c r="AP2470" s="4"/>
      <c r="AQ2470" s="4"/>
      <c r="AR2470" s="4"/>
      <c r="AS2470" s="4"/>
      <c r="AT2470" s="4"/>
      <c r="AU2470" s="27"/>
      <c r="AV2470" s="39"/>
      <c r="AW2470" s="4"/>
    </row>
    <row r="2471" spans="1:49" ht="14.5" x14ac:dyDescent="0.35">
      <c r="A2471" s="1"/>
      <c r="B2471" s="4"/>
      <c r="C2471" s="29"/>
      <c r="D2471" s="29"/>
      <c r="E2471" s="29"/>
      <c r="F2471" s="2"/>
      <c r="G2471" s="2"/>
      <c r="H2471" s="6"/>
      <c r="I2471" s="6"/>
      <c r="J2471" s="18"/>
      <c r="K2471" s="23"/>
      <c r="L2471" s="5"/>
      <c r="M2471" s="5"/>
      <c r="N2471" s="5"/>
      <c r="O2471" s="5"/>
      <c r="P2471" s="5"/>
      <c r="Q2471" s="5"/>
      <c r="R2471" s="5"/>
      <c r="S2471" s="5"/>
      <c r="T2471" s="5"/>
      <c r="U2471" s="5"/>
      <c r="V2471" s="5"/>
      <c r="W2471" s="5"/>
      <c r="X2471" s="23"/>
      <c r="Y2471" s="18"/>
      <c r="Z2471" s="23"/>
      <c r="AA2471" s="23"/>
      <c r="AB2471" s="5"/>
      <c r="AC2471" s="5"/>
      <c r="AD2471" s="5"/>
      <c r="AE2471" s="5"/>
      <c r="AF2471" s="5"/>
      <c r="AG2471" s="23"/>
      <c r="AH2471" s="5"/>
      <c r="AI2471" s="5"/>
      <c r="AJ2471" s="5"/>
      <c r="AK2471" s="5"/>
      <c r="AL2471" s="6"/>
      <c r="AM2471" s="5"/>
      <c r="AN2471" s="4"/>
      <c r="AO2471" s="4"/>
      <c r="AP2471" s="4"/>
      <c r="AQ2471" s="4"/>
      <c r="AR2471" s="4"/>
      <c r="AS2471" s="4"/>
      <c r="AT2471" s="4"/>
      <c r="AU2471" s="27"/>
      <c r="AV2471" s="39"/>
      <c r="AW2471" s="4"/>
    </row>
    <row r="2472" spans="1:49" ht="14.5" x14ac:dyDescent="0.35">
      <c r="A2472" s="1"/>
      <c r="B2472" s="4"/>
      <c r="C2472" s="29"/>
      <c r="D2472" s="29"/>
      <c r="E2472" s="29"/>
      <c r="F2472" s="2"/>
      <c r="G2472" s="2"/>
      <c r="H2472" s="6"/>
      <c r="I2472" s="6"/>
      <c r="J2472" s="18"/>
      <c r="K2472" s="23"/>
      <c r="L2472" s="5"/>
      <c r="M2472" s="5"/>
      <c r="N2472" s="5"/>
      <c r="O2472" s="5"/>
      <c r="P2472" s="5"/>
      <c r="Q2472" s="5"/>
      <c r="R2472" s="5"/>
      <c r="S2472" s="5"/>
      <c r="T2472" s="5"/>
      <c r="U2472" s="5"/>
      <c r="V2472" s="5"/>
      <c r="W2472" s="5"/>
      <c r="X2472" s="23"/>
      <c r="Y2472" s="18"/>
      <c r="Z2472" s="23"/>
      <c r="AA2472" s="23"/>
      <c r="AB2472" s="5"/>
      <c r="AC2472" s="5"/>
      <c r="AD2472" s="5"/>
      <c r="AE2472" s="5"/>
      <c r="AF2472" s="5"/>
      <c r="AG2472" s="23"/>
      <c r="AH2472" s="5"/>
      <c r="AI2472" s="5"/>
      <c r="AJ2472" s="5"/>
      <c r="AK2472" s="5"/>
      <c r="AL2472" s="6"/>
      <c r="AM2472" s="5"/>
      <c r="AN2472" s="4"/>
      <c r="AO2472" s="4"/>
      <c r="AP2472" s="4"/>
      <c r="AQ2472" s="4"/>
      <c r="AR2472" s="4"/>
      <c r="AS2472" s="4"/>
      <c r="AT2472" s="4"/>
      <c r="AU2472" s="27"/>
      <c r="AV2472" s="39"/>
      <c r="AW2472" s="4"/>
    </row>
    <row r="2473" spans="1:49" ht="14.5" x14ac:dyDescent="0.35">
      <c r="A2473" s="1"/>
      <c r="B2473" s="4"/>
      <c r="C2473" s="29"/>
      <c r="D2473" s="29"/>
      <c r="E2473" s="29"/>
      <c r="F2473" s="2"/>
      <c r="G2473" s="2"/>
      <c r="H2473" s="6"/>
      <c r="I2473" s="6"/>
      <c r="J2473" s="18"/>
      <c r="K2473" s="23"/>
      <c r="L2473" s="5"/>
      <c r="M2473" s="5"/>
      <c r="N2473" s="5"/>
      <c r="O2473" s="5"/>
      <c r="P2473" s="5"/>
      <c r="Q2473" s="5"/>
      <c r="R2473" s="5"/>
      <c r="S2473" s="5"/>
      <c r="T2473" s="5"/>
      <c r="U2473" s="5"/>
      <c r="V2473" s="5"/>
      <c r="W2473" s="5"/>
      <c r="X2473" s="23"/>
      <c r="Y2473" s="18"/>
      <c r="Z2473" s="23"/>
      <c r="AA2473" s="23"/>
      <c r="AB2473" s="5"/>
      <c r="AC2473" s="5"/>
      <c r="AD2473" s="5"/>
      <c r="AE2473" s="5"/>
      <c r="AF2473" s="5"/>
      <c r="AG2473" s="23"/>
      <c r="AH2473" s="5"/>
      <c r="AI2473" s="5"/>
      <c r="AJ2473" s="5"/>
      <c r="AK2473" s="5"/>
      <c r="AL2473" s="6"/>
      <c r="AM2473" s="5"/>
      <c r="AN2473" s="4"/>
      <c r="AO2473" s="4"/>
      <c r="AP2473" s="4"/>
      <c r="AQ2473" s="4"/>
      <c r="AR2473" s="4"/>
      <c r="AS2473" s="4"/>
      <c r="AT2473" s="4"/>
      <c r="AU2473" s="27"/>
      <c r="AV2473" s="39"/>
      <c r="AW2473" s="4"/>
    </row>
    <row r="2474" spans="1:49" ht="14.5" x14ac:dyDescent="0.35">
      <c r="A2474" s="1"/>
      <c r="B2474" s="4"/>
      <c r="C2474" s="29"/>
      <c r="D2474" s="29"/>
      <c r="E2474" s="29"/>
      <c r="F2474" s="2"/>
      <c r="G2474" s="2"/>
      <c r="H2474" s="6"/>
      <c r="I2474" s="6"/>
      <c r="J2474" s="18"/>
      <c r="K2474" s="23"/>
      <c r="L2474" s="5"/>
      <c r="M2474" s="5"/>
      <c r="N2474" s="5"/>
      <c r="O2474" s="5"/>
      <c r="P2474" s="5"/>
      <c r="Q2474" s="5"/>
      <c r="R2474" s="5"/>
      <c r="S2474" s="5"/>
      <c r="T2474" s="5"/>
      <c r="U2474" s="5"/>
      <c r="V2474" s="5"/>
      <c r="W2474" s="5"/>
      <c r="X2474" s="23"/>
      <c r="Y2474" s="18"/>
      <c r="Z2474" s="23"/>
      <c r="AA2474" s="23"/>
      <c r="AB2474" s="5"/>
      <c r="AC2474" s="5"/>
      <c r="AD2474" s="5"/>
      <c r="AE2474" s="5"/>
      <c r="AF2474" s="5"/>
      <c r="AG2474" s="23"/>
      <c r="AH2474" s="5"/>
      <c r="AI2474" s="5"/>
      <c r="AJ2474" s="5"/>
      <c r="AK2474" s="5"/>
      <c r="AL2474" s="6"/>
      <c r="AM2474" s="5"/>
      <c r="AN2474" s="4"/>
      <c r="AO2474" s="4"/>
      <c r="AP2474" s="4"/>
      <c r="AQ2474" s="4"/>
      <c r="AR2474" s="4"/>
      <c r="AS2474" s="4"/>
      <c r="AT2474" s="4"/>
      <c r="AU2474" s="27"/>
      <c r="AV2474" s="39"/>
      <c r="AW2474" s="4"/>
    </row>
    <row r="2475" spans="1:49" ht="14.5" x14ac:dyDescent="0.35">
      <c r="A2475" s="1"/>
      <c r="B2475" s="4"/>
      <c r="C2475" s="29"/>
      <c r="D2475" s="29"/>
      <c r="E2475" s="29"/>
      <c r="F2475" s="2"/>
      <c r="G2475" s="2"/>
      <c r="H2475" s="6"/>
      <c r="I2475" s="6"/>
      <c r="J2475" s="18"/>
      <c r="K2475" s="23"/>
      <c r="L2475" s="5"/>
      <c r="M2475" s="5"/>
      <c r="N2475" s="5"/>
      <c r="O2475" s="5"/>
      <c r="P2475" s="5"/>
      <c r="Q2475" s="5"/>
      <c r="R2475" s="5"/>
      <c r="S2475" s="5"/>
      <c r="T2475" s="5"/>
      <c r="U2475" s="5"/>
      <c r="V2475" s="5"/>
      <c r="W2475" s="5"/>
      <c r="X2475" s="23"/>
      <c r="Y2475" s="18"/>
      <c r="Z2475" s="23"/>
      <c r="AA2475" s="23"/>
      <c r="AB2475" s="5"/>
      <c r="AC2475" s="5"/>
      <c r="AD2475" s="5"/>
      <c r="AE2475" s="5"/>
      <c r="AF2475" s="5"/>
      <c r="AG2475" s="23"/>
      <c r="AH2475" s="5"/>
      <c r="AI2475" s="5"/>
      <c r="AJ2475" s="5"/>
      <c r="AK2475" s="5"/>
      <c r="AL2475" s="6"/>
      <c r="AM2475" s="5"/>
      <c r="AN2475" s="4"/>
      <c r="AO2475" s="4"/>
      <c r="AP2475" s="4"/>
      <c r="AQ2475" s="4"/>
      <c r="AR2475" s="4"/>
      <c r="AS2475" s="4"/>
      <c r="AT2475" s="4"/>
      <c r="AU2475" s="27"/>
      <c r="AV2475" s="39"/>
      <c r="AW2475" s="4"/>
    </row>
    <row r="2476" spans="1:49" ht="14.5" x14ac:dyDescent="0.35">
      <c r="A2476" s="1"/>
      <c r="B2476" s="4"/>
      <c r="C2476" s="29"/>
      <c r="D2476" s="29"/>
      <c r="E2476" s="29"/>
      <c r="F2476" s="2"/>
      <c r="G2476" s="2"/>
      <c r="H2476" s="6"/>
      <c r="I2476" s="6"/>
      <c r="J2476" s="18"/>
      <c r="K2476" s="23"/>
      <c r="L2476" s="5"/>
      <c r="M2476" s="5"/>
      <c r="N2476" s="5"/>
      <c r="O2476" s="5"/>
      <c r="P2476" s="5"/>
      <c r="Q2476" s="5"/>
      <c r="R2476" s="5"/>
      <c r="S2476" s="5"/>
      <c r="T2476" s="5"/>
      <c r="U2476" s="5"/>
      <c r="V2476" s="5"/>
      <c r="W2476" s="5"/>
      <c r="X2476" s="23"/>
      <c r="Y2476" s="18"/>
      <c r="Z2476" s="23"/>
      <c r="AA2476" s="23"/>
      <c r="AB2476" s="5"/>
      <c r="AC2476" s="5"/>
      <c r="AD2476" s="5"/>
      <c r="AE2476" s="5"/>
      <c r="AF2476" s="5"/>
      <c r="AG2476" s="23"/>
      <c r="AH2476" s="5"/>
      <c r="AI2476" s="5"/>
      <c r="AJ2476" s="5"/>
      <c r="AK2476" s="5"/>
      <c r="AL2476" s="6"/>
      <c r="AM2476" s="5"/>
      <c r="AN2476" s="4"/>
      <c r="AO2476" s="4"/>
      <c r="AP2476" s="4"/>
      <c r="AQ2476" s="4"/>
      <c r="AR2476" s="4"/>
      <c r="AS2476" s="4"/>
      <c r="AT2476" s="4"/>
      <c r="AU2476" s="27"/>
      <c r="AV2476" s="39"/>
      <c r="AW2476" s="4"/>
    </row>
    <row r="2477" spans="1:49" ht="14.5" x14ac:dyDescent="0.35">
      <c r="A2477" s="1"/>
      <c r="B2477" s="4"/>
      <c r="C2477" s="29"/>
      <c r="D2477" s="29"/>
      <c r="E2477" s="29"/>
      <c r="F2477" s="2"/>
      <c r="G2477" s="2"/>
      <c r="H2477" s="6"/>
      <c r="I2477" s="6"/>
      <c r="J2477" s="18"/>
      <c r="K2477" s="23"/>
      <c r="L2477" s="5"/>
      <c r="M2477" s="5"/>
      <c r="N2477" s="5"/>
      <c r="O2477" s="5"/>
      <c r="P2477" s="5"/>
      <c r="Q2477" s="5"/>
      <c r="R2477" s="5"/>
      <c r="S2477" s="5"/>
      <c r="T2477" s="5"/>
      <c r="U2477" s="5"/>
      <c r="V2477" s="5"/>
      <c r="W2477" s="5"/>
      <c r="X2477" s="23"/>
      <c r="Y2477" s="18"/>
      <c r="Z2477" s="23"/>
      <c r="AA2477" s="23"/>
      <c r="AB2477" s="5"/>
      <c r="AC2477" s="5"/>
      <c r="AD2477" s="5"/>
      <c r="AE2477" s="5"/>
      <c r="AF2477" s="5"/>
      <c r="AG2477" s="23"/>
      <c r="AH2477" s="5"/>
      <c r="AI2477" s="5"/>
      <c r="AJ2477" s="5"/>
      <c r="AK2477" s="5"/>
      <c r="AL2477" s="6"/>
      <c r="AM2477" s="5"/>
      <c r="AN2477" s="4"/>
      <c r="AO2477" s="4"/>
      <c r="AP2477" s="4"/>
      <c r="AQ2477" s="4"/>
      <c r="AR2477" s="4"/>
      <c r="AS2477" s="4"/>
      <c r="AT2477" s="4"/>
      <c r="AU2477" s="27"/>
      <c r="AV2477" s="39"/>
      <c r="AW2477" s="4"/>
    </row>
    <row r="2478" spans="1:49" ht="14.5" x14ac:dyDescent="0.35">
      <c r="A2478" s="1"/>
      <c r="B2478" s="4"/>
      <c r="C2478" s="29"/>
      <c r="D2478" s="29"/>
      <c r="E2478" s="29"/>
      <c r="F2478" s="2"/>
      <c r="G2478" s="2"/>
      <c r="H2478" s="6"/>
      <c r="I2478" s="6"/>
      <c r="J2478" s="18"/>
      <c r="K2478" s="23"/>
      <c r="L2478" s="5"/>
      <c r="M2478" s="5"/>
      <c r="N2478" s="5"/>
      <c r="O2478" s="5"/>
      <c r="P2478" s="5"/>
      <c r="Q2478" s="5"/>
      <c r="R2478" s="5"/>
      <c r="S2478" s="5"/>
      <c r="T2478" s="5"/>
      <c r="U2478" s="5"/>
      <c r="V2478" s="5"/>
      <c r="W2478" s="5"/>
      <c r="X2478" s="23"/>
      <c r="Y2478" s="18"/>
      <c r="Z2478" s="23"/>
      <c r="AA2478" s="23"/>
      <c r="AB2478" s="5"/>
      <c r="AC2478" s="5"/>
      <c r="AD2478" s="5"/>
      <c r="AE2478" s="5"/>
      <c r="AF2478" s="5"/>
      <c r="AG2478" s="23"/>
      <c r="AH2478" s="5"/>
      <c r="AI2478" s="5"/>
      <c r="AJ2478" s="5"/>
      <c r="AK2478" s="5"/>
      <c r="AL2478" s="6"/>
      <c r="AM2478" s="5"/>
      <c r="AN2478" s="4"/>
      <c r="AO2478" s="4"/>
      <c r="AP2478" s="4"/>
      <c r="AQ2478" s="4"/>
      <c r="AR2478" s="4"/>
      <c r="AS2478" s="4"/>
      <c r="AT2478" s="4"/>
      <c r="AU2478" s="27"/>
      <c r="AV2478" s="39"/>
      <c r="AW2478" s="4"/>
    </row>
    <row r="2479" spans="1:49" ht="14.5" x14ac:dyDescent="0.35">
      <c r="A2479" s="1"/>
      <c r="B2479" s="4"/>
      <c r="C2479" s="29"/>
      <c r="D2479" s="29"/>
      <c r="E2479" s="29"/>
      <c r="F2479" s="2"/>
      <c r="G2479" s="2"/>
      <c r="H2479" s="6"/>
      <c r="I2479" s="6"/>
      <c r="J2479" s="18"/>
      <c r="K2479" s="23"/>
      <c r="L2479" s="5"/>
      <c r="M2479" s="5"/>
      <c r="N2479" s="5"/>
      <c r="O2479" s="5"/>
      <c r="P2479" s="5"/>
      <c r="Q2479" s="5"/>
      <c r="R2479" s="5"/>
      <c r="S2479" s="5"/>
      <c r="T2479" s="5"/>
      <c r="U2479" s="5"/>
      <c r="V2479" s="5"/>
      <c r="W2479" s="5"/>
      <c r="X2479" s="23"/>
      <c r="Y2479" s="18"/>
      <c r="Z2479" s="23"/>
      <c r="AA2479" s="23"/>
      <c r="AB2479" s="5"/>
      <c r="AC2479" s="5"/>
      <c r="AD2479" s="5"/>
      <c r="AE2479" s="5"/>
      <c r="AF2479" s="5"/>
      <c r="AG2479" s="23"/>
      <c r="AH2479" s="5"/>
      <c r="AI2479" s="5"/>
      <c r="AJ2479" s="5"/>
      <c r="AK2479" s="5"/>
      <c r="AL2479" s="6"/>
      <c r="AM2479" s="5"/>
      <c r="AN2479" s="4"/>
      <c r="AO2479" s="4"/>
      <c r="AP2479" s="4"/>
      <c r="AQ2479" s="4"/>
      <c r="AR2479" s="4"/>
      <c r="AS2479" s="4"/>
      <c r="AT2479" s="4"/>
      <c r="AU2479" s="27"/>
      <c r="AV2479" s="39"/>
      <c r="AW2479" s="4"/>
    </row>
    <row r="2480" spans="1:49" ht="14.5" x14ac:dyDescent="0.35">
      <c r="A2480" s="1"/>
      <c r="B2480" s="4"/>
      <c r="C2480" s="29"/>
      <c r="D2480" s="29"/>
      <c r="E2480" s="29"/>
      <c r="F2480" s="2"/>
      <c r="G2480" s="2"/>
      <c r="H2480" s="6"/>
      <c r="I2480" s="6"/>
      <c r="J2480" s="18"/>
      <c r="K2480" s="23"/>
      <c r="L2480" s="5"/>
      <c r="M2480" s="5"/>
      <c r="N2480" s="5"/>
      <c r="O2480" s="5"/>
      <c r="P2480" s="5"/>
      <c r="Q2480" s="5"/>
      <c r="R2480" s="5"/>
      <c r="S2480" s="5"/>
      <c r="T2480" s="5"/>
      <c r="U2480" s="5"/>
      <c r="V2480" s="5"/>
      <c r="W2480" s="5"/>
      <c r="X2480" s="23"/>
      <c r="Y2480" s="18"/>
      <c r="Z2480" s="23"/>
      <c r="AA2480" s="23"/>
      <c r="AB2480" s="5"/>
      <c r="AC2480" s="5"/>
      <c r="AD2480" s="5"/>
      <c r="AE2480" s="5"/>
      <c r="AF2480" s="5"/>
      <c r="AG2480" s="23"/>
      <c r="AH2480" s="5"/>
      <c r="AI2480" s="5"/>
      <c r="AJ2480" s="5"/>
      <c r="AK2480" s="5"/>
      <c r="AL2480" s="6"/>
      <c r="AM2480" s="5"/>
      <c r="AN2480" s="4"/>
      <c r="AO2480" s="4"/>
      <c r="AP2480" s="4"/>
      <c r="AQ2480" s="4"/>
      <c r="AR2480" s="4"/>
      <c r="AS2480" s="4"/>
      <c r="AT2480" s="4"/>
      <c r="AU2480" s="27"/>
      <c r="AV2480" s="39"/>
      <c r="AW2480" s="4"/>
    </row>
    <row r="2481" spans="1:49" ht="14.5" x14ac:dyDescent="0.35">
      <c r="A2481" s="1"/>
      <c r="B2481" s="4"/>
      <c r="C2481" s="29"/>
      <c r="D2481" s="29"/>
      <c r="E2481" s="29"/>
      <c r="F2481" s="2"/>
      <c r="G2481" s="2"/>
      <c r="H2481" s="6"/>
      <c r="I2481" s="6"/>
      <c r="J2481" s="18"/>
      <c r="K2481" s="23"/>
      <c r="L2481" s="5"/>
      <c r="M2481" s="5"/>
      <c r="N2481" s="5"/>
      <c r="O2481" s="5"/>
      <c r="P2481" s="5"/>
      <c r="Q2481" s="5"/>
      <c r="R2481" s="5"/>
      <c r="S2481" s="5"/>
      <c r="T2481" s="5"/>
      <c r="U2481" s="5"/>
      <c r="V2481" s="5"/>
      <c r="W2481" s="5"/>
      <c r="X2481" s="23"/>
      <c r="Y2481" s="18"/>
      <c r="Z2481" s="23"/>
      <c r="AA2481" s="23"/>
      <c r="AB2481" s="5"/>
      <c r="AC2481" s="5"/>
      <c r="AD2481" s="5"/>
      <c r="AE2481" s="5"/>
      <c r="AF2481" s="5"/>
      <c r="AG2481" s="23"/>
      <c r="AH2481" s="5"/>
      <c r="AI2481" s="5"/>
      <c r="AJ2481" s="5"/>
      <c r="AK2481" s="5"/>
      <c r="AL2481" s="6"/>
      <c r="AM2481" s="5"/>
      <c r="AN2481" s="4"/>
      <c r="AO2481" s="4"/>
      <c r="AP2481" s="4"/>
      <c r="AQ2481" s="4"/>
      <c r="AR2481" s="4"/>
      <c r="AS2481" s="4"/>
      <c r="AT2481" s="4"/>
      <c r="AU2481" s="27"/>
      <c r="AV2481" s="39"/>
      <c r="AW2481" s="4"/>
    </row>
    <row r="2482" spans="1:49" ht="14.5" x14ac:dyDescent="0.35">
      <c r="A2482" s="1"/>
      <c r="B2482" s="4"/>
      <c r="C2482" s="29"/>
      <c r="D2482" s="29"/>
      <c r="E2482" s="29"/>
      <c r="F2482" s="2"/>
      <c r="G2482" s="2"/>
      <c r="H2482" s="6"/>
      <c r="I2482" s="6"/>
      <c r="J2482" s="18"/>
      <c r="K2482" s="23"/>
      <c r="L2482" s="5"/>
      <c r="M2482" s="5"/>
      <c r="N2482" s="5"/>
      <c r="O2482" s="5"/>
      <c r="P2482" s="5"/>
      <c r="Q2482" s="5"/>
      <c r="R2482" s="5"/>
      <c r="S2482" s="5"/>
      <c r="T2482" s="5"/>
      <c r="U2482" s="5"/>
      <c r="V2482" s="5"/>
      <c r="W2482" s="5"/>
      <c r="X2482" s="23"/>
      <c r="Y2482" s="18"/>
      <c r="Z2482" s="23"/>
      <c r="AA2482" s="23"/>
      <c r="AB2482" s="5"/>
      <c r="AC2482" s="5"/>
      <c r="AD2482" s="5"/>
      <c r="AE2482" s="5"/>
      <c r="AF2482" s="5"/>
      <c r="AG2482" s="23"/>
      <c r="AH2482" s="5"/>
      <c r="AI2482" s="5"/>
      <c r="AJ2482" s="5"/>
      <c r="AK2482" s="5"/>
      <c r="AL2482" s="6"/>
      <c r="AM2482" s="5"/>
      <c r="AN2482" s="4"/>
      <c r="AO2482" s="4"/>
      <c r="AP2482" s="4"/>
      <c r="AQ2482" s="4"/>
      <c r="AR2482" s="4"/>
      <c r="AS2482" s="4"/>
      <c r="AT2482" s="4"/>
      <c r="AU2482" s="27"/>
      <c r="AV2482" s="39"/>
      <c r="AW2482" s="4"/>
    </row>
    <row r="2483" spans="1:49" ht="14.5" x14ac:dyDescent="0.35">
      <c r="A2483" s="1"/>
      <c r="B2483" s="4"/>
      <c r="C2483" s="29"/>
      <c r="D2483" s="29"/>
      <c r="E2483" s="29"/>
      <c r="F2483" s="2"/>
      <c r="G2483" s="2"/>
      <c r="H2483" s="6"/>
      <c r="I2483" s="6"/>
      <c r="J2483" s="18"/>
      <c r="K2483" s="23"/>
      <c r="L2483" s="5"/>
      <c r="M2483" s="5"/>
      <c r="N2483" s="5"/>
      <c r="O2483" s="5"/>
      <c r="P2483" s="5"/>
      <c r="Q2483" s="5"/>
      <c r="R2483" s="5"/>
      <c r="S2483" s="5"/>
      <c r="T2483" s="5"/>
      <c r="U2483" s="5"/>
      <c r="V2483" s="5"/>
      <c r="W2483" s="5"/>
      <c r="X2483" s="23"/>
      <c r="Y2483" s="18"/>
      <c r="Z2483" s="23"/>
      <c r="AA2483" s="23"/>
      <c r="AB2483" s="5"/>
      <c r="AC2483" s="5"/>
      <c r="AD2483" s="5"/>
      <c r="AE2483" s="5"/>
      <c r="AF2483" s="5"/>
      <c r="AG2483" s="23"/>
      <c r="AH2483" s="5"/>
      <c r="AI2483" s="5"/>
      <c r="AJ2483" s="5"/>
      <c r="AK2483" s="5"/>
      <c r="AL2483" s="6"/>
      <c r="AM2483" s="5"/>
      <c r="AN2483" s="4"/>
      <c r="AO2483" s="4"/>
      <c r="AP2483" s="4"/>
      <c r="AQ2483" s="4"/>
      <c r="AR2483" s="4"/>
      <c r="AS2483" s="4"/>
      <c r="AT2483" s="4"/>
      <c r="AU2483" s="27"/>
      <c r="AV2483" s="39"/>
      <c r="AW2483" s="4"/>
    </row>
    <row r="2484" spans="1:49" ht="14.5" x14ac:dyDescent="0.35">
      <c r="A2484" s="1"/>
      <c r="B2484" s="4"/>
      <c r="C2484" s="29"/>
      <c r="D2484" s="29"/>
      <c r="E2484" s="29"/>
      <c r="F2484" s="2"/>
      <c r="G2484" s="2"/>
      <c r="H2484" s="6"/>
      <c r="I2484" s="6"/>
      <c r="J2484" s="18"/>
      <c r="K2484" s="23"/>
      <c r="L2484" s="5"/>
      <c r="M2484" s="5"/>
      <c r="N2484" s="5"/>
      <c r="O2484" s="5"/>
      <c r="P2484" s="5"/>
      <c r="Q2484" s="5"/>
      <c r="R2484" s="5"/>
      <c r="S2484" s="5"/>
      <c r="T2484" s="5"/>
      <c r="U2484" s="5"/>
      <c r="V2484" s="5"/>
      <c r="W2484" s="5"/>
      <c r="X2484" s="23"/>
      <c r="Y2484" s="18"/>
      <c r="Z2484" s="23"/>
      <c r="AA2484" s="23"/>
      <c r="AB2484" s="5"/>
      <c r="AC2484" s="5"/>
      <c r="AD2484" s="5"/>
      <c r="AE2484" s="5"/>
      <c r="AF2484" s="5"/>
      <c r="AG2484" s="23"/>
      <c r="AH2484" s="5"/>
      <c r="AI2484" s="5"/>
      <c r="AJ2484" s="5"/>
      <c r="AK2484" s="5"/>
      <c r="AL2484" s="6"/>
      <c r="AM2484" s="5"/>
      <c r="AN2484" s="4"/>
      <c r="AO2484" s="4"/>
      <c r="AP2484" s="4"/>
      <c r="AQ2484" s="4"/>
      <c r="AR2484" s="4"/>
      <c r="AS2484" s="4"/>
      <c r="AT2484" s="4"/>
      <c r="AU2484" s="27"/>
      <c r="AV2484" s="39"/>
      <c r="AW2484" s="4"/>
    </row>
    <row r="2485" spans="1:49" ht="14.5" x14ac:dyDescent="0.35">
      <c r="A2485" s="1"/>
      <c r="B2485" s="4"/>
      <c r="C2485" s="29"/>
      <c r="D2485" s="29"/>
      <c r="E2485" s="29"/>
      <c r="F2485" s="2"/>
      <c r="G2485" s="2"/>
      <c r="H2485" s="6"/>
      <c r="I2485" s="6"/>
      <c r="J2485" s="18"/>
      <c r="K2485" s="23"/>
      <c r="L2485" s="5"/>
      <c r="M2485" s="5"/>
      <c r="N2485" s="5"/>
      <c r="O2485" s="5"/>
      <c r="P2485" s="5"/>
      <c r="Q2485" s="5"/>
      <c r="R2485" s="5"/>
      <c r="S2485" s="5"/>
      <c r="T2485" s="5"/>
      <c r="U2485" s="5"/>
      <c r="V2485" s="5"/>
      <c r="W2485" s="5"/>
      <c r="X2485" s="23"/>
      <c r="Y2485" s="18"/>
      <c r="Z2485" s="23"/>
      <c r="AA2485" s="23"/>
      <c r="AB2485" s="5"/>
      <c r="AC2485" s="5"/>
      <c r="AD2485" s="5"/>
      <c r="AE2485" s="5"/>
      <c r="AF2485" s="5"/>
      <c r="AG2485" s="23"/>
      <c r="AH2485" s="5"/>
      <c r="AI2485" s="5"/>
      <c r="AJ2485" s="5"/>
      <c r="AK2485" s="5"/>
      <c r="AL2485" s="6"/>
      <c r="AM2485" s="5"/>
      <c r="AN2485" s="4"/>
      <c r="AO2485" s="4"/>
      <c r="AP2485" s="4"/>
      <c r="AQ2485" s="4"/>
      <c r="AR2485" s="4"/>
      <c r="AS2485" s="4"/>
      <c r="AT2485" s="4"/>
      <c r="AU2485" s="27"/>
      <c r="AV2485" s="39"/>
      <c r="AW2485" s="4"/>
    </row>
    <row r="2486" spans="1:49" ht="14.5" x14ac:dyDescent="0.35">
      <c r="A2486" s="1"/>
      <c r="B2486" s="4"/>
      <c r="C2486" s="29"/>
      <c r="D2486" s="29"/>
      <c r="E2486" s="29"/>
      <c r="F2486" s="2"/>
      <c r="G2486" s="2"/>
      <c r="H2486" s="6"/>
      <c r="I2486" s="6"/>
      <c r="J2486" s="18"/>
      <c r="K2486" s="23"/>
      <c r="L2486" s="5"/>
      <c r="M2486" s="5"/>
      <c r="N2486" s="5"/>
      <c r="O2486" s="5"/>
      <c r="P2486" s="5"/>
      <c r="Q2486" s="5"/>
      <c r="R2486" s="5"/>
      <c r="S2486" s="5"/>
      <c r="T2486" s="5"/>
      <c r="U2486" s="5"/>
      <c r="V2486" s="5"/>
      <c r="W2486" s="5"/>
      <c r="X2486" s="23"/>
      <c r="Y2486" s="18"/>
      <c r="Z2486" s="23"/>
      <c r="AA2486" s="23"/>
      <c r="AB2486" s="5"/>
      <c r="AC2486" s="5"/>
      <c r="AD2486" s="5"/>
      <c r="AE2486" s="5"/>
      <c r="AF2486" s="5"/>
      <c r="AG2486" s="23"/>
      <c r="AH2486" s="5"/>
      <c r="AI2486" s="5"/>
      <c r="AJ2486" s="5"/>
      <c r="AK2486" s="5"/>
      <c r="AL2486" s="6"/>
      <c r="AM2486" s="5"/>
      <c r="AN2486" s="4"/>
      <c r="AO2486" s="4"/>
      <c r="AP2486" s="4"/>
      <c r="AQ2486" s="4"/>
      <c r="AR2486" s="4"/>
      <c r="AS2486" s="4"/>
      <c r="AT2486" s="4"/>
      <c r="AU2486" s="27"/>
      <c r="AV2486" s="39"/>
      <c r="AW2486" s="4"/>
    </row>
    <row r="2487" spans="1:49" ht="14.5" x14ac:dyDescent="0.35">
      <c r="A2487" s="1"/>
      <c r="B2487" s="4"/>
      <c r="C2487" s="29"/>
      <c r="D2487" s="29"/>
      <c r="E2487" s="29"/>
      <c r="F2487" s="2"/>
      <c r="G2487" s="2"/>
      <c r="H2487" s="6"/>
      <c r="I2487" s="6"/>
      <c r="J2487" s="18"/>
      <c r="K2487" s="23"/>
      <c r="L2487" s="5"/>
      <c r="M2487" s="5"/>
      <c r="N2487" s="5"/>
      <c r="O2487" s="5"/>
      <c r="P2487" s="5"/>
      <c r="Q2487" s="5"/>
      <c r="R2487" s="5"/>
      <c r="S2487" s="5"/>
      <c r="T2487" s="5"/>
      <c r="U2487" s="5"/>
      <c r="V2487" s="5"/>
      <c r="W2487" s="5"/>
      <c r="X2487" s="23"/>
      <c r="Y2487" s="18"/>
      <c r="Z2487" s="23"/>
      <c r="AA2487" s="23"/>
      <c r="AB2487" s="5"/>
      <c r="AC2487" s="5"/>
      <c r="AD2487" s="5"/>
      <c r="AE2487" s="5"/>
      <c r="AF2487" s="5"/>
      <c r="AG2487" s="23"/>
      <c r="AH2487" s="5"/>
      <c r="AI2487" s="5"/>
      <c r="AJ2487" s="5"/>
      <c r="AK2487" s="5"/>
      <c r="AL2487" s="6"/>
      <c r="AM2487" s="5"/>
      <c r="AN2487" s="4"/>
      <c r="AO2487" s="4"/>
      <c r="AP2487" s="4"/>
      <c r="AQ2487" s="4"/>
      <c r="AR2487" s="4"/>
      <c r="AS2487" s="4"/>
      <c r="AT2487" s="4"/>
      <c r="AU2487" s="27"/>
      <c r="AV2487" s="39"/>
      <c r="AW2487" s="4"/>
    </row>
    <row r="2488" spans="1:49" ht="14.5" x14ac:dyDescent="0.35">
      <c r="A2488" s="1"/>
      <c r="B2488" s="4"/>
      <c r="C2488" s="29"/>
      <c r="D2488" s="29"/>
      <c r="E2488" s="29"/>
      <c r="F2488" s="2"/>
      <c r="G2488" s="2"/>
      <c r="H2488" s="6"/>
      <c r="I2488" s="6"/>
      <c r="J2488" s="18"/>
      <c r="K2488" s="23"/>
      <c r="L2488" s="5"/>
      <c r="M2488" s="5"/>
      <c r="N2488" s="5"/>
      <c r="O2488" s="5"/>
      <c r="P2488" s="5"/>
      <c r="Q2488" s="5"/>
      <c r="R2488" s="5"/>
      <c r="S2488" s="5"/>
      <c r="T2488" s="5"/>
      <c r="U2488" s="5"/>
      <c r="V2488" s="5"/>
      <c r="W2488" s="5"/>
      <c r="X2488" s="23"/>
      <c r="Y2488" s="18"/>
      <c r="Z2488" s="23"/>
      <c r="AA2488" s="23"/>
      <c r="AB2488" s="5"/>
      <c r="AC2488" s="5"/>
      <c r="AD2488" s="5"/>
      <c r="AE2488" s="5"/>
      <c r="AF2488" s="5"/>
      <c r="AG2488" s="23"/>
      <c r="AH2488" s="5"/>
      <c r="AI2488" s="5"/>
      <c r="AJ2488" s="5"/>
      <c r="AK2488" s="5"/>
      <c r="AL2488" s="6"/>
      <c r="AM2488" s="5"/>
      <c r="AN2488" s="4"/>
      <c r="AO2488" s="4"/>
      <c r="AP2488" s="4"/>
      <c r="AQ2488" s="4"/>
      <c r="AR2488" s="4"/>
      <c r="AS2488" s="4"/>
      <c r="AT2488" s="4"/>
      <c r="AU2488" s="27"/>
      <c r="AV2488" s="39"/>
      <c r="AW2488" s="4"/>
    </row>
    <row r="2489" spans="1:49" ht="14.5" x14ac:dyDescent="0.35">
      <c r="A2489" s="1"/>
      <c r="B2489" s="4"/>
      <c r="C2489" s="29"/>
      <c r="D2489" s="29"/>
      <c r="E2489" s="29"/>
      <c r="F2489" s="2"/>
      <c r="G2489" s="2"/>
      <c r="H2489" s="6"/>
      <c r="I2489" s="6"/>
      <c r="J2489" s="18"/>
      <c r="K2489" s="23"/>
      <c r="L2489" s="5"/>
      <c r="M2489" s="5"/>
      <c r="N2489" s="5"/>
      <c r="O2489" s="5"/>
      <c r="P2489" s="5"/>
      <c r="Q2489" s="5"/>
      <c r="R2489" s="5"/>
      <c r="S2489" s="5"/>
      <c r="T2489" s="5"/>
      <c r="U2489" s="5"/>
      <c r="V2489" s="5"/>
      <c r="W2489" s="5"/>
      <c r="X2489" s="23"/>
      <c r="Y2489" s="18"/>
      <c r="Z2489" s="23"/>
      <c r="AA2489" s="23"/>
      <c r="AB2489" s="5"/>
      <c r="AC2489" s="5"/>
      <c r="AD2489" s="5"/>
      <c r="AE2489" s="5"/>
      <c r="AF2489" s="5"/>
      <c r="AG2489" s="23"/>
      <c r="AH2489" s="5"/>
      <c r="AI2489" s="5"/>
      <c r="AJ2489" s="5"/>
      <c r="AK2489" s="5"/>
      <c r="AL2489" s="6"/>
      <c r="AM2489" s="5"/>
      <c r="AN2489" s="4"/>
      <c r="AO2489" s="4"/>
      <c r="AP2489" s="4"/>
      <c r="AQ2489" s="4"/>
      <c r="AR2489" s="4"/>
      <c r="AS2489" s="4"/>
      <c r="AT2489" s="4"/>
      <c r="AU2489" s="27"/>
      <c r="AV2489" s="39"/>
      <c r="AW2489" s="4"/>
    </row>
    <row r="2490" spans="1:49" ht="14.5" x14ac:dyDescent="0.35">
      <c r="A2490" s="1"/>
      <c r="B2490" s="4"/>
      <c r="C2490" s="29"/>
      <c r="D2490" s="29"/>
      <c r="E2490" s="29"/>
      <c r="F2490" s="2"/>
      <c r="G2490" s="2"/>
      <c r="H2490" s="6"/>
      <c r="I2490" s="6"/>
      <c r="J2490" s="18"/>
      <c r="K2490" s="23"/>
      <c r="L2490" s="5"/>
      <c r="M2490" s="5"/>
      <c r="N2490" s="5"/>
      <c r="O2490" s="5"/>
      <c r="P2490" s="5"/>
      <c r="Q2490" s="5"/>
      <c r="R2490" s="5"/>
      <c r="S2490" s="5"/>
      <c r="T2490" s="5"/>
      <c r="U2490" s="5"/>
      <c r="V2490" s="5"/>
      <c r="W2490" s="5"/>
      <c r="X2490" s="23"/>
      <c r="Y2490" s="18"/>
      <c r="Z2490" s="23"/>
      <c r="AA2490" s="23"/>
      <c r="AB2490" s="5"/>
      <c r="AC2490" s="5"/>
      <c r="AD2490" s="5"/>
      <c r="AE2490" s="5"/>
      <c r="AF2490" s="5"/>
      <c r="AG2490" s="23"/>
      <c r="AH2490" s="5"/>
      <c r="AI2490" s="5"/>
      <c r="AJ2490" s="5"/>
      <c r="AK2490" s="5"/>
      <c r="AL2490" s="6"/>
      <c r="AM2490" s="5"/>
      <c r="AN2490" s="4"/>
      <c r="AO2490" s="4"/>
      <c r="AP2490" s="4"/>
      <c r="AQ2490" s="4"/>
      <c r="AR2490" s="4"/>
      <c r="AS2490" s="4"/>
      <c r="AT2490" s="4"/>
      <c r="AU2490" s="27"/>
      <c r="AV2490" s="39"/>
      <c r="AW2490" s="4"/>
    </row>
    <row r="2491" spans="1:49" ht="14.5" x14ac:dyDescent="0.35">
      <c r="A2491" s="1"/>
      <c r="B2491" s="4"/>
      <c r="C2491" s="29"/>
      <c r="D2491" s="29"/>
      <c r="E2491" s="29"/>
      <c r="F2491" s="2"/>
      <c r="G2491" s="2"/>
      <c r="H2491" s="6"/>
      <c r="I2491" s="6"/>
      <c r="J2491" s="18"/>
      <c r="K2491" s="23"/>
      <c r="L2491" s="5"/>
      <c r="M2491" s="5"/>
      <c r="N2491" s="5"/>
      <c r="O2491" s="5"/>
      <c r="P2491" s="5"/>
      <c r="Q2491" s="5"/>
      <c r="R2491" s="5"/>
      <c r="S2491" s="5"/>
      <c r="T2491" s="5"/>
      <c r="U2491" s="5"/>
      <c r="V2491" s="5"/>
      <c r="W2491" s="5"/>
      <c r="X2491" s="23"/>
      <c r="Y2491" s="18"/>
      <c r="Z2491" s="23"/>
      <c r="AA2491" s="23"/>
      <c r="AB2491" s="5"/>
      <c r="AC2491" s="5"/>
      <c r="AD2491" s="5"/>
      <c r="AE2491" s="5"/>
      <c r="AF2491" s="5"/>
      <c r="AG2491" s="23"/>
      <c r="AH2491" s="5"/>
      <c r="AI2491" s="5"/>
      <c r="AJ2491" s="5"/>
      <c r="AK2491" s="5"/>
      <c r="AL2491" s="6"/>
      <c r="AM2491" s="5"/>
      <c r="AN2491" s="4"/>
      <c r="AO2491" s="4"/>
      <c r="AP2491" s="4"/>
      <c r="AQ2491" s="4"/>
      <c r="AR2491" s="4"/>
      <c r="AS2491" s="4"/>
      <c r="AT2491" s="4"/>
      <c r="AU2491" s="27"/>
      <c r="AV2491" s="39"/>
      <c r="AW2491" s="4"/>
    </row>
    <row r="2492" spans="1:49" ht="14.5" x14ac:dyDescent="0.35">
      <c r="A2492" s="1"/>
      <c r="B2492" s="4"/>
      <c r="C2492" s="29"/>
      <c r="D2492" s="29"/>
      <c r="E2492" s="29"/>
      <c r="F2492" s="2"/>
      <c r="G2492" s="2"/>
      <c r="H2492" s="6"/>
      <c r="I2492" s="6"/>
      <c r="J2492" s="18"/>
      <c r="K2492" s="23"/>
      <c r="L2492" s="5"/>
      <c r="M2492" s="5"/>
      <c r="N2492" s="5"/>
      <c r="O2492" s="5"/>
      <c r="P2492" s="5"/>
      <c r="Q2492" s="5"/>
      <c r="R2492" s="5"/>
      <c r="S2492" s="5"/>
      <c r="T2492" s="5"/>
      <c r="U2492" s="5"/>
      <c r="V2492" s="5"/>
      <c r="W2492" s="5"/>
      <c r="X2492" s="23"/>
      <c r="Y2492" s="18"/>
      <c r="Z2492" s="23"/>
      <c r="AA2492" s="23"/>
      <c r="AB2492" s="5"/>
      <c r="AC2492" s="5"/>
      <c r="AD2492" s="5"/>
      <c r="AE2492" s="5"/>
      <c r="AF2492" s="5"/>
      <c r="AG2492" s="23"/>
      <c r="AH2492" s="5"/>
      <c r="AI2492" s="5"/>
      <c r="AJ2492" s="5"/>
      <c r="AK2492" s="5"/>
      <c r="AL2492" s="6"/>
      <c r="AM2492" s="5"/>
      <c r="AN2492" s="4"/>
      <c r="AO2492" s="4"/>
      <c r="AP2492" s="4"/>
      <c r="AQ2492" s="4"/>
      <c r="AR2492" s="4"/>
      <c r="AS2492" s="4"/>
      <c r="AT2492" s="4"/>
      <c r="AU2492" s="27"/>
      <c r="AV2492" s="39"/>
      <c r="AW2492" s="4"/>
    </row>
    <row r="2493" spans="1:49" ht="14.5" x14ac:dyDescent="0.35">
      <c r="A2493" s="1"/>
      <c r="B2493" s="4"/>
      <c r="C2493" s="29"/>
      <c r="D2493" s="29"/>
      <c r="E2493" s="29"/>
      <c r="F2493" s="2"/>
      <c r="G2493" s="2"/>
      <c r="H2493" s="6"/>
      <c r="I2493" s="6"/>
      <c r="J2493" s="18"/>
      <c r="K2493" s="23"/>
      <c r="L2493" s="5"/>
      <c r="M2493" s="5"/>
      <c r="N2493" s="5"/>
      <c r="O2493" s="5"/>
      <c r="P2493" s="5"/>
      <c r="Q2493" s="5"/>
      <c r="R2493" s="5"/>
      <c r="S2493" s="5"/>
      <c r="T2493" s="5"/>
      <c r="U2493" s="5"/>
      <c r="V2493" s="5"/>
      <c r="W2493" s="5"/>
      <c r="X2493" s="23"/>
      <c r="Y2493" s="18"/>
      <c r="Z2493" s="23"/>
      <c r="AA2493" s="23"/>
      <c r="AB2493" s="5"/>
      <c r="AC2493" s="5"/>
      <c r="AD2493" s="5"/>
      <c r="AE2493" s="5"/>
      <c r="AF2493" s="5"/>
      <c r="AG2493" s="23"/>
      <c r="AH2493" s="5"/>
      <c r="AI2493" s="5"/>
      <c r="AJ2493" s="5"/>
      <c r="AK2493" s="5"/>
      <c r="AL2493" s="6"/>
      <c r="AM2493" s="5"/>
      <c r="AN2493" s="4"/>
      <c r="AO2493" s="4"/>
      <c r="AP2493" s="4"/>
      <c r="AQ2493" s="4"/>
      <c r="AR2493" s="4"/>
      <c r="AS2493" s="4"/>
      <c r="AT2493" s="4"/>
      <c r="AU2493" s="27"/>
      <c r="AV2493" s="39"/>
      <c r="AW2493" s="4"/>
    </row>
    <row r="2494" spans="1:49" ht="14.5" x14ac:dyDescent="0.35">
      <c r="A2494" s="1"/>
      <c r="B2494" s="4"/>
      <c r="C2494" s="29"/>
      <c r="D2494" s="29"/>
      <c r="E2494" s="29"/>
      <c r="F2494" s="2"/>
      <c r="G2494" s="2"/>
      <c r="H2494" s="6"/>
      <c r="I2494" s="6"/>
      <c r="J2494" s="18"/>
      <c r="K2494" s="23"/>
      <c r="L2494" s="5"/>
      <c r="M2494" s="5"/>
      <c r="N2494" s="5"/>
      <c r="O2494" s="5"/>
      <c r="P2494" s="5"/>
      <c r="Q2494" s="5"/>
      <c r="R2494" s="5"/>
      <c r="S2494" s="5"/>
      <c r="T2494" s="5"/>
      <c r="U2494" s="5"/>
      <c r="V2494" s="5"/>
      <c r="W2494" s="5"/>
      <c r="X2494" s="23"/>
      <c r="Y2494" s="18"/>
      <c r="Z2494" s="23"/>
      <c r="AA2494" s="23"/>
      <c r="AB2494" s="5"/>
      <c r="AC2494" s="5"/>
      <c r="AD2494" s="5"/>
      <c r="AE2494" s="5"/>
      <c r="AF2494" s="5"/>
      <c r="AG2494" s="23"/>
      <c r="AH2494" s="5"/>
      <c r="AI2494" s="5"/>
      <c r="AJ2494" s="5"/>
      <c r="AK2494" s="5"/>
      <c r="AL2494" s="6"/>
      <c r="AM2494" s="5"/>
      <c r="AN2494" s="4"/>
      <c r="AO2494" s="4"/>
      <c r="AP2494" s="4"/>
      <c r="AQ2494" s="4"/>
      <c r="AR2494" s="4"/>
      <c r="AS2494" s="4"/>
      <c r="AT2494" s="4"/>
      <c r="AU2494" s="27"/>
      <c r="AV2494" s="39"/>
      <c r="AW2494" s="4"/>
    </row>
    <row r="2495" spans="1:49" ht="14.5" x14ac:dyDescent="0.35">
      <c r="A2495" s="1"/>
      <c r="B2495" s="4"/>
      <c r="C2495" s="29"/>
      <c r="D2495" s="29"/>
      <c r="E2495" s="29"/>
      <c r="F2495" s="2"/>
      <c r="G2495" s="2"/>
      <c r="H2495" s="6"/>
      <c r="I2495" s="6"/>
      <c r="J2495" s="18"/>
      <c r="K2495" s="23"/>
      <c r="L2495" s="5"/>
      <c r="M2495" s="5"/>
      <c r="N2495" s="5"/>
      <c r="O2495" s="5"/>
      <c r="P2495" s="5"/>
      <c r="Q2495" s="5"/>
      <c r="R2495" s="5"/>
      <c r="S2495" s="5"/>
      <c r="T2495" s="5"/>
      <c r="U2495" s="5"/>
      <c r="V2495" s="5"/>
      <c r="W2495" s="5"/>
      <c r="X2495" s="23"/>
      <c r="Y2495" s="18"/>
      <c r="Z2495" s="23"/>
      <c r="AA2495" s="23"/>
      <c r="AB2495" s="5"/>
      <c r="AC2495" s="5"/>
      <c r="AD2495" s="5"/>
      <c r="AE2495" s="5"/>
      <c r="AF2495" s="5"/>
      <c r="AG2495" s="23"/>
      <c r="AH2495" s="5"/>
      <c r="AI2495" s="5"/>
      <c r="AJ2495" s="5"/>
      <c r="AK2495" s="5"/>
      <c r="AL2495" s="6"/>
      <c r="AM2495" s="5"/>
      <c r="AN2495" s="4"/>
      <c r="AO2495" s="4"/>
      <c r="AP2495" s="4"/>
      <c r="AQ2495" s="4"/>
      <c r="AR2495" s="4"/>
      <c r="AS2495" s="4"/>
      <c r="AT2495" s="4"/>
      <c r="AU2495" s="27"/>
      <c r="AV2495" s="39"/>
      <c r="AW2495" s="4"/>
    </row>
    <row r="2496" spans="1:49" ht="14.5" x14ac:dyDescent="0.35">
      <c r="A2496" s="1"/>
      <c r="B2496" s="4"/>
      <c r="C2496" s="29"/>
      <c r="D2496" s="29"/>
      <c r="E2496" s="29"/>
      <c r="F2496" s="2"/>
      <c r="G2496" s="2"/>
      <c r="H2496" s="6"/>
      <c r="I2496" s="6"/>
      <c r="J2496" s="18"/>
      <c r="K2496" s="23"/>
      <c r="L2496" s="5"/>
      <c r="M2496" s="5"/>
      <c r="N2496" s="5"/>
      <c r="O2496" s="5"/>
      <c r="P2496" s="5"/>
      <c r="Q2496" s="5"/>
      <c r="R2496" s="5"/>
      <c r="S2496" s="5"/>
      <c r="T2496" s="5"/>
      <c r="U2496" s="5"/>
      <c r="V2496" s="5"/>
      <c r="W2496" s="5"/>
      <c r="X2496" s="23"/>
      <c r="Y2496" s="18"/>
      <c r="Z2496" s="23"/>
      <c r="AA2496" s="23"/>
      <c r="AB2496" s="5"/>
      <c r="AC2496" s="5"/>
      <c r="AD2496" s="5"/>
      <c r="AE2496" s="5"/>
      <c r="AF2496" s="5"/>
      <c r="AG2496" s="23"/>
      <c r="AH2496" s="5"/>
      <c r="AI2496" s="5"/>
      <c r="AJ2496" s="5"/>
      <c r="AK2496" s="5"/>
      <c r="AL2496" s="6"/>
      <c r="AM2496" s="5"/>
      <c r="AN2496" s="4"/>
      <c r="AO2496" s="4"/>
      <c r="AP2496" s="4"/>
      <c r="AQ2496" s="4"/>
      <c r="AR2496" s="4"/>
      <c r="AS2496" s="4"/>
      <c r="AT2496" s="4"/>
      <c r="AU2496" s="27"/>
      <c r="AV2496" s="39"/>
      <c r="AW2496" s="4"/>
    </row>
    <row r="2497" spans="1:49" ht="14.5" x14ac:dyDescent="0.35">
      <c r="A2497" s="1"/>
      <c r="B2497" s="4"/>
      <c r="C2497" s="29"/>
      <c r="D2497" s="29"/>
      <c r="E2497" s="29"/>
      <c r="F2497" s="2"/>
      <c r="G2497" s="2"/>
      <c r="H2497" s="6"/>
      <c r="I2497" s="6"/>
      <c r="J2497" s="18"/>
      <c r="K2497" s="23"/>
      <c r="L2497" s="5"/>
      <c r="M2497" s="5"/>
      <c r="N2497" s="5"/>
      <c r="O2497" s="5"/>
      <c r="P2497" s="5"/>
      <c r="Q2497" s="5"/>
      <c r="R2497" s="5"/>
      <c r="S2497" s="5"/>
      <c r="T2497" s="5"/>
      <c r="U2497" s="5"/>
      <c r="V2497" s="5"/>
      <c r="W2497" s="5"/>
      <c r="X2497" s="23"/>
      <c r="Y2497" s="18"/>
      <c r="Z2497" s="23"/>
      <c r="AA2497" s="23"/>
      <c r="AB2497" s="5"/>
      <c r="AC2497" s="5"/>
      <c r="AD2497" s="5"/>
      <c r="AE2497" s="5"/>
      <c r="AF2497" s="5"/>
      <c r="AG2497" s="23"/>
      <c r="AH2497" s="5"/>
      <c r="AI2497" s="5"/>
      <c r="AJ2497" s="5"/>
      <c r="AK2497" s="5"/>
      <c r="AL2497" s="6"/>
      <c r="AM2497" s="5"/>
      <c r="AN2497" s="4"/>
      <c r="AO2497" s="4"/>
      <c r="AP2497" s="4"/>
      <c r="AQ2497" s="4"/>
      <c r="AR2497" s="4"/>
      <c r="AS2497" s="4"/>
      <c r="AT2497" s="4"/>
      <c r="AU2497" s="27"/>
      <c r="AV2497" s="39"/>
      <c r="AW2497" s="4"/>
    </row>
    <row r="2498" spans="1:49" ht="14.5" x14ac:dyDescent="0.35">
      <c r="A2498" s="1"/>
      <c r="B2498" s="4"/>
      <c r="C2498" s="29"/>
      <c r="D2498" s="29"/>
      <c r="E2498" s="29"/>
      <c r="F2498" s="2"/>
      <c r="G2498" s="2"/>
      <c r="H2498" s="6"/>
      <c r="I2498" s="6"/>
      <c r="J2498" s="18"/>
      <c r="K2498" s="23"/>
      <c r="L2498" s="5"/>
      <c r="M2498" s="5"/>
      <c r="N2498" s="5"/>
      <c r="O2498" s="5"/>
      <c r="P2498" s="5"/>
      <c r="Q2498" s="5"/>
      <c r="R2498" s="5"/>
      <c r="S2498" s="5"/>
      <c r="T2498" s="5"/>
      <c r="U2498" s="5"/>
      <c r="V2498" s="5"/>
      <c r="W2498" s="5"/>
      <c r="X2498" s="23"/>
      <c r="Y2498" s="18"/>
      <c r="Z2498" s="23"/>
      <c r="AA2498" s="23"/>
      <c r="AB2498" s="5"/>
      <c r="AC2498" s="5"/>
      <c r="AD2498" s="5"/>
      <c r="AE2498" s="5"/>
      <c r="AF2498" s="5"/>
      <c r="AG2498" s="23"/>
      <c r="AH2498" s="5"/>
      <c r="AI2498" s="5"/>
      <c r="AJ2498" s="5"/>
      <c r="AK2498" s="5"/>
      <c r="AL2498" s="6"/>
      <c r="AM2498" s="5"/>
      <c r="AN2498" s="4"/>
      <c r="AO2498" s="4"/>
      <c r="AP2498" s="4"/>
      <c r="AQ2498" s="4"/>
      <c r="AR2498" s="4"/>
      <c r="AS2498" s="4"/>
      <c r="AT2498" s="4"/>
      <c r="AU2498" s="27"/>
      <c r="AV2498" s="39"/>
      <c r="AW2498" s="4"/>
    </row>
    <row r="2499" spans="1:49" ht="14.5" x14ac:dyDescent="0.35">
      <c r="A2499" s="1"/>
      <c r="B2499" s="4"/>
      <c r="C2499" s="29"/>
      <c r="D2499" s="29"/>
      <c r="E2499" s="29"/>
      <c r="F2499" s="2"/>
      <c r="G2499" s="2"/>
      <c r="H2499" s="6"/>
      <c r="I2499" s="6"/>
      <c r="J2499" s="18"/>
      <c r="K2499" s="23"/>
      <c r="L2499" s="5"/>
      <c r="M2499" s="5"/>
      <c r="N2499" s="5"/>
      <c r="O2499" s="5"/>
      <c r="P2499" s="5"/>
      <c r="Q2499" s="5"/>
      <c r="R2499" s="5"/>
      <c r="S2499" s="5"/>
      <c r="T2499" s="5"/>
      <c r="U2499" s="5"/>
      <c r="V2499" s="5"/>
      <c r="W2499" s="5"/>
      <c r="X2499" s="23"/>
      <c r="Y2499" s="18"/>
      <c r="Z2499" s="23"/>
      <c r="AA2499" s="23"/>
      <c r="AB2499" s="5"/>
      <c r="AC2499" s="5"/>
      <c r="AD2499" s="5"/>
      <c r="AE2499" s="5"/>
      <c r="AF2499" s="5"/>
      <c r="AG2499" s="23"/>
      <c r="AH2499" s="5"/>
      <c r="AI2499" s="5"/>
      <c r="AJ2499" s="5"/>
      <c r="AK2499" s="5"/>
      <c r="AL2499" s="6"/>
      <c r="AM2499" s="5"/>
      <c r="AN2499" s="4"/>
      <c r="AO2499" s="4"/>
      <c r="AP2499" s="4"/>
      <c r="AQ2499" s="4"/>
      <c r="AR2499" s="4"/>
      <c r="AS2499" s="4"/>
      <c r="AT2499" s="4"/>
      <c r="AU2499" s="27"/>
      <c r="AV2499" s="39"/>
      <c r="AW2499" s="4"/>
    </row>
    <row r="2500" spans="1:49" ht="14.5" x14ac:dyDescent="0.35">
      <c r="A2500" s="1"/>
      <c r="B2500" s="4"/>
      <c r="C2500" s="29"/>
      <c r="D2500" s="29"/>
      <c r="E2500" s="29"/>
      <c r="F2500" s="2"/>
      <c r="G2500" s="2"/>
      <c r="H2500" s="6"/>
      <c r="I2500" s="6"/>
      <c r="J2500" s="18"/>
      <c r="K2500" s="23"/>
      <c r="L2500" s="5"/>
      <c r="M2500" s="5"/>
      <c r="N2500" s="5"/>
      <c r="O2500" s="5"/>
      <c r="P2500" s="5"/>
      <c r="Q2500" s="5"/>
      <c r="R2500" s="5"/>
      <c r="S2500" s="5"/>
      <c r="T2500" s="5"/>
      <c r="U2500" s="5"/>
      <c r="V2500" s="5"/>
      <c r="W2500" s="5"/>
      <c r="X2500" s="23"/>
      <c r="Y2500" s="18"/>
      <c r="Z2500" s="23"/>
      <c r="AA2500" s="23"/>
      <c r="AB2500" s="5"/>
      <c r="AC2500" s="5"/>
      <c r="AD2500" s="5"/>
      <c r="AE2500" s="5"/>
      <c r="AF2500" s="5"/>
      <c r="AG2500" s="23"/>
      <c r="AH2500" s="5"/>
      <c r="AI2500" s="5"/>
      <c r="AJ2500" s="5"/>
      <c r="AK2500" s="5"/>
      <c r="AL2500" s="6"/>
      <c r="AM2500" s="5"/>
      <c r="AN2500" s="4"/>
      <c r="AO2500" s="4"/>
      <c r="AP2500" s="4"/>
      <c r="AQ2500" s="4"/>
      <c r="AR2500" s="4"/>
      <c r="AS2500" s="4"/>
      <c r="AT2500" s="4"/>
      <c r="AU2500" s="27"/>
      <c r="AV2500" s="39"/>
      <c r="AW2500" s="4"/>
    </row>
    <row r="2501" spans="1:49" ht="14.5" x14ac:dyDescent="0.35">
      <c r="A2501" s="1"/>
      <c r="B2501" s="4"/>
      <c r="C2501" s="29"/>
      <c r="D2501" s="29"/>
      <c r="E2501" s="29"/>
      <c r="F2501" s="2"/>
      <c r="G2501" s="2"/>
      <c r="H2501" s="6"/>
      <c r="I2501" s="6"/>
      <c r="J2501" s="18"/>
      <c r="K2501" s="23"/>
      <c r="L2501" s="5"/>
      <c r="M2501" s="5"/>
      <c r="N2501" s="5"/>
      <c r="O2501" s="5"/>
      <c r="P2501" s="5"/>
      <c r="Q2501" s="5"/>
      <c r="R2501" s="5"/>
      <c r="S2501" s="5"/>
      <c r="T2501" s="5"/>
      <c r="U2501" s="5"/>
      <c r="V2501" s="5"/>
      <c r="W2501" s="5"/>
      <c r="X2501" s="23"/>
      <c r="Y2501" s="18"/>
      <c r="Z2501" s="23"/>
      <c r="AA2501" s="23"/>
      <c r="AB2501" s="5"/>
      <c r="AC2501" s="5"/>
      <c r="AD2501" s="5"/>
      <c r="AE2501" s="5"/>
      <c r="AF2501" s="5"/>
      <c r="AG2501" s="23"/>
      <c r="AH2501" s="5"/>
      <c r="AI2501" s="5"/>
      <c r="AJ2501" s="5"/>
      <c r="AK2501" s="5"/>
      <c r="AL2501" s="6"/>
      <c r="AM2501" s="5"/>
      <c r="AN2501" s="4"/>
      <c r="AO2501" s="4"/>
      <c r="AP2501" s="4"/>
      <c r="AQ2501" s="4"/>
      <c r="AR2501" s="4"/>
      <c r="AS2501" s="4"/>
      <c r="AT2501" s="4"/>
      <c r="AU2501" s="27"/>
      <c r="AV2501" s="39"/>
      <c r="AW2501" s="4"/>
    </row>
    <row r="2502" spans="1:49" ht="14.5" x14ac:dyDescent="0.35">
      <c r="A2502" s="1"/>
      <c r="B2502" s="4"/>
      <c r="C2502" s="29"/>
      <c r="D2502" s="29"/>
      <c r="E2502" s="29"/>
      <c r="F2502" s="2"/>
      <c r="G2502" s="2"/>
      <c r="H2502" s="6"/>
      <c r="I2502" s="6"/>
      <c r="J2502" s="18"/>
      <c r="K2502" s="23"/>
      <c r="L2502" s="5"/>
      <c r="M2502" s="5"/>
      <c r="N2502" s="5"/>
      <c r="O2502" s="5"/>
      <c r="P2502" s="5"/>
      <c r="Q2502" s="5"/>
      <c r="R2502" s="5"/>
      <c r="S2502" s="5"/>
      <c r="T2502" s="5"/>
      <c r="U2502" s="5"/>
      <c r="V2502" s="5"/>
      <c r="W2502" s="5"/>
      <c r="X2502" s="23"/>
      <c r="Y2502" s="18"/>
      <c r="Z2502" s="23"/>
      <c r="AA2502" s="23"/>
      <c r="AB2502" s="5"/>
      <c r="AC2502" s="5"/>
      <c r="AD2502" s="5"/>
      <c r="AE2502" s="5"/>
      <c r="AF2502" s="5"/>
      <c r="AG2502" s="23"/>
      <c r="AH2502" s="5"/>
      <c r="AI2502" s="5"/>
      <c r="AJ2502" s="5"/>
      <c r="AK2502" s="5"/>
      <c r="AL2502" s="6"/>
      <c r="AM2502" s="5"/>
      <c r="AN2502" s="4"/>
      <c r="AO2502" s="4"/>
      <c r="AP2502" s="4"/>
      <c r="AQ2502" s="4"/>
      <c r="AR2502" s="4"/>
      <c r="AS2502" s="4"/>
      <c r="AT2502" s="4"/>
      <c r="AU2502" s="27"/>
      <c r="AV2502" s="39"/>
      <c r="AW2502" s="4"/>
    </row>
    <row r="2503" spans="1:49" ht="14.5" x14ac:dyDescent="0.35">
      <c r="A2503" s="1"/>
      <c r="B2503" s="4"/>
      <c r="C2503" s="29"/>
      <c r="D2503" s="29"/>
      <c r="E2503" s="29"/>
      <c r="F2503" s="2"/>
      <c r="G2503" s="2"/>
      <c r="H2503" s="6"/>
      <c r="I2503" s="6"/>
      <c r="J2503" s="18"/>
      <c r="K2503" s="23"/>
      <c r="L2503" s="5"/>
      <c r="M2503" s="5"/>
      <c r="N2503" s="5"/>
      <c r="O2503" s="5"/>
      <c r="P2503" s="5"/>
      <c r="Q2503" s="5"/>
      <c r="R2503" s="5"/>
      <c r="S2503" s="5"/>
      <c r="T2503" s="5"/>
      <c r="U2503" s="5"/>
      <c r="V2503" s="5"/>
      <c r="W2503" s="5"/>
      <c r="X2503" s="23"/>
      <c r="Y2503" s="18"/>
      <c r="Z2503" s="23"/>
      <c r="AA2503" s="23"/>
      <c r="AB2503" s="5"/>
      <c r="AC2503" s="5"/>
      <c r="AD2503" s="5"/>
      <c r="AE2503" s="5"/>
      <c r="AF2503" s="5"/>
      <c r="AG2503" s="23"/>
      <c r="AH2503" s="5"/>
      <c r="AI2503" s="5"/>
      <c r="AJ2503" s="5"/>
      <c r="AK2503" s="5"/>
      <c r="AL2503" s="6"/>
      <c r="AM2503" s="5"/>
      <c r="AN2503" s="4"/>
      <c r="AO2503" s="4"/>
      <c r="AP2503" s="4"/>
      <c r="AQ2503" s="4"/>
      <c r="AR2503" s="4"/>
      <c r="AS2503" s="4"/>
      <c r="AT2503" s="4"/>
      <c r="AU2503" s="27"/>
      <c r="AV2503" s="39"/>
      <c r="AW2503" s="4"/>
    </row>
    <row r="2504" spans="1:49" ht="14.5" x14ac:dyDescent="0.35">
      <c r="A2504" s="1"/>
      <c r="B2504" s="4"/>
      <c r="C2504" s="29"/>
      <c r="D2504" s="29"/>
      <c r="E2504" s="29"/>
      <c r="F2504" s="2"/>
      <c r="G2504" s="2"/>
      <c r="H2504" s="6"/>
      <c r="I2504" s="6"/>
      <c r="J2504" s="18"/>
      <c r="K2504" s="23"/>
      <c r="L2504" s="5"/>
      <c r="M2504" s="5"/>
      <c r="N2504" s="5"/>
      <c r="O2504" s="5"/>
      <c r="P2504" s="5"/>
      <c r="Q2504" s="5"/>
      <c r="R2504" s="5"/>
      <c r="S2504" s="5"/>
      <c r="T2504" s="5"/>
      <c r="U2504" s="5"/>
      <c r="V2504" s="5"/>
      <c r="W2504" s="5"/>
      <c r="X2504" s="23"/>
      <c r="Y2504" s="18"/>
      <c r="Z2504" s="23"/>
      <c r="AA2504" s="23"/>
      <c r="AB2504" s="5"/>
      <c r="AC2504" s="5"/>
      <c r="AD2504" s="5"/>
      <c r="AE2504" s="5"/>
      <c r="AF2504" s="5"/>
      <c r="AG2504" s="23"/>
      <c r="AH2504" s="5"/>
      <c r="AI2504" s="5"/>
      <c r="AJ2504" s="5"/>
      <c r="AK2504" s="5"/>
      <c r="AL2504" s="6"/>
      <c r="AM2504" s="5"/>
      <c r="AN2504" s="4"/>
      <c r="AO2504" s="4"/>
      <c r="AP2504" s="4"/>
      <c r="AQ2504" s="4"/>
      <c r="AR2504" s="4"/>
      <c r="AS2504" s="4"/>
      <c r="AT2504" s="4"/>
      <c r="AU2504" s="27"/>
      <c r="AV2504" s="39"/>
      <c r="AW2504" s="4"/>
    </row>
    <row r="2505" spans="1:49" ht="14.5" x14ac:dyDescent="0.35">
      <c r="A2505" s="1"/>
      <c r="B2505" s="4"/>
      <c r="C2505" s="29"/>
      <c r="D2505" s="29"/>
      <c r="E2505" s="29"/>
      <c r="F2505" s="2"/>
      <c r="G2505" s="2"/>
      <c r="H2505" s="6"/>
      <c r="I2505" s="6"/>
      <c r="J2505" s="18"/>
      <c r="K2505" s="23"/>
      <c r="L2505" s="5"/>
      <c r="M2505" s="5"/>
      <c r="N2505" s="5"/>
      <c r="O2505" s="5"/>
      <c r="P2505" s="5"/>
      <c r="Q2505" s="5"/>
      <c r="R2505" s="5"/>
      <c r="S2505" s="5"/>
      <c r="T2505" s="5"/>
      <c r="U2505" s="5"/>
      <c r="V2505" s="5"/>
      <c r="W2505" s="5"/>
      <c r="X2505" s="23"/>
      <c r="Y2505" s="18"/>
      <c r="Z2505" s="23"/>
      <c r="AA2505" s="23"/>
      <c r="AB2505" s="5"/>
      <c r="AC2505" s="5"/>
      <c r="AD2505" s="5"/>
      <c r="AE2505" s="5"/>
      <c r="AF2505" s="5"/>
      <c r="AG2505" s="23"/>
      <c r="AH2505" s="5"/>
      <c r="AI2505" s="5"/>
      <c r="AJ2505" s="5"/>
      <c r="AK2505" s="5"/>
      <c r="AL2505" s="6"/>
      <c r="AM2505" s="5"/>
      <c r="AN2505" s="4"/>
      <c r="AO2505" s="4"/>
      <c r="AP2505" s="4"/>
      <c r="AQ2505" s="4"/>
      <c r="AR2505" s="4"/>
      <c r="AS2505" s="4"/>
      <c r="AT2505" s="4"/>
      <c r="AU2505" s="27"/>
      <c r="AV2505" s="39"/>
      <c r="AW2505" s="4"/>
    </row>
    <row r="2506" spans="1:49" ht="14.5" x14ac:dyDescent="0.35">
      <c r="A2506" s="1"/>
      <c r="B2506" s="4"/>
      <c r="C2506" s="29"/>
      <c r="D2506" s="29"/>
      <c r="E2506" s="29"/>
      <c r="F2506" s="2"/>
      <c r="G2506" s="2"/>
      <c r="H2506" s="6"/>
      <c r="I2506" s="6"/>
      <c r="J2506" s="18"/>
      <c r="K2506" s="23"/>
      <c r="L2506" s="5"/>
      <c r="M2506" s="5"/>
      <c r="N2506" s="5"/>
      <c r="O2506" s="5"/>
      <c r="P2506" s="5"/>
      <c r="Q2506" s="5"/>
      <c r="R2506" s="5"/>
      <c r="S2506" s="5"/>
      <c r="T2506" s="5"/>
      <c r="U2506" s="5"/>
      <c r="V2506" s="5"/>
      <c r="W2506" s="5"/>
      <c r="X2506" s="23"/>
      <c r="Y2506" s="18"/>
      <c r="Z2506" s="23"/>
      <c r="AA2506" s="23"/>
      <c r="AB2506" s="5"/>
      <c r="AC2506" s="5"/>
      <c r="AD2506" s="5"/>
      <c r="AE2506" s="5"/>
      <c r="AF2506" s="5"/>
      <c r="AG2506" s="23"/>
      <c r="AH2506" s="5"/>
      <c r="AI2506" s="5"/>
      <c r="AJ2506" s="5"/>
      <c r="AK2506" s="5"/>
      <c r="AL2506" s="6"/>
      <c r="AM2506" s="5"/>
      <c r="AN2506" s="4"/>
      <c r="AO2506" s="4"/>
      <c r="AP2506" s="4"/>
      <c r="AQ2506" s="4"/>
      <c r="AR2506" s="4"/>
      <c r="AS2506" s="4"/>
      <c r="AT2506" s="4"/>
      <c r="AU2506" s="27"/>
      <c r="AV2506" s="39"/>
      <c r="AW2506" s="4"/>
    </row>
    <row r="2507" spans="1:49" ht="14.5" x14ac:dyDescent="0.35">
      <c r="A2507" s="1"/>
      <c r="B2507" s="4"/>
      <c r="C2507" s="29"/>
      <c r="D2507" s="29"/>
      <c r="E2507" s="29"/>
      <c r="F2507" s="2"/>
      <c r="G2507" s="2"/>
      <c r="H2507" s="6"/>
      <c r="I2507" s="6"/>
      <c r="J2507" s="18"/>
      <c r="K2507" s="23"/>
      <c r="L2507" s="5"/>
      <c r="M2507" s="5"/>
      <c r="N2507" s="5"/>
      <c r="O2507" s="5"/>
      <c r="P2507" s="5"/>
      <c r="Q2507" s="5"/>
      <c r="R2507" s="5"/>
      <c r="S2507" s="5"/>
      <c r="T2507" s="5"/>
      <c r="U2507" s="5"/>
      <c r="V2507" s="5"/>
      <c r="W2507" s="5"/>
      <c r="X2507" s="23"/>
      <c r="Y2507" s="18"/>
      <c r="Z2507" s="23"/>
      <c r="AA2507" s="23"/>
      <c r="AB2507" s="5"/>
      <c r="AC2507" s="5"/>
      <c r="AD2507" s="5"/>
      <c r="AE2507" s="5"/>
      <c r="AF2507" s="5"/>
      <c r="AG2507" s="23"/>
      <c r="AH2507" s="5"/>
      <c r="AI2507" s="5"/>
      <c r="AJ2507" s="5"/>
      <c r="AK2507" s="5"/>
      <c r="AL2507" s="6"/>
      <c r="AM2507" s="5"/>
      <c r="AN2507" s="4"/>
      <c r="AO2507" s="4"/>
      <c r="AP2507" s="4"/>
      <c r="AQ2507" s="4"/>
      <c r="AR2507" s="4"/>
      <c r="AS2507" s="4"/>
      <c r="AT2507" s="4"/>
      <c r="AU2507" s="27"/>
      <c r="AV2507" s="39"/>
      <c r="AW2507" s="4"/>
    </row>
    <row r="2508" spans="1:49" ht="14.5" x14ac:dyDescent="0.35">
      <c r="A2508" s="1"/>
      <c r="B2508" s="4"/>
      <c r="C2508" s="29"/>
      <c r="D2508" s="29"/>
      <c r="E2508" s="29"/>
      <c r="F2508" s="2"/>
      <c r="G2508" s="2"/>
      <c r="H2508" s="6"/>
      <c r="I2508" s="6"/>
      <c r="J2508" s="18"/>
      <c r="K2508" s="23"/>
      <c r="L2508" s="5"/>
      <c r="M2508" s="5"/>
      <c r="N2508" s="5"/>
      <c r="O2508" s="5"/>
      <c r="P2508" s="5"/>
      <c r="Q2508" s="5"/>
      <c r="R2508" s="5"/>
      <c r="S2508" s="5"/>
      <c r="T2508" s="5"/>
      <c r="U2508" s="5"/>
      <c r="V2508" s="5"/>
      <c r="W2508" s="5"/>
      <c r="X2508" s="23"/>
      <c r="Y2508" s="18"/>
      <c r="Z2508" s="23"/>
      <c r="AA2508" s="23"/>
      <c r="AB2508" s="5"/>
      <c r="AC2508" s="5"/>
      <c r="AD2508" s="5"/>
      <c r="AE2508" s="5"/>
      <c r="AF2508" s="5"/>
      <c r="AG2508" s="23"/>
      <c r="AH2508" s="5"/>
      <c r="AI2508" s="5"/>
      <c r="AJ2508" s="5"/>
      <c r="AK2508" s="5"/>
      <c r="AL2508" s="6"/>
      <c r="AM2508" s="5"/>
      <c r="AN2508" s="4"/>
      <c r="AO2508" s="4"/>
      <c r="AP2508" s="4"/>
      <c r="AQ2508" s="4"/>
      <c r="AR2508" s="4"/>
      <c r="AS2508" s="4"/>
      <c r="AT2508" s="4"/>
      <c r="AU2508" s="27"/>
      <c r="AV2508" s="39"/>
      <c r="AW2508" s="4"/>
    </row>
    <row r="2509" spans="1:49" ht="14.5" x14ac:dyDescent="0.35">
      <c r="A2509" s="1"/>
      <c r="B2509" s="4"/>
      <c r="C2509" s="29"/>
      <c r="D2509" s="29"/>
      <c r="E2509" s="29"/>
      <c r="F2509" s="2"/>
      <c r="G2509" s="2"/>
      <c r="H2509" s="6"/>
      <c r="I2509" s="6"/>
      <c r="J2509" s="18"/>
      <c r="K2509" s="23"/>
      <c r="L2509" s="5"/>
      <c r="M2509" s="5"/>
      <c r="N2509" s="5"/>
      <c r="O2509" s="5"/>
      <c r="P2509" s="5"/>
      <c r="Q2509" s="5"/>
      <c r="R2509" s="5"/>
      <c r="S2509" s="5"/>
      <c r="T2509" s="5"/>
      <c r="U2509" s="5"/>
      <c r="V2509" s="5"/>
      <c r="W2509" s="5"/>
      <c r="X2509" s="23"/>
      <c r="Y2509" s="18"/>
      <c r="Z2509" s="23"/>
      <c r="AA2509" s="23"/>
      <c r="AB2509" s="5"/>
      <c r="AC2509" s="5"/>
      <c r="AD2509" s="5"/>
      <c r="AE2509" s="5"/>
      <c r="AF2509" s="5"/>
      <c r="AG2509" s="23"/>
      <c r="AH2509" s="5"/>
      <c r="AI2509" s="5"/>
      <c r="AJ2509" s="5"/>
      <c r="AK2509" s="5"/>
      <c r="AL2509" s="6"/>
      <c r="AM2509" s="5"/>
      <c r="AN2509" s="4"/>
      <c r="AO2509" s="4"/>
      <c r="AP2509" s="4"/>
      <c r="AQ2509" s="4"/>
      <c r="AR2509" s="4"/>
      <c r="AS2509" s="4"/>
      <c r="AT2509" s="4"/>
      <c r="AU2509" s="27"/>
      <c r="AV2509" s="39"/>
      <c r="AW2509" s="4"/>
    </row>
    <row r="2510" spans="1:49" ht="14.5" x14ac:dyDescent="0.35">
      <c r="A2510" s="1"/>
      <c r="B2510" s="4"/>
      <c r="C2510" s="29"/>
      <c r="D2510" s="29"/>
      <c r="E2510" s="29"/>
      <c r="F2510" s="2"/>
      <c r="G2510" s="2"/>
      <c r="H2510" s="6"/>
      <c r="I2510" s="6"/>
      <c r="J2510" s="18"/>
      <c r="K2510" s="23"/>
      <c r="L2510" s="5"/>
      <c r="M2510" s="5"/>
      <c r="N2510" s="5"/>
      <c r="O2510" s="5"/>
      <c r="P2510" s="5"/>
      <c r="Q2510" s="5"/>
      <c r="R2510" s="5"/>
      <c r="S2510" s="5"/>
      <c r="T2510" s="5"/>
      <c r="U2510" s="5"/>
      <c r="V2510" s="5"/>
      <c r="W2510" s="5"/>
      <c r="X2510" s="23"/>
      <c r="Y2510" s="18"/>
      <c r="Z2510" s="23"/>
      <c r="AA2510" s="23"/>
      <c r="AB2510" s="5"/>
      <c r="AC2510" s="5"/>
      <c r="AD2510" s="5"/>
      <c r="AE2510" s="5"/>
      <c r="AF2510" s="5"/>
      <c r="AG2510" s="23"/>
      <c r="AH2510" s="5"/>
      <c r="AI2510" s="5"/>
      <c r="AJ2510" s="5"/>
      <c r="AK2510" s="5"/>
      <c r="AL2510" s="6"/>
      <c r="AM2510" s="5"/>
      <c r="AN2510" s="4"/>
      <c r="AO2510" s="4"/>
      <c r="AP2510" s="4"/>
      <c r="AQ2510" s="4"/>
      <c r="AR2510" s="4"/>
      <c r="AS2510" s="4"/>
      <c r="AT2510" s="4"/>
      <c r="AU2510" s="27"/>
      <c r="AV2510" s="39"/>
      <c r="AW2510" s="4"/>
    </row>
    <row r="2511" spans="1:49" ht="14.5" x14ac:dyDescent="0.35">
      <c r="A2511" s="1"/>
      <c r="B2511" s="4"/>
      <c r="C2511" s="29"/>
      <c r="D2511" s="29"/>
      <c r="E2511" s="29"/>
      <c r="F2511" s="2"/>
      <c r="G2511" s="2"/>
      <c r="H2511" s="6"/>
      <c r="I2511" s="6"/>
      <c r="J2511" s="18"/>
      <c r="K2511" s="23"/>
      <c r="L2511" s="5"/>
      <c r="M2511" s="5"/>
      <c r="N2511" s="5"/>
      <c r="O2511" s="5"/>
      <c r="P2511" s="5"/>
      <c r="Q2511" s="5"/>
      <c r="R2511" s="5"/>
      <c r="S2511" s="5"/>
      <c r="T2511" s="5"/>
      <c r="U2511" s="5"/>
      <c r="V2511" s="5"/>
      <c r="W2511" s="5"/>
      <c r="X2511" s="23"/>
      <c r="Y2511" s="18"/>
      <c r="Z2511" s="23"/>
      <c r="AA2511" s="23"/>
      <c r="AB2511" s="5"/>
      <c r="AC2511" s="5"/>
      <c r="AD2511" s="5"/>
      <c r="AE2511" s="5"/>
      <c r="AF2511" s="5"/>
      <c r="AG2511" s="23"/>
      <c r="AH2511" s="5"/>
      <c r="AI2511" s="5"/>
      <c r="AJ2511" s="5"/>
      <c r="AK2511" s="5"/>
      <c r="AL2511" s="6"/>
      <c r="AM2511" s="5"/>
      <c r="AN2511" s="4"/>
      <c r="AO2511" s="4"/>
      <c r="AP2511" s="4"/>
      <c r="AQ2511" s="4"/>
      <c r="AR2511" s="4"/>
      <c r="AS2511" s="4"/>
      <c r="AT2511" s="4"/>
      <c r="AU2511" s="27"/>
      <c r="AV2511" s="39"/>
      <c r="AW2511" s="4"/>
    </row>
    <row r="2512" spans="1:49" ht="14.5" x14ac:dyDescent="0.35">
      <c r="A2512" s="1"/>
      <c r="B2512" s="4"/>
      <c r="C2512" s="29"/>
      <c r="D2512" s="29"/>
      <c r="E2512" s="29"/>
      <c r="F2512" s="2"/>
      <c r="G2512" s="2"/>
      <c r="H2512" s="6"/>
      <c r="I2512" s="6"/>
      <c r="J2512" s="18"/>
      <c r="K2512" s="23"/>
      <c r="L2512" s="5"/>
      <c r="M2512" s="5"/>
      <c r="N2512" s="5"/>
      <c r="O2512" s="5"/>
      <c r="P2512" s="5"/>
      <c r="Q2512" s="5"/>
      <c r="R2512" s="5"/>
      <c r="S2512" s="5"/>
      <c r="T2512" s="5"/>
      <c r="U2512" s="5"/>
      <c r="V2512" s="5"/>
      <c r="W2512" s="5"/>
      <c r="X2512" s="23"/>
      <c r="Y2512" s="18"/>
      <c r="Z2512" s="23"/>
      <c r="AA2512" s="23"/>
      <c r="AB2512" s="5"/>
      <c r="AC2512" s="5"/>
      <c r="AD2512" s="5"/>
      <c r="AE2512" s="5"/>
      <c r="AF2512" s="5"/>
      <c r="AG2512" s="23"/>
      <c r="AH2512" s="5"/>
      <c r="AI2512" s="5"/>
      <c r="AJ2512" s="5"/>
      <c r="AK2512" s="5"/>
      <c r="AL2512" s="6"/>
      <c r="AM2512" s="5"/>
      <c r="AN2512" s="4"/>
      <c r="AO2512" s="4"/>
      <c r="AP2512" s="4"/>
      <c r="AQ2512" s="4"/>
      <c r="AR2512" s="4"/>
      <c r="AS2512" s="4"/>
      <c r="AT2512" s="4"/>
      <c r="AU2512" s="27"/>
      <c r="AV2512" s="39"/>
      <c r="AW2512" s="4"/>
    </row>
    <row r="2513" spans="1:49" ht="14.5" x14ac:dyDescent="0.35">
      <c r="A2513" s="1"/>
      <c r="B2513" s="4"/>
      <c r="C2513" s="29"/>
      <c r="D2513" s="29"/>
      <c r="E2513" s="29"/>
      <c r="F2513" s="2"/>
      <c r="G2513" s="2"/>
      <c r="H2513" s="6"/>
      <c r="I2513" s="6"/>
      <c r="J2513" s="18"/>
      <c r="K2513" s="23"/>
      <c r="L2513" s="5"/>
      <c r="M2513" s="5"/>
      <c r="N2513" s="5"/>
      <c r="O2513" s="5"/>
      <c r="P2513" s="5"/>
      <c r="Q2513" s="5"/>
      <c r="R2513" s="5"/>
      <c r="S2513" s="5"/>
      <c r="T2513" s="5"/>
      <c r="U2513" s="5"/>
      <c r="V2513" s="5"/>
      <c r="W2513" s="5"/>
      <c r="X2513" s="23"/>
      <c r="Y2513" s="18"/>
      <c r="Z2513" s="23"/>
      <c r="AA2513" s="23"/>
      <c r="AB2513" s="5"/>
      <c r="AC2513" s="5"/>
      <c r="AD2513" s="5"/>
      <c r="AE2513" s="5"/>
      <c r="AF2513" s="5"/>
      <c r="AG2513" s="23"/>
      <c r="AH2513" s="5"/>
      <c r="AI2513" s="5"/>
      <c r="AJ2513" s="5"/>
      <c r="AK2513" s="5"/>
      <c r="AL2513" s="6"/>
      <c r="AM2513" s="5"/>
      <c r="AN2513" s="4"/>
      <c r="AO2513" s="4"/>
      <c r="AP2513" s="4"/>
      <c r="AQ2513" s="4"/>
      <c r="AR2513" s="4"/>
      <c r="AS2513" s="4"/>
      <c r="AT2513" s="4"/>
      <c r="AU2513" s="27"/>
      <c r="AV2513" s="39"/>
      <c r="AW2513" s="4"/>
    </row>
    <row r="2514" spans="1:49" ht="14.5" x14ac:dyDescent="0.35">
      <c r="A2514" s="1"/>
      <c r="B2514" s="4"/>
      <c r="C2514" s="29"/>
      <c r="D2514" s="29"/>
      <c r="E2514" s="29"/>
      <c r="F2514" s="2"/>
      <c r="G2514" s="2"/>
      <c r="H2514" s="6"/>
      <c r="I2514" s="6"/>
      <c r="J2514" s="18"/>
      <c r="K2514" s="23"/>
      <c r="L2514" s="5"/>
      <c r="M2514" s="5"/>
      <c r="N2514" s="5"/>
      <c r="O2514" s="5"/>
      <c r="P2514" s="5"/>
      <c r="Q2514" s="5"/>
      <c r="R2514" s="5"/>
      <c r="S2514" s="5"/>
      <c r="T2514" s="5"/>
      <c r="U2514" s="5"/>
      <c r="V2514" s="5"/>
      <c r="W2514" s="5"/>
      <c r="X2514" s="23"/>
      <c r="Y2514" s="18"/>
      <c r="Z2514" s="23"/>
      <c r="AA2514" s="23"/>
      <c r="AB2514" s="5"/>
      <c r="AC2514" s="5"/>
      <c r="AD2514" s="5"/>
      <c r="AE2514" s="5"/>
      <c r="AF2514" s="5"/>
      <c r="AG2514" s="23"/>
      <c r="AH2514" s="5"/>
      <c r="AI2514" s="5"/>
      <c r="AJ2514" s="5"/>
      <c r="AK2514" s="5"/>
      <c r="AL2514" s="6"/>
      <c r="AM2514" s="5"/>
      <c r="AN2514" s="4"/>
      <c r="AO2514" s="4"/>
      <c r="AP2514" s="4"/>
      <c r="AQ2514" s="4"/>
      <c r="AR2514" s="4"/>
      <c r="AS2514" s="4"/>
      <c r="AT2514" s="4"/>
      <c r="AU2514" s="27"/>
      <c r="AV2514" s="39"/>
      <c r="AW2514" s="4"/>
    </row>
    <row r="2515" spans="1:49" ht="14.5" x14ac:dyDescent="0.35">
      <c r="A2515" s="1"/>
      <c r="B2515" s="4"/>
      <c r="C2515" s="29"/>
      <c r="D2515" s="29"/>
      <c r="E2515" s="29"/>
      <c r="F2515" s="2"/>
      <c r="G2515" s="2"/>
      <c r="H2515" s="6"/>
      <c r="I2515" s="6"/>
      <c r="J2515" s="18"/>
      <c r="K2515" s="23"/>
      <c r="L2515" s="5"/>
      <c r="M2515" s="5"/>
      <c r="N2515" s="5"/>
      <c r="O2515" s="5"/>
      <c r="P2515" s="5"/>
      <c r="Q2515" s="5"/>
      <c r="R2515" s="5"/>
      <c r="S2515" s="5"/>
      <c r="T2515" s="5"/>
      <c r="U2515" s="5"/>
      <c r="V2515" s="5"/>
      <c r="W2515" s="5"/>
      <c r="X2515" s="23"/>
      <c r="Y2515" s="18"/>
      <c r="Z2515" s="23"/>
      <c r="AA2515" s="23"/>
      <c r="AB2515" s="5"/>
      <c r="AC2515" s="5"/>
      <c r="AD2515" s="5"/>
      <c r="AE2515" s="5"/>
      <c r="AF2515" s="5"/>
      <c r="AG2515" s="23"/>
      <c r="AH2515" s="5"/>
      <c r="AI2515" s="5"/>
      <c r="AJ2515" s="5"/>
      <c r="AK2515" s="5"/>
      <c r="AL2515" s="6"/>
      <c r="AM2515" s="5"/>
      <c r="AN2515" s="4"/>
      <c r="AO2515" s="4"/>
      <c r="AP2515" s="4"/>
      <c r="AQ2515" s="4"/>
      <c r="AR2515" s="4"/>
      <c r="AS2515" s="4"/>
      <c r="AT2515" s="4"/>
      <c r="AU2515" s="27"/>
      <c r="AV2515" s="39"/>
      <c r="AW2515" s="4"/>
    </row>
    <row r="2516" spans="1:49" ht="14.5" x14ac:dyDescent="0.35">
      <c r="A2516" s="1"/>
      <c r="B2516" s="4"/>
      <c r="C2516" s="29"/>
      <c r="D2516" s="29"/>
      <c r="E2516" s="29"/>
      <c r="F2516" s="2"/>
      <c r="G2516" s="2"/>
      <c r="H2516" s="6"/>
      <c r="I2516" s="6"/>
      <c r="J2516" s="18"/>
      <c r="K2516" s="23"/>
      <c r="L2516" s="5"/>
      <c r="M2516" s="5"/>
      <c r="N2516" s="5"/>
      <c r="O2516" s="5"/>
      <c r="P2516" s="5"/>
      <c r="Q2516" s="5"/>
      <c r="R2516" s="5"/>
      <c r="S2516" s="5"/>
      <c r="T2516" s="5"/>
      <c r="U2516" s="5"/>
      <c r="V2516" s="5"/>
      <c r="W2516" s="5"/>
      <c r="X2516" s="23"/>
      <c r="Y2516" s="18"/>
      <c r="Z2516" s="23"/>
      <c r="AA2516" s="23"/>
      <c r="AB2516" s="5"/>
      <c r="AC2516" s="5"/>
      <c r="AD2516" s="5"/>
      <c r="AE2516" s="5"/>
      <c r="AF2516" s="5"/>
      <c r="AG2516" s="23"/>
      <c r="AH2516" s="5"/>
      <c r="AI2516" s="5"/>
      <c r="AJ2516" s="5"/>
      <c r="AK2516" s="5"/>
      <c r="AL2516" s="6"/>
      <c r="AM2516" s="5"/>
      <c r="AN2516" s="4"/>
      <c r="AO2516" s="4"/>
      <c r="AP2516" s="4"/>
      <c r="AQ2516" s="4"/>
      <c r="AR2516" s="4"/>
      <c r="AS2516" s="4"/>
      <c r="AT2516" s="4"/>
      <c r="AU2516" s="27"/>
      <c r="AV2516" s="39"/>
      <c r="AW2516" s="4"/>
    </row>
    <row r="2517" spans="1:49" ht="14.5" x14ac:dyDescent="0.35">
      <c r="A2517" s="1"/>
      <c r="B2517" s="4"/>
      <c r="C2517" s="29"/>
      <c r="D2517" s="29"/>
      <c r="E2517" s="29"/>
      <c r="F2517" s="2"/>
      <c r="G2517" s="2"/>
      <c r="H2517" s="6"/>
      <c r="I2517" s="6"/>
      <c r="J2517" s="18"/>
      <c r="K2517" s="23"/>
      <c r="L2517" s="5"/>
      <c r="M2517" s="5"/>
      <c r="N2517" s="5"/>
      <c r="O2517" s="5"/>
      <c r="P2517" s="5"/>
      <c r="Q2517" s="5"/>
      <c r="R2517" s="5"/>
      <c r="S2517" s="5"/>
      <c r="T2517" s="5"/>
      <c r="U2517" s="5"/>
      <c r="V2517" s="5"/>
      <c r="W2517" s="5"/>
      <c r="X2517" s="23"/>
      <c r="Y2517" s="18"/>
      <c r="Z2517" s="23"/>
      <c r="AA2517" s="23"/>
      <c r="AB2517" s="5"/>
      <c r="AC2517" s="5"/>
      <c r="AD2517" s="5"/>
      <c r="AE2517" s="5"/>
      <c r="AF2517" s="5"/>
      <c r="AG2517" s="23"/>
      <c r="AH2517" s="5"/>
      <c r="AI2517" s="5"/>
      <c r="AJ2517" s="5"/>
      <c r="AK2517" s="5"/>
      <c r="AL2517" s="6"/>
      <c r="AM2517" s="5"/>
      <c r="AN2517" s="4"/>
      <c r="AO2517" s="4"/>
      <c r="AP2517" s="4"/>
      <c r="AQ2517" s="4"/>
      <c r="AR2517" s="4"/>
      <c r="AS2517" s="4"/>
      <c r="AT2517" s="4"/>
      <c r="AU2517" s="27"/>
      <c r="AV2517" s="39"/>
      <c r="AW2517" s="4"/>
    </row>
    <row r="2518" spans="1:49" ht="14.5" x14ac:dyDescent="0.35">
      <c r="A2518" s="1"/>
      <c r="B2518" s="4"/>
      <c r="C2518" s="29"/>
      <c r="D2518" s="29"/>
      <c r="E2518" s="29"/>
      <c r="F2518" s="2"/>
      <c r="G2518" s="2"/>
      <c r="H2518" s="6"/>
      <c r="I2518" s="6"/>
      <c r="J2518" s="18"/>
      <c r="K2518" s="23"/>
      <c r="L2518" s="5"/>
      <c r="M2518" s="5"/>
      <c r="N2518" s="5"/>
      <c r="O2518" s="5"/>
      <c r="P2518" s="5"/>
      <c r="Q2518" s="5"/>
      <c r="R2518" s="5"/>
      <c r="S2518" s="5"/>
      <c r="T2518" s="5"/>
      <c r="U2518" s="5"/>
      <c r="V2518" s="5"/>
      <c r="W2518" s="5"/>
      <c r="X2518" s="23"/>
      <c r="Y2518" s="18"/>
      <c r="Z2518" s="23"/>
      <c r="AA2518" s="23"/>
      <c r="AB2518" s="5"/>
      <c r="AC2518" s="5"/>
      <c r="AD2518" s="5"/>
      <c r="AE2518" s="5"/>
      <c r="AF2518" s="5"/>
      <c r="AG2518" s="23"/>
      <c r="AH2518" s="5"/>
      <c r="AI2518" s="5"/>
      <c r="AJ2518" s="5"/>
      <c r="AK2518" s="5"/>
      <c r="AL2518" s="6"/>
      <c r="AM2518" s="5"/>
      <c r="AN2518" s="4"/>
      <c r="AO2518" s="4"/>
      <c r="AP2518" s="4"/>
      <c r="AQ2518" s="4"/>
      <c r="AR2518" s="4"/>
      <c r="AS2518" s="4"/>
      <c r="AT2518" s="4"/>
      <c r="AU2518" s="27"/>
      <c r="AV2518" s="39"/>
      <c r="AW2518" s="4"/>
    </row>
    <row r="2519" spans="1:49" ht="14.5" x14ac:dyDescent="0.35">
      <c r="A2519" s="1"/>
      <c r="B2519" s="4"/>
      <c r="C2519" s="29"/>
      <c r="D2519" s="29"/>
      <c r="E2519" s="29"/>
      <c r="F2519" s="2"/>
      <c r="G2519" s="2"/>
      <c r="H2519" s="6"/>
      <c r="I2519" s="6"/>
      <c r="J2519" s="18"/>
      <c r="K2519" s="23"/>
      <c r="L2519" s="5"/>
      <c r="M2519" s="5"/>
      <c r="N2519" s="5"/>
      <c r="O2519" s="5"/>
      <c r="P2519" s="5"/>
      <c r="Q2519" s="5"/>
      <c r="R2519" s="5"/>
      <c r="S2519" s="5"/>
      <c r="T2519" s="5"/>
      <c r="U2519" s="5"/>
      <c r="V2519" s="5"/>
      <c r="W2519" s="5"/>
      <c r="X2519" s="23"/>
      <c r="Y2519" s="18"/>
      <c r="Z2519" s="23"/>
      <c r="AA2519" s="23"/>
      <c r="AB2519" s="5"/>
      <c r="AC2519" s="5"/>
      <c r="AD2519" s="5"/>
      <c r="AE2519" s="5"/>
      <c r="AF2519" s="5"/>
      <c r="AG2519" s="23"/>
      <c r="AH2519" s="5"/>
      <c r="AI2519" s="5"/>
      <c r="AJ2519" s="5"/>
      <c r="AK2519" s="5"/>
      <c r="AL2519" s="6"/>
      <c r="AM2519" s="5"/>
      <c r="AN2519" s="4"/>
      <c r="AO2519" s="4"/>
      <c r="AP2519" s="4"/>
      <c r="AQ2519" s="4"/>
      <c r="AR2519" s="4"/>
      <c r="AS2519" s="4"/>
      <c r="AT2519" s="4"/>
      <c r="AU2519" s="27"/>
      <c r="AV2519" s="39"/>
      <c r="AW2519" s="4"/>
    </row>
    <row r="2520" spans="1:49" ht="14.5" x14ac:dyDescent="0.35">
      <c r="A2520" s="1"/>
      <c r="B2520" s="4"/>
      <c r="C2520" s="29"/>
      <c r="D2520" s="29"/>
      <c r="E2520" s="29"/>
      <c r="F2520" s="2"/>
      <c r="G2520" s="2"/>
      <c r="H2520" s="6"/>
      <c r="I2520" s="6"/>
      <c r="J2520" s="18"/>
      <c r="K2520" s="23"/>
      <c r="L2520" s="5"/>
      <c r="M2520" s="5"/>
      <c r="N2520" s="5"/>
      <c r="O2520" s="5"/>
      <c r="P2520" s="5"/>
      <c r="Q2520" s="5"/>
      <c r="R2520" s="5"/>
      <c r="S2520" s="5"/>
      <c r="T2520" s="5"/>
      <c r="U2520" s="5"/>
      <c r="V2520" s="5"/>
      <c r="W2520" s="5"/>
      <c r="X2520" s="23"/>
      <c r="Y2520" s="18"/>
      <c r="Z2520" s="23"/>
      <c r="AA2520" s="23"/>
      <c r="AB2520" s="5"/>
      <c r="AC2520" s="5"/>
      <c r="AD2520" s="5"/>
      <c r="AE2520" s="5"/>
      <c r="AF2520" s="5"/>
      <c r="AG2520" s="23"/>
      <c r="AH2520" s="5"/>
      <c r="AI2520" s="5"/>
      <c r="AJ2520" s="5"/>
      <c r="AK2520" s="5"/>
      <c r="AL2520" s="6"/>
      <c r="AM2520" s="5"/>
      <c r="AN2520" s="4"/>
      <c r="AO2520" s="4"/>
      <c r="AP2520" s="4"/>
      <c r="AQ2520" s="4"/>
      <c r="AR2520" s="4"/>
      <c r="AS2520" s="4"/>
      <c r="AT2520" s="4"/>
      <c r="AU2520" s="27"/>
      <c r="AV2520" s="39"/>
      <c r="AW2520" s="4"/>
    </row>
    <row r="2521" spans="1:49" ht="14.5" x14ac:dyDescent="0.35">
      <c r="A2521" s="1"/>
      <c r="B2521" s="4"/>
      <c r="C2521" s="29"/>
      <c r="D2521" s="29"/>
      <c r="E2521" s="29"/>
      <c r="F2521" s="2"/>
      <c r="G2521" s="2"/>
      <c r="H2521" s="6"/>
      <c r="I2521" s="6"/>
      <c r="J2521" s="18"/>
      <c r="K2521" s="23"/>
      <c r="L2521" s="5"/>
      <c r="M2521" s="5"/>
      <c r="N2521" s="5"/>
      <c r="O2521" s="5"/>
      <c r="P2521" s="5"/>
      <c r="Q2521" s="5"/>
      <c r="R2521" s="5"/>
      <c r="S2521" s="5"/>
      <c r="T2521" s="5"/>
      <c r="U2521" s="5"/>
      <c r="V2521" s="5"/>
      <c r="W2521" s="5"/>
      <c r="X2521" s="23"/>
      <c r="Y2521" s="18"/>
      <c r="Z2521" s="23"/>
      <c r="AA2521" s="23"/>
      <c r="AB2521" s="5"/>
      <c r="AC2521" s="5"/>
      <c r="AD2521" s="5"/>
      <c r="AE2521" s="5"/>
      <c r="AF2521" s="5"/>
      <c r="AG2521" s="23"/>
      <c r="AH2521" s="5"/>
      <c r="AI2521" s="5"/>
      <c r="AJ2521" s="5"/>
      <c r="AK2521" s="5"/>
      <c r="AL2521" s="6"/>
      <c r="AM2521" s="5"/>
      <c r="AN2521" s="4"/>
      <c r="AO2521" s="4"/>
      <c r="AP2521" s="4"/>
      <c r="AQ2521" s="4"/>
      <c r="AR2521" s="4"/>
      <c r="AS2521" s="4"/>
      <c r="AT2521" s="4"/>
      <c r="AU2521" s="27"/>
      <c r="AV2521" s="39"/>
      <c r="AW2521" s="4"/>
    </row>
    <row r="2522" spans="1:49" ht="14.5" x14ac:dyDescent="0.35">
      <c r="A2522" s="1"/>
      <c r="B2522" s="4"/>
      <c r="C2522" s="29"/>
      <c r="D2522" s="29"/>
      <c r="E2522" s="29"/>
      <c r="F2522" s="2"/>
      <c r="G2522" s="2"/>
      <c r="H2522" s="6"/>
      <c r="I2522" s="6"/>
      <c r="J2522" s="18"/>
      <c r="K2522" s="23"/>
      <c r="L2522" s="5"/>
      <c r="M2522" s="5"/>
      <c r="N2522" s="5"/>
      <c r="O2522" s="5"/>
      <c r="P2522" s="5"/>
      <c r="Q2522" s="5"/>
      <c r="R2522" s="5"/>
      <c r="S2522" s="5"/>
      <c r="T2522" s="5"/>
      <c r="U2522" s="5"/>
      <c r="V2522" s="5"/>
      <c r="W2522" s="5"/>
      <c r="X2522" s="23"/>
      <c r="Y2522" s="18"/>
      <c r="Z2522" s="23"/>
      <c r="AA2522" s="23"/>
      <c r="AB2522" s="5"/>
      <c r="AC2522" s="5"/>
      <c r="AD2522" s="5"/>
      <c r="AE2522" s="5"/>
      <c r="AF2522" s="5"/>
      <c r="AG2522" s="23"/>
      <c r="AH2522" s="5"/>
      <c r="AI2522" s="5"/>
      <c r="AJ2522" s="5"/>
      <c r="AK2522" s="5"/>
      <c r="AL2522" s="6"/>
      <c r="AM2522" s="5"/>
      <c r="AN2522" s="4"/>
      <c r="AO2522" s="4"/>
      <c r="AP2522" s="4"/>
      <c r="AQ2522" s="4"/>
      <c r="AR2522" s="4"/>
      <c r="AS2522" s="4"/>
      <c r="AT2522" s="4"/>
      <c r="AU2522" s="27"/>
      <c r="AV2522" s="39"/>
      <c r="AW2522" s="4"/>
    </row>
    <row r="2523" spans="1:49" ht="14.5" x14ac:dyDescent="0.35">
      <c r="A2523" s="1"/>
      <c r="B2523" s="4"/>
      <c r="C2523" s="29"/>
      <c r="D2523" s="29"/>
      <c r="E2523" s="29"/>
      <c r="F2523" s="2"/>
      <c r="G2523" s="2"/>
      <c r="H2523" s="6"/>
      <c r="I2523" s="6"/>
      <c r="J2523" s="18"/>
      <c r="K2523" s="23"/>
      <c r="L2523" s="5"/>
      <c r="M2523" s="5"/>
      <c r="N2523" s="5"/>
      <c r="O2523" s="5"/>
      <c r="P2523" s="5"/>
      <c r="Q2523" s="5"/>
      <c r="R2523" s="5"/>
      <c r="S2523" s="5"/>
      <c r="T2523" s="5"/>
      <c r="U2523" s="5"/>
      <c r="V2523" s="5"/>
      <c r="W2523" s="5"/>
      <c r="X2523" s="23"/>
      <c r="Y2523" s="18"/>
      <c r="Z2523" s="23"/>
      <c r="AA2523" s="23"/>
      <c r="AB2523" s="5"/>
      <c r="AC2523" s="5"/>
      <c r="AD2523" s="5"/>
      <c r="AE2523" s="5"/>
      <c r="AF2523" s="5"/>
      <c r="AG2523" s="23"/>
      <c r="AH2523" s="5"/>
      <c r="AI2523" s="5"/>
      <c r="AJ2523" s="5"/>
      <c r="AK2523" s="5"/>
      <c r="AL2523" s="6"/>
      <c r="AM2523" s="5"/>
      <c r="AN2523" s="4"/>
      <c r="AO2523" s="4"/>
      <c r="AP2523" s="4"/>
      <c r="AQ2523" s="4"/>
      <c r="AR2523" s="4"/>
      <c r="AS2523" s="4"/>
      <c r="AT2523" s="4"/>
      <c r="AU2523" s="27"/>
      <c r="AV2523" s="39"/>
      <c r="AW2523" s="4"/>
    </row>
    <row r="2524" spans="1:49" ht="14.5" x14ac:dyDescent="0.35">
      <c r="A2524" s="1"/>
      <c r="B2524" s="4"/>
      <c r="C2524" s="29"/>
      <c r="D2524" s="29"/>
      <c r="E2524" s="29"/>
      <c r="F2524" s="2"/>
      <c r="G2524" s="2"/>
      <c r="H2524" s="6"/>
      <c r="I2524" s="6"/>
      <c r="J2524" s="18"/>
      <c r="K2524" s="23"/>
      <c r="L2524" s="5"/>
      <c r="M2524" s="5"/>
      <c r="N2524" s="5"/>
      <c r="O2524" s="5"/>
      <c r="P2524" s="5"/>
      <c r="Q2524" s="5"/>
      <c r="R2524" s="5"/>
      <c r="S2524" s="5"/>
      <c r="T2524" s="5"/>
      <c r="U2524" s="5"/>
      <c r="V2524" s="5"/>
      <c r="W2524" s="5"/>
      <c r="X2524" s="23"/>
      <c r="Y2524" s="18"/>
      <c r="Z2524" s="23"/>
      <c r="AA2524" s="23"/>
      <c r="AB2524" s="5"/>
      <c r="AC2524" s="5"/>
      <c r="AD2524" s="5"/>
      <c r="AE2524" s="5"/>
      <c r="AF2524" s="5"/>
      <c r="AG2524" s="23"/>
      <c r="AH2524" s="5"/>
      <c r="AI2524" s="5"/>
      <c r="AJ2524" s="5"/>
      <c r="AK2524" s="5"/>
      <c r="AL2524" s="6"/>
      <c r="AM2524" s="5"/>
      <c r="AN2524" s="4"/>
      <c r="AO2524" s="4"/>
      <c r="AP2524" s="4"/>
      <c r="AQ2524" s="4"/>
      <c r="AR2524" s="4"/>
      <c r="AS2524" s="4"/>
      <c r="AT2524" s="4"/>
      <c r="AU2524" s="27"/>
      <c r="AV2524" s="39"/>
      <c r="AW2524" s="4"/>
    </row>
    <row r="2525" spans="1:49" ht="14.5" x14ac:dyDescent="0.35">
      <c r="A2525" s="1"/>
      <c r="B2525" s="4"/>
      <c r="C2525" s="29"/>
      <c r="D2525" s="29"/>
      <c r="E2525" s="29"/>
      <c r="F2525" s="2"/>
      <c r="G2525" s="2"/>
      <c r="H2525" s="6"/>
      <c r="I2525" s="6"/>
      <c r="J2525" s="18"/>
      <c r="K2525" s="23"/>
      <c r="L2525" s="5"/>
      <c r="M2525" s="5"/>
      <c r="N2525" s="5"/>
      <c r="O2525" s="5"/>
      <c r="P2525" s="5"/>
      <c r="Q2525" s="5"/>
      <c r="R2525" s="5"/>
      <c r="S2525" s="5"/>
      <c r="T2525" s="5"/>
      <c r="U2525" s="5"/>
      <c r="V2525" s="5"/>
      <c r="W2525" s="5"/>
      <c r="X2525" s="23"/>
      <c r="Y2525" s="18"/>
      <c r="Z2525" s="23"/>
      <c r="AA2525" s="23"/>
      <c r="AB2525" s="5"/>
      <c r="AC2525" s="5"/>
      <c r="AD2525" s="5"/>
      <c r="AE2525" s="5"/>
      <c r="AF2525" s="5"/>
      <c r="AG2525" s="23"/>
      <c r="AH2525" s="5"/>
      <c r="AI2525" s="5"/>
      <c r="AJ2525" s="5"/>
      <c r="AK2525" s="5"/>
      <c r="AL2525" s="6"/>
      <c r="AM2525" s="5"/>
      <c r="AN2525" s="4"/>
      <c r="AO2525" s="4"/>
      <c r="AP2525" s="4"/>
      <c r="AQ2525" s="4"/>
      <c r="AR2525" s="4"/>
      <c r="AS2525" s="4"/>
      <c r="AT2525" s="4"/>
      <c r="AU2525" s="27"/>
      <c r="AV2525" s="39"/>
      <c r="AW2525" s="4"/>
    </row>
    <row r="2526" spans="1:49" ht="14.5" x14ac:dyDescent="0.35">
      <c r="A2526" s="1"/>
      <c r="B2526" s="4"/>
      <c r="C2526" s="29"/>
      <c r="D2526" s="29"/>
      <c r="E2526" s="29"/>
      <c r="F2526" s="2"/>
      <c r="G2526" s="2"/>
      <c r="H2526" s="6"/>
      <c r="I2526" s="6"/>
      <c r="J2526" s="18"/>
      <c r="K2526" s="23"/>
      <c r="L2526" s="5"/>
      <c r="M2526" s="5"/>
      <c r="N2526" s="5"/>
      <c r="O2526" s="5"/>
      <c r="P2526" s="5"/>
      <c r="Q2526" s="5"/>
      <c r="R2526" s="5"/>
      <c r="S2526" s="5"/>
      <c r="T2526" s="5"/>
      <c r="U2526" s="5"/>
      <c r="V2526" s="5"/>
      <c r="W2526" s="5"/>
      <c r="X2526" s="23"/>
      <c r="Y2526" s="18"/>
      <c r="Z2526" s="23"/>
      <c r="AA2526" s="23"/>
      <c r="AB2526" s="5"/>
      <c r="AC2526" s="5"/>
      <c r="AD2526" s="5"/>
      <c r="AE2526" s="5"/>
      <c r="AF2526" s="5"/>
      <c r="AG2526" s="23"/>
      <c r="AH2526" s="5"/>
      <c r="AI2526" s="5"/>
      <c r="AJ2526" s="5"/>
      <c r="AK2526" s="5"/>
      <c r="AL2526" s="6"/>
      <c r="AM2526" s="5"/>
      <c r="AN2526" s="4"/>
      <c r="AO2526" s="4"/>
      <c r="AP2526" s="4"/>
      <c r="AQ2526" s="4"/>
      <c r="AR2526" s="4"/>
      <c r="AS2526" s="4"/>
      <c r="AT2526" s="4"/>
      <c r="AU2526" s="27"/>
      <c r="AV2526" s="39"/>
      <c r="AW2526" s="4"/>
    </row>
    <row r="2527" spans="1:49" ht="14.5" x14ac:dyDescent="0.35">
      <c r="A2527" s="1"/>
      <c r="B2527" s="4"/>
      <c r="C2527" s="29"/>
      <c r="D2527" s="29"/>
      <c r="E2527" s="29"/>
      <c r="F2527" s="2"/>
      <c r="G2527" s="2"/>
      <c r="H2527" s="6"/>
      <c r="I2527" s="6"/>
      <c r="J2527" s="18"/>
      <c r="K2527" s="23"/>
      <c r="L2527" s="5"/>
      <c r="M2527" s="5"/>
      <c r="N2527" s="5"/>
      <c r="O2527" s="5"/>
      <c r="P2527" s="5"/>
      <c r="Q2527" s="5"/>
      <c r="R2527" s="5"/>
      <c r="S2527" s="5"/>
      <c r="T2527" s="5"/>
      <c r="U2527" s="5"/>
      <c r="V2527" s="5"/>
      <c r="W2527" s="5"/>
      <c r="X2527" s="23"/>
      <c r="Y2527" s="18"/>
      <c r="Z2527" s="23"/>
      <c r="AA2527" s="23"/>
      <c r="AB2527" s="5"/>
      <c r="AC2527" s="5"/>
      <c r="AD2527" s="5"/>
      <c r="AE2527" s="5"/>
      <c r="AF2527" s="5"/>
      <c r="AG2527" s="23"/>
      <c r="AH2527" s="5"/>
      <c r="AI2527" s="5"/>
      <c r="AJ2527" s="5"/>
      <c r="AK2527" s="5"/>
      <c r="AL2527" s="6"/>
      <c r="AM2527" s="5"/>
      <c r="AN2527" s="4"/>
      <c r="AO2527" s="4"/>
      <c r="AP2527" s="4"/>
      <c r="AQ2527" s="4"/>
      <c r="AR2527" s="4"/>
      <c r="AS2527" s="4"/>
      <c r="AT2527" s="4"/>
      <c r="AU2527" s="27"/>
      <c r="AV2527" s="39"/>
      <c r="AW2527" s="4"/>
    </row>
    <row r="2528" spans="1:49" ht="14.5" x14ac:dyDescent="0.35">
      <c r="A2528" s="1"/>
      <c r="B2528" s="4"/>
      <c r="C2528" s="29"/>
      <c r="D2528" s="29"/>
      <c r="E2528" s="29"/>
      <c r="F2528" s="2"/>
      <c r="G2528" s="2"/>
      <c r="H2528" s="6"/>
      <c r="I2528" s="6"/>
      <c r="J2528" s="18"/>
      <c r="K2528" s="23"/>
      <c r="L2528" s="5"/>
      <c r="M2528" s="5"/>
      <c r="N2528" s="5"/>
      <c r="O2528" s="5"/>
      <c r="P2528" s="5"/>
      <c r="Q2528" s="5"/>
      <c r="R2528" s="5"/>
      <c r="S2528" s="5"/>
      <c r="T2528" s="5"/>
      <c r="U2528" s="5"/>
      <c r="V2528" s="5"/>
      <c r="W2528" s="5"/>
      <c r="X2528" s="23"/>
      <c r="Y2528" s="18"/>
      <c r="Z2528" s="23"/>
      <c r="AA2528" s="23"/>
      <c r="AB2528" s="5"/>
      <c r="AC2528" s="5"/>
      <c r="AD2528" s="5"/>
      <c r="AE2528" s="5"/>
      <c r="AF2528" s="5"/>
      <c r="AG2528" s="23"/>
      <c r="AH2528" s="5"/>
      <c r="AI2528" s="5"/>
      <c r="AJ2528" s="5"/>
      <c r="AK2528" s="5"/>
      <c r="AL2528" s="6"/>
      <c r="AM2528" s="5"/>
      <c r="AN2528" s="4"/>
      <c r="AO2528" s="4"/>
      <c r="AP2528" s="4"/>
      <c r="AQ2528" s="4"/>
      <c r="AR2528" s="4"/>
      <c r="AS2528" s="4"/>
      <c r="AT2528" s="4"/>
      <c r="AU2528" s="27"/>
      <c r="AV2528" s="39"/>
      <c r="AW2528" s="4"/>
    </row>
    <row r="2529" spans="1:49" ht="14.5" x14ac:dyDescent="0.35">
      <c r="A2529" s="1"/>
      <c r="B2529" s="4"/>
      <c r="C2529" s="29"/>
      <c r="D2529" s="29"/>
      <c r="E2529" s="29"/>
      <c r="F2529" s="2"/>
      <c r="G2529" s="2"/>
      <c r="H2529" s="6"/>
      <c r="I2529" s="6"/>
      <c r="J2529" s="18"/>
      <c r="K2529" s="23"/>
      <c r="L2529" s="5"/>
      <c r="M2529" s="5"/>
      <c r="N2529" s="5"/>
      <c r="O2529" s="5"/>
      <c r="P2529" s="5"/>
      <c r="Q2529" s="5"/>
      <c r="R2529" s="5"/>
      <c r="S2529" s="5"/>
      <c r="T2529" s="5"/>
      <c r="U2529" s="5"/>
      <c r="V2529" s="5"/>
      <c r="W2529" s="5"/>
      <c r="X2529" s="23"/>
      <c r="Y2529" s="18"/>
      <c r="Z2529" s="23"/>
      <c r="AA2529" s="23"/>
      <c r="AB2529" s="5"/>
      <c r="AC2529" s="5"/>
      <c r="AD2529" s="5"/>
      <c r="AE2529" s="5"/>
      <c r="AF2529" s="5"/>
      <c r="AG2529" s="23"/>
      <c r="AH2529" s="5"/>
      <c r="AI2529" s="5"/>
      <c r="AJ2529" s="5"/>
      <c r="AK2529" s="5"/>
      <c r="AL2529" s="6"/>
      <c r="AM2529" s="5"/>
      <c r="AN2529" s="4"/>
      <c r="AO2529" s="4"/>
      <c r="AP2529" s="4"/>
      <c r="AQ2529" s="4"/>
      <c r="AR2529" s="4"/>
      <c r="AS2529" s="4"/>
      <c r="AT2529" s="4"/>
      <c r="AU2529" s="27"/>
      <c r="AV2529" s="39"/>
      <c r="AW2529" s="4"/>
    </row>
    <row r="2530" spans="1:49" ht="14.5" x14ac:dyDescent="0.35">
      <c r="A2530" s="1"/>
      <c r="B2530" s="4"/>
      <c r="C2530" s="29"/>
      <c r="D2530" s="29"/>
      <c r="E2530" s="29"/>
      <c r="F2530" s="2"/>
      <c r="G2530" s="2"/>
      <c r="H2530" s="6"/>
      <c r="I2530" s="6"/>
      <c r="J2530" s="18"/>
      <c r="K2530" s="23"/>
      <c r="L2530" s="5"/>
      <c r="M2530" s="5"/>
      <c r="N2530" s="5"/>
      <c r="O2530" s="5"/>
      <c r="P2530" s="5"/>
      <c r="Q2530" s="5"/>
      <c r="R2530" s="5"/>
      <c r="S2530" s="5"/>
      <c r="T2530" s="5"/>
      <c r="U2530" s="5"/>
      <c r="V2530" s="5"/>
      <c r="W2530" s="5"/>
      <c r="X2530" s="23"/>
      <c r="Y2530" s="18"/>
      <c r="Z2530" s="23"/>
      <c r="AA2530" s="23"/>
      <c r="AB2530" s="5"/>
      <c r="AC2530" s="5"/>
      <c r="AD2530" s="5"/>
      <c r="AE2530" s="5"/>
      <c r="AF2530" s="5"/>
      <c r="AG2530" s="23"/>
      <c r="AH2530" s="5"/>
      <c r="AI2530" s="5"/>
      <c r="AJ2530" s="5"/>
      <c r="AK2530" s="5"/>
      <c r="AL2530" s="6"/>
      <c r="AM2530" s="5"/>
      <c r="AN2530" s="4"/>
      <c r="AO2530" s="4"/>
      <c r="AP2530" s="4"/>
      <c r="AQ2530" s="4"/>
      <c r="AR2530" s="4"/>
      <c r="AS2530" s="4"/>
      <c r="AT2530" s="4"/>
      <c r="AU2530" s="27"/>
      <c r="AV2530" s="39"/>
      <c r="AW2530" s="4"/>
    </row>
    <row r="2531" spans="1:49" ht="14.5" x14ac:dyDescent="0.35">
      <c r="A2531" s="1"/>
      <c r="B2531" s="4"/>
      <c r="C2531" s="29"/>
      <c r="D2531" s="29"/>
      <c r="E2531" s="29"/>
      <c r="F2531" s="2"/>
      <c r="G2531" s="2"/>
      <c r="H2531" s="6"/>
      <c r="I2531" s="6"/>
      <c r="J2531" s="18"/>
      <c r="K2531" s="23"/>
      <c r="L2531" s="5"/>
      <c r="M2531" s="5"/>
      <c r="N2531" s="5"/>
      <c r="O2531" s="5"/>
      <c r="P2531" s="5"/>
      <c r="Q2531" s="5"/>
      <c r="R2531" s="5"/>
      <c r="S2531" s="5"/>
      <c r="T2531" s="5"/>
      <c r="U2531" s="5"/>
      <c r="V2531" s="5"/>
      <c r="W2531" s="5"/>
      <c r="X2531" s="23"/>
      <c r="Y2531" s="18"/>
      <c r="Z2531" s="23"/>
      <c r="AA2531" s="23"/>
      <c r="AB2531" s="5"/>
      <c r="AC2531" s="5"/>
      <c r="AD2531" s="5"/>
      <c r="AE2531" s="5"/>
      <c r="AF2531" s="5"/>
      <c r="AG2531" s="23"/>
      <c r="AH2531" s="5"/>
      <c r="AI2531" s="5"/>
      <c r="AJ2531" s="5"/>
      <c r="AK2531" s="5"/>
      <c r="AL2531" s="6"/>
      <c r="AM2531" s="5"/>
      <c r="AN2531" s="4"/>
      <c r="AO2531" s="4"/>
      <c r="AP2531" s="4"/>
      <c r="AQ2531" s="4"/>
      <c r="AR2531" s="4"/>
      <c r="AS2531" s="4"/>
      <c r="AT2531" s="4"/>
      <c r="AU2531" s="27"/>
      <c r="AV2531" s="39"/>
      <c r="AW2531" s="4"/>
    </row>
    <row r="2532" spans="1:49" ht="14.5" x14ac:dyDescent="0.35">
      <c r="A2532" s="1"/>
      <c r="B2532" s="4"/>
      <c r="C2532" s="29"/>
      <c r="D2532" s="29"/>
      <c r="E2532" s="29"/>
      <c r="F2532" s="2"/>
      <c r="G2532" s="2"/>
      <c r="H2532" s="6"/>
      <c r="I2532" s="6"/>
      <c r="J2532" s="18"/>
      <c r="K2532" s="23"/>
      <c r="L2532" s="5"/>
      <c r="M2532" s="5"/>
      <c r="N2532" s="5"/>
      <c r="O2532" s="5"/>
      <c r="P2532" s="5"/>
      <c r="Q2532" s="5"/>
      <c r="R2532" s="5"/>
      <c r="S2532" s="5"/>
      <c r="T2532" s="5"/>
      <c r="U2532" s="5"/>
      <c r="V2532" s="5"/>
      <c r="W2532" s="5"/>
      <c r="X2532" s="23"/>
      <c r="Y2532" s="18"/>
      <c r="Z2532" s="23"/>
      <c r="AA2532" s="23"/>
      <c r="AB2532" s="5"/>
      <c r="AC2532" s="5"/>
      <c r="AD2532" s="5"/>
      <c r="AE2532" s="5"/>
      <c r="AF2532" s="5"/>
      <c r="AG2532" s="23"/>
      <c r="AH2532" s="5"/>
      <c r="AI2532" s="5"/>
      <c r="AJ2532" s="5"/>
      <c r="AK2532" s="5"/>
      <c r="AL2532" s="6"/>
      <c r="AM2532" s="5"/>
      <c r="AN2532" s="4"/>
      <c r="AO2532" s="4"/>
      <c r="AP2532" s="4"/>
      <c r="AQ2532" s="4"/>
      <c r="AR2532" s="4"/>
      <c r="AS2532" s="4"/>
      <c r="AT2532" s="4"/>
      <c r="AU2532" s="27"/>
      <c r="AV2532" s="39"/>
      <c r="AW2532" s="4"/>
    </row>
    <row r="2533" spans="1:49" ht="14.5" x14ac:dyDescent="0.35">
      <c r="A2533" s="1"/>
      <c r="B2533" s="4"/>
      <c r="C2533" s="29"/>
      <c r="D2533" s="29"/>
      <c r="E2533" s="29"/>
      <c r="F2533" s="2"/>
      <c r="G2533" s="2"/>
      <c r="H2533" s="6"/>
      <c r="I2533" s="6"/>
      <c r="J2533" s="18"/>
      <c r="K2533" s="23"/>
      <c r="L2533" s="5"/>
      <c r="M2533" s="5"/>
      <c r="N2533" s="5"/>
      <c r="O2533" s="5"/>
      <c r="P2533" s="5"/>
      <c r="Q2533" s="5"/>
      <c r="R2533" s="5"/>
      <c r="S2533" s="5"/>
      <c r="T2533" s="5"/>
      <c r="U2533" s="5"/>
      <c r="V2533" s="5"/>
      <c r="W2533" s="5"/>
      <c r="X2533" s="23"/>
      <c r="Y2533" s="18"/>
      <c r="Z2533" s="23"/>
      <c r="AA2533" s="23"/>
      <c r="AB2533" s="5"/>
      <c r="AC2533" s="5"/>
      <c r="AD2533" s="5"/>
      <c r="AE2533" s="5"/>
      <c r="AF2533" s="5"/>
      <c r="AG2533" s="23"/>
      <c r="AH2533" s="5"/>
      <c r="AI2533" s="5"/>
      <c r="AJ2533" s="5"/>
      <c r="AK2533" s="5"/>
      <c r="AL2533" s="6"/>
      <c r="AM2533" s="5"/>
      <c r="AN2533" s="4"/>
      <c r="AO2533" s="4"/>
      <c r="AP2533" s="4"/>
      <c r="AQ2533" s="4"/>
      <c r="AR2533" s="4"/>
      <c r="AS2533" s="4"/>
      <c r="AT2533" s="4"/>
      <c r="AU2533" s="27"/>
      <c r="AV2533" s="39"/>
      <c r="AW2533" s="4"/>
    </row>
    <row r="2534" spans="1:49" ht="14.5" x14ac:dyDescent="0.35">
      <c r="A2534" s="1"/>
      <c r="B2534" s="4"/>
      <c r="C2534" s="29"/>
      <c r="D2534" s="29"/>
      <c r="E2534" s="29"/>
      <c r="F2534" s="2"/>
      <c r="G2534" s="2"/>
      <c r="H2534" s="6"/>
      <c r="I2534" s="6"/>
      <c r="J2534" s="18"/>
      <c r="K2534" s="23"/>
      <c r="L2534" s="5"/>
      <c r="M2534" s="5"/>
      <c r="N2534" s="5"/>
      <c r="O2534" s="5"/>
      <c r="P2534" s="5"/>
      <c r="Q2534" s="5"/>
      <c r="R2534" s="5"/>
      <c r="S2534" s="5"/>
      <c r="T2534" s="5"/>
      <c r="U2534" s="5"/>
      <c r="V2534" s="5"/>
      <c r="W2534" s="5"/>
      <c r="X2534" s="23"/>
      <c r="Y2534" s="18"/>
      <c r="Z2534" s="23"/>
      <c r="AA2534" s="23"/>
      <c r="AB2534" s="5"/>
      <c r="AC2534" s="5"/>
      <c r="AD2534" s="5"/>
      <c r="AE2534" s="5"/>
      <c r="AF2534" s="5"/>
      <c r="AG2534" s="23"/>
      <c r="AH2534" s="5"/>
      <c r="AI2534" s="5"/>
      <c r="AJ2534" s="5"/>
      <c r="AK2534" s="5"/>
      <c r="AL2534" s="6"/>
      <c r="AM2534" s="5"/>
      <c r="AN2534" s="4"/>
      <c r="AO2534" s="4"/>
      <c r="AP2534" s="4"/>
      <c r="AQ2534" s="4"/>
      <c r="AR2534" s="4"/>
      <c r="AS2534" s="4"/>
      <c r="AT2534" s="4"/>
      <c r="AU2534" s="27"/>
      <c r="AV2534" s="39"/>
      <c r="AW2534" s="4"/>
    </row>
    <row r="2535" spans="1:49" ht="14.5" x14ac:dyDescent="0.35">
      <c r="A2535" s="1"/>
      <c r="B2535" s="4"/>
      <c r="C2535" s="29"/>
      <c r="D2535" s="29"/>
      <c r="E2535" s="29"/>
      <c r="F2535" s="2"/>
      <c r="G2535" s="2"/>
      <c r="H2535" s="6"/>
      <c r="I2535" s="6"/>
      <c r="J2535" s="18"/>
      <c r="K2535" s="23"/>
      <c r="L2535" s="5"/>
      <c r="M2535" s="5"/>
      <c r="N2535" s="5"/>
      <c r="O2535" s="5"/>
      <c r="P2535" s="5"/>
      <c r="Q2535" s="5"/>
      <c r="R2535" s="5"/>
      <c r="S2535" s="5"/>
      <c r="T2535" s="5"/>
      <c r="U2535" s="5"/>
      <c r="V2535" s="5"/>
      <c r="W2535" s="5"/>
      <c r="X2535" s="23"/>
      <c r="Y2535" s="18"/>
      <c r="Z2535" s="23"/>
      <c r="AA2535" s="23"/>
      <c r="AB2535" s="5"/>
      <c r="AC2535" s="5"/>
      <c r="AD2535" s="5"/>
      <c r="AE2535" s="5"/>
      <c r="AF2535" s="5"/>
      <c r="AG2535" s="23"/>
      <c r="AH2535" s="5"/>
      <c r="AI2535" s="5"/>
      <c r="AJ2535" s="5"/>
      <c r="AK2535" s="5"/>
      <c r="AL2535" s="6"/>
      <c r="AM2535" s="5"/>
      <c r="AN2535" s="4"/>
      <c r="AO2535" s="4"/>
      <c r="AP2535" s="4"/>
      <c r="AQ2535" s="4"/>
      <c r="AR2535" s="4"/>
      <c r="AS2535" s="4"/>
      <c r="AT2535" s="4"/>
      <c r="AU2535" s="27"/>
      <c r="AV2535" s="39"/>
      <c r="AW2535" s="4"/>
    </row>
    <row r="2536" spans="1:49" ht="14.5" x14ac:dyDescent="0.35">
      <c r="A2536" s="1"/>
      <c r="B2536" s="4"/>
      <c r="C2536" s="29"/>
      <c r="D2536" s="29"/>
      <c r="E2536" s="29"/>
      <c r="F2536" s="2"/>
      <c r="G2536" s="2"/>
      <c r="H2536" s="6"/>
      <c r="I2536" s="6"/>
      <c r="J2536" s="18"/>
      <c r="K2536" s="23"/>
      <c r="L2536" s="5"/>
      <c r="M2536" s="5"/>
      <c r="N2536" s="5"/>
      <c r="O2536" s="5"/>
      <c r="P2536" s="5"/>
      <c r="Q2536" s="5"/>
      <c r="R2536" s="5"/>
      <c r="S2536" s="5"/>
      <c r="T2536" s="5"/>
      <c r="U2536" s="5"/>
      <c r="V2536" s="5"/>
      <c r="W2536" s="5"/>
      <c r="X2536" s="23"/>
      <c r="Y2536" s="18"/>
      <c r="Z2536" s="23"/>
      <c r="AA2536" s="23"/>
      <c r="AB2536" s="5"/>
      <c r="AC2536" s="5"/>
      <c r="AD2536" s="5"/>
      <c r="AE2536" s="5"/>
      <c r="AF2536" s="5"/>
      <c r="AG2536" s="23"/>
      <c r="AH2536" s="5"/>
      <c r="AI2536" s="5"/>
      <c r="AJ2536" s="5"/>
      <c r="AK2536" s="5"/>
      <c r="AL2536" s="6"/>
      <c r="AM2536" s="5"/>
      <c r="AN2536" s="4"/>
      <c r="AO2536" s="4"/>
      <c r="AP2536" s="4"/>
      <c r="AQ2536" s="4"/>
      <c r="AR2536" s="4"/>
      <c r="AS2536" s="4"/>
      <c r="AT2536" s="4"/>
      <c r="AU2536" s="27"/>
      <c r="AV2536" s="39"/>
      <c r="AW2536" s="4"/>
    </row>
    <row r="2537" spans="1:49" ht="14.5" x14ac:dyDescent="0.35">
      <c r="A2537" s="1"/>
      <c r="B2537" s="4"/>
      <c r="C2537" s="29"/>
      <c r="D2537" s="29"/>
      <c r="E2537" s="29"/>
      <c r="F2537" s="2"/>
      <c r="G2537" s="2"/>
      <c r="H2537" s="6"/>
      <c r="I2537" s="6"/>
      <c r="J2537" s="18"/>
      <c r="K2537" s="23"/>
      <c r="L2537" s="5"/>
      <c r="M2537" s="5"/>
      <c r="N2537" s="5"/>
      <c r="O2537" s="5"/>
      <c r="P2537" s="5"/>
      <c r="Q2537" s="5"/>
      <c r="R2537" s="5"/>
      <c r="S2537" s="5"/>
      <c r="T2537" s="5"/>
      <c r="U2537" s="5"/>
      <c r="V2537" s="5"/>
      <c r="W2537" s="5"/>
      <c r="X2537" s="23"/>
      <c r="Y2537" s="18"/>
      <c r="Z2537" s="23"/>
      <c r="AA2537" s="23"/>
      <c r="AB2537" s="5"/>
      <c r="AC2537" s="5"/>
      <c r="AD2537" s="5"/>
      <c r="AE2537" s="5"/>
      <c r="AF2537" s="5"/>
      <c r="AG2537" s="23"/>
      <c r="AH2537" s="5"/>
      <c r="AI2537" s="5"/>
      <c r="AJ2537" s="5"/>
      <c r="AK2537" s="5"/>
      <c r="AL2537" s="6"/>
      <c r="AM2537" s="5"/>
      <c r="AN2537" s="4"/>
      <c r="AO2537" s="4"/>
      <c r="AP2537" s="4"/>
      <c r="AQ2537" s="4"/>
      <c r="AR2537" s="4"/>
      <c r="AS2537" s="4"/>
      <c r="AT2537" s="4"/>
      <c r="AU2537" s="27"/>
      <c r="AV2537" s="39"/>
      <c r="AW2537" s="4"/>
    </row>
    <row r="2538" spans="1:49" ht="14.5" x14ac:dyDescent="0.35">
      <c r="A2538" s="1"/>
      <c r="B2538" s="4"/>
      <c r="C2538" s="29"/>
      <c r="D2538" s="29"/>
      <c r="E2538" s="29"/>
      <c r="F2538" s="2"/>
      <c r="G2538" s="2"/>
      <c r="H2538" s="6"/>
      <c r="I2538" s="6"/>
      <c r="J2538" s="18"/>
      <c r="K2538" s="23"/>
      <c r="L2538" s="5"/>
      <c r="M2538" s="5"/>
      <c r="N2538" s="5"/>
      <c r="O2538" s="5"/>
      <c r="P2538" s="5"/>
      <c r="Q2538" s="5"/>
      <c r="R2538" s="5"/>
      <c r="S2538" s="5"/>
      <c r="T2538" s="5"/>
      <c r="U2538" s="5"/>
      <c r="V2538" s="5"/>
      <c r="W2538" s="5"/>
      <c r="X2538" s="23"/>
      <c r="Y2538" s="18"/>
      <c r="Z2538" s="23"/>
      <c r="AA2538" s="23"/>
      <c r="AB2538" s="5"/>
      <c r="AC2538" s="5"/>
      <c r="AD2538" s="5"/>
      <c r="AE2538" s="5"/>
      <c r="AF2538" s="5"/>
      <c r="AG2538" s="23"/>
      <c r="AH2538" s="5"/>
      <c r="AI2538" s="5"/>
      <c r="AJ2538" s="5"/>
      <c r="AK2538" s="5"/>
      <c r="AL2538" s="6"/>
      <c r="AM2538" s="5"/>
      <c r="AN2538" s="4"/>
      <c r="AO2538" s="4"/>
      <c r="AP2538" s="4"/>
      <c r="AQ2538" s="4"/>
      <c r="AR2538" s="4"/>
      <c r="AS2538" s="4"/>
      <c r="AT2538" s="4"/>
      <c r="AU2538" s="27"/>
      <c r="AV2538" s="39"/>
      <c r="AW2538" s="4"/>
    </row>
    <row r="2539" spans="1:49" ht="14.5" x14ac:dyDescent="0.35">
      <c r="A2539" s="1"/>
      <c r="B2539" s="4"/>
      <c r="C2539" s="29"/>
      <c r="D2539" s="29"/>
      <c r="E2539" s="29"/>
      <c r="F2539" s="2"/>
      <c r="G2539" s="2"/>
      <c r="H2539" s="6"/>
      <c r="I2539" s="6"/>
      <c r="J2539" s="18"/>
      <c r="K2539" s="23"/>
      <c r="L2539" s="5"/>
      <c r="M2539" s="5"/>
      <c r="N2539" s="5"/>
      <c r="O2539" s="5"/>
      <c r="P2539" s="5"/>
      <c r="Q2539" s="5"/>
      <c r="R2539" s="5"/>
      <c r="S2539" s="5"/>
      <c r="T2539" s="5"/>
      <c r="U2539" s="5"/>
      <c r="V2539" s="5"/>
      <c r="W2539" s="5"/>
      <c r="X2539" s="23"/>
      <c r="Y2539" s="18"/>
      <c r="Z2539" s="23"/>
      <c r="AA2539" s="23"/>
      <c r="AB2539" s="5"/>
      <c r="AC2539" s="5"/>
      <c r="AD2539" s="5"/>
      <c r="AE2539" s="5"/>
      <c r="AF2539" s="5"/>
      <c r="AG2539" s="23"/>
      <c r="AH2539" s="5"/>
      <c r="AI2539" s="5"/>
      <c r="AJ2539" s="5"/>
      <c r="AK2539" s="5"/>
      <c r="AL2539" s="6"/>
      <c r="AM2539" s="5"/>
      <c r="AN2539" s="4"/>
      <c r="AO2539" s="4"/>
      <c r="AP2539" s="4"/>
      <c r="AQ2539" s="4"/>
      <c r="AR2539" s="4"/>
      <c r="AS2539" s="4"/>
      <c r="AT2539" s="4"/>
      <c r="AU2539" s="27"/>
      <c r="AV2539" s="39"/>
      <c r="AW2539" s="4"/>
    </row>
    <row r="2540" spans="1:49" ht="14.5" x14ac:dyDescent="0.35">
      <c r="A2540" s="1"/>
      <c r="B2540" s="4"/>
      <c r="C2540" s="29"/>
      <c r="D2540" s="29"/>
      <c r="E2540" s="29"/>
      <c r="F2540" s="2"/>
      <c r="G2540" s="2"/>
      <c r="H2540" s="6"/>
      <c r="I2540" s="6"/>
      <c r="J2540" s="18"/>
      <c r="K2540" s="23"/>
      <c r="L2540" s="5"/>
      <c r="M2540" s="5"/>
      <c r="N2540" s="5"/>
      <c r="O2540" s="5"/>
      <c r="P2540" s="5"/>
      <c r="Q2540" s="5"/>
      <c r="R2540" s="5"/>
      <c r="S2540" s="5"/>
      <c r="T2540" s="5"/>
      <c r="U2540" s="5"/>
      <c r="V2540" s="5"/>
      <c r="W2540" s="5"/>
      <c r="X2540" s="23"/>
      <c r="Y2540" s="18"/>
      <c r="Z2540" s="23"/>
      <c r="AA2540" s="23"/>
      <c r="AB2540" s="5"/>
      <c r="AC2540" s="5"/>
      <c r="AD2540" s="5"/>
      <c r="AE2540" s="5"/>
      <c r="AF2540" s="5"/>
      <c r="AG2540" s="23"/>
      <c r="AH2540" s="5"/>
      <c r="AI2540" s="5"/>
      <c r="AJ2540" s="5"/>
      <c r="AK2540" s="5"/>
      <c r="AL2540" s="6"/>
      <c r="AM2540" s="5"/>
      <c r="AN2540" s="4"/>
      <c r="AO2540" s="4"/>
      <c r="AP2540" s="4"/>
      <c r="AQ2540" s="4"/>
      <c r="AR2540" s="4"/>
      <c r="AS2540" s="4"/>
      <c r="AT2540" s="4"/>
      <c r="AU2540" s="27"/>
      <c r="AV2540" s="39"/>
      <c r="AW2540" s="4"/>
    </row>
    <row r="2541" spans="1:49" ht="14.5" x14ac:dyDescent="0.35">
      <c r="A2541" s="1"/>
      <c r="B2541" s="4"/>
      <c r="C2541" s="29"/>
      <c r="D2541" s="29"/>
      <c r="E2541" s="29"/>
      <c r="F2541" s="2"/>
      <c r="G2541" s="2"/>
      <c r="H2541" s="6"/>
      <c r="I2541" s="6"/>
      <c r="J2541" s="18"/>
      <c r="K2541" s="23"/>
      <c r="L2541" s="5"/>
      <c r="M2541" s="5"/>
      <c r="N2541" s="5"/>
      <c r="O2541" s="5"/>
      <c r="P2541" s="5"/>
      <c r="Q2541" s="5"/>
      <c r="R2541" s="5"/>
      <c r="S2541" s="5"/>
      <c r="T2541" s="5"/>
      <c r="U2541" s="5"/>
      <c r="V2541" s="5"/>
      <c r="W2541" s="5"/>
      <c r="X2541" s="23"/>
      <c r="Y2541" s="18"/>
      <c r="Z2541" s="23"/>
      <c r="AA2541" s="23"/>
      <c r="AB2541" s="5"/>
      <c r="AC2541" s="5"/>
      <c r="AD2541" s="5"/>
      <c r="AE2541" s="5"/>
      <c r="AF2541" s="5"/>
      <c r="AG2541" s="23"/>
      <c r="AH2541" s="5"/>
      <c r="AI2541" s="5"/>
      <c r="AJ2541" s="5"/>
      <c r="AK2541" s="5"/>
      <c r="AL2541" s="6"/>
      <c r="AM2541" s="5"/>
      <c r="AN2541" s="4"/>
      <c r="AO2541" s="4"/>
      <c r="AP2541" s="4"/>
      <c r="AQ2541" s="4"/>
      <c r="AR2541" s="4"/>
      <c r="AS2541" s="4"/>
      <c r="AT2541" s="4"/>
      <c r="AU2541" s="27"/>
      <c r="AV2541" s="39"/>
      <c r="AW2541" s="4"/>
    </row>
    <row r="2542" spans="1:49" ht="14.5" x14ac:dyDescent="0.35">
      <c r="A2542" s="1"/>
      <c r="B2542" s="4"/>
      <c r="C2542" s="29"/>
      <c r="D2542" s="29"/>
      <c r="E2542" s="29"/>
      <c r="F2542" s="2"/>
      <c r="G2542" s="2"/>
      <c r="H2542" s="6"/>
      <c r="I2542" s="6"/>
      <c r="J2542" s="18"/>
      <c r="K2542" s="23"/>
      <c r="L2542" s="5"/>
      <c r="M2542" s="5"/>
      <c r="N2542" s="5"/>
      <c r="O2542" s="5"/>
      <c r="P2542" s="5"/>
      <c r="Q2542" s="5"/>
      <c r="R2542" s="5"/>
      <c r="S2542" s="5"/>
      <c r="T2542" s="5"/>
      <c r="U2542" s="5"/>
      <c r="V2542" s="5"/>
      <c r="W2542" s="5"/>
      <c r="X2542" s="23"/>
      <c r="Y2542" s="18"/>
      <c r="Z2542" s="23"/>
      <c r="AA2542" s="23"/>
      <c r="AB2542" s="5"/>
      <c r="AC2542" s="5"/>
      <c r="AD2542" s="5"/>
      <c r="AE2542" s="5"/>
      <c r="AF2542" s="5"/>
      <c r="AG2542" s="23"/>
      <c r="AH2542" s="5"/>
      <c r="AI2542" s="5"/>
      <c r="AJ2542" s="5"/>
      <c r="AK2542" s="5"/>
      <c r="AL2542" s="6"/>
      <c r="AM2542" s="5"/>
      <c r="AN2542" s="4"/>
      <c r="AO2542" s="4"/>
      <c r="AP2542" s="4"/>
      <c r="AQ2542" s="4"/>
      <c r="AR2542" s="4"/>
      <c r="AS2542" s="4"/>
      <c r="AT2542" s="4"/>
      <c r="AU2542" s="27"/>
      <c r="AV2542" s="39"/>
      <c r="AW2542" s="4"/>
    </row>
    <row r="2543" spans="1:49" ht="14.5" x14ac:dyDescent="0.35">
      <c r="A2543" s="1"/>
      <c r="B2543" s="4"/>
      <c r="C2543" s="29"/>
      <c r="D2543" s="29"/>
      <c r="E2543" s="29"/>
      <c r="F2543" s="2"/>
      <c r="G2543" s="2"/>
      <c r="H2543" s="6"/>
      <c r="I2543" s="6"/>
      <c r="J2543" s="18"/>
      <c r="K2543" s="23"/>
      <c r="L2543" s="5"/>
      <c r="M2543" s="5"/>
      <c r="N2543" s="5"/>
      <c r="O2543" s="5"/>
      <c r="P2543" s="5"/>
      <c r="Q2543" s="5"/>
      <c r="R2543" s="5"/>
      <c r="S2543" s="5"/>
      <c r="T2543" s="5"/>
      <c r="U2543" s="5"/>
      <c r="V2543" s="5"/>
      <c r="W2543" s="5"/>
      <c r="X2543" s="23"/>
      <c r="Y2543" s="18"/>
      <c r="Z2543" s="23"/>
      <c r="AA2543" s="23"/>
      <c r="AB2543" s="5"/>
      <c r="AC2543" s="5"/>
      <c r="AD2543" s="5"/>
      <c r="AE2543" s="5"/>
      <c r="AF2543" s="5"/>
      <c r="AG2543" s="23"/>
      <c r="AH2543" s="5"/>
      <c r="AI2543" s="5"/>
      <c r="AJ2543" s="5"/>
      <c r="AK2543" s="5"/>
      <c r="AL2543" s="6"/>
      <c r="AM2543" s="5"/>
      <c r="AN2543" s="4"/>
      <c r="AO2543" s="4"/>
      <c r="AP2543" s="4"/>
      <c r="AQ2543" s="4"/>
      <c r="AR2543" s="4"/>
      <c r="AS2543" s="4"/>
      <c r="AT2543" s="4"/>
      <c r="AU2543" s="27"/>
      <c r="AV2543" s="39"/>
      <c r="AW2543" s="4"/>
    </row>
    <row r="2544" spans="1:49" ht="14.5" x14ac:dyDescent="0.35">
      <c r="A2544" s="1"/>
      <c r="B2544" s="4"/>
      <c r="C2544" s="29"/>
      <c r="D2544" s="29"/>
      <c r="E2544" s="29"/>
      <c r="F2544" s="2"/>
      <c r="G2544" s="2"/>
      <c r="H2544" s="6"/>
      <c r="I2544" s="6"/>
      <c r="J2544" s="18"/>
      <c r="K2544" s="23"/>
      <c r="L2544" s="5"/>
      <c r="M2544" s="5"/>
      <c r="N2544" s="5"/>
      <c r="O2544" s="5"/>
      <c r="P2544" s="5"/>
      <c r="Q2544" s="5"/>
      <c r="R2544" s="5"/>
      <c r="S2544" s="5"/>
      <c r="T2544" s="5"/>
      <c r="U2544" s="5"/>
      <c r="V2544" s="5"/>
      <c r="W2544" s="5"/>
      <c r="X2544" s="23"/>
      <c r="Y2544" s="18"/>
      <c r="Z2544" s="23"/>
      <c r="AA2544" s="23"/>
      <c r="AB2544" s="5"/>
      <c r="AC2544" s="5"/>
      <c r="AD2544" s="5"/>
      <c r="AE2544" s="5"/>
      <c r="AF2544" s="5"/>
      <c r="AG2544" s="23"/>
      <c r="AH2544" s="5"/>
      <c r="AI2544" s="5"/>
      <c r="AJ2544" s="5"/>
      <c r="AK2544" s="5"/>
      <c r="AL2544" s="6"/>
      <c r="AM2544" s="5"/>
      <c r="AN2544" s="4"/>
      <c r="AO2544" s="4"/>
      <c r="AP2544" s="4"/>
      <c r="AQ2544" s="4"/>
      <c r="AR2544" s="4"/>
      <c r="AS2544" s="4"/>
      <c r="AT2544" s="4"/>
      <c r="AU2544" s="27"/>
      <c r="AV2544" s="39"/>
      <c r="AW2544" s="4"/>
    </row>
    <row r="2545" spans="1:49" ht="14.5" x14ac:dyDescent="0.35">
      <c r="A2545" s="1"/>
      <c r="B2545" s="4"/>
      <c r="C2545" s="29"/>
      <c r="D2545" s="29"/>
      <c r="E2545" s="29"/>
      <c r="F2545" s="2"/>
      <c r="G2545" s="2"/>
      <c r="H2545" s="6"/>
      <c r="I2545" s="6"/>
      <c r="J2545" s="18"/>
      <c r="K2545" s="23"/>
      <c r="L2545" s="5"/>
      <c r="M2545" s="5"/>
      <c r="N2545" s="5"/>
      <c r="O2545" s="5"/>
      <c r="P2545" s="5"/>
      <c r="Q2545" s="5"/>
      <c r="R2545" s="5"/>
      <c r="S2545" s="5"/>
      <c r="T2545" s="5"/>
      <c r="U2545" s="5"/>
      <c r="V2545" s="5"/>
      <c r="W2545" s="5"/>
      <c r="X2545" s="23"/>
      <c r="Y2545" s="18"/>
      <c r="Z2545" s="23"/>
      <c r="AA2545" s="23"/>
      <c r="AB2545" s="5"/>
      <c r="AC2545" s="5"/>
      <c r="AD2545" s="5"/>
      <c r="AE2545" s="5"/>
      <c r="AF2545" s="5"/>
      <c r="AG2545" s="23"/>
      <c r="AH2545" s="5"/>
      <c r="AI2545" s="5"/>
      <c r="AJ2545" s="5"/>
      <c r="AK2545" s="5"/>
      <c r="AL2545" s="6"/>
      <c r="AM2545" s="5"/>
      <c r="AN2545" s="4"/>
      <c r="AO2545" s="4"/>
      <c r="AP2545" s="4"/>
      <c r="AQ2545" s="4"/>
      <c r="AR2545" s="4"/>
      <c r="AS2545" s="4"/>
      <c r="AT2545" s="4"/>
      <c r="AU2545" s="27"/>
      <c r="AV2545" s="39"/>
      <c r="AW2545" s="4"/>
    </row>
    <row r="2546" spans="1:49" ht="14.5" x14ac:dyDescent="0.35">
      <c r="A2546" s="1"/>
      <c r="B2546" s="4"/>
      <c r="C2546" s="29"/>
      <c r="D2546" s="29"/>
      <c r="E2546" s="29"/>
      <c r="F2546" s="2"/>
      <c r="G2546" s="2"/>
      <c r="H2546" s="6"/>
      <c r="I2546" s="6"/>
      <c r="J2546" s="18"/>
      <c r="K2546" s="23"/>
      <c r="L2546" s="5"/>
      <c r="M2546" s="5"/>
      <c r="N2546" s="5"/>
      <c r="O2546" s="5"/>
      <c r="P2546" s="5"/>
      <c r="Q2546" s="5"/>
      <c r="R2546" s="5"/>
      <c r="S2546" s="5"/>
      <c r="T2546" s="5"/>
      <c r="U2546" s="5"/>
      <c r="V2546" s="5"/>
      <c r="W2546" s="5"/>
      <c r="X2546" s="23"/>
      <c r="Y2546" s="18"/>
      <c r="Z2546" s="23"/>
      <c r="AA2546" s="23"/>
      <c r="AB2546" s="5"/>
      <c r="AC2546" s="5"/>
      <c r="AD2546" s="5"/>
      <c r="AE2546" s="5"/>
      <c r="AF2546" s="5"/>
      <c r="AG2546" s="23"/>
      <c r="AH2546" s="5"/>
      <c r="AI2546" s="5"/>
      <c r="AJ2546" s="5"/>
      <c r="AK2546" s="5"/>
      <c r="AL2546" s="6"/>
      <c r="AM2546" s="5"/>
      <c r="AN2546" s="4"/>
      <c r="AO2546" s="4"/>
      <c r="AP2546" s="4"/>
      <c r="AQ2546" s="4"/>
      <c r="AR2546" s="4"/>
      <c r="AS2546" s="4"/>
      <c r="AT2546" s="4"/>
      <c r="AU2546" s="27"/>
      <c r="AV2546" s="39"/>
      <c r="AW2546" s="4"/>
    </row>
    <row r="2547" spans="1:49" ht="14.5" x14ac:dyDescent="0.35">
      <c r="A2547" s="1"/>
      <c r="B2547" s="4"/>
      <c r="C2547" s="29"/>
      <c r="D2547" s="29"/>
      <c r="E2547" s="29"/>
      <c r="F2547" s="2"/>
      <c r="G2547" s="2"/>
      <c r="H2547" s="6"/>
      <c r="I2547" s="6"/>
      <c r="J2547" s="18"/>
      <c r="K2547" s="23"/>
      <c r="L2547" s="5"/>
      <c r="M2547" s="5"/>
      <c r="N2547" s="5"/>
      <c r="O2547" s="5"/>
      <c r="P2547" s="5"/>
      <c r="Q2547" s="5"/>
      <c r="R2547" s="5"/>
      <c r="S2547" s="5"/>
      <c r="T2547" s="5"/>
      <c r="U2547" s="5"/>
      <c r="V2547" s="5"/>
      <c r="W2547" s="5"/>
      <c r="X2547" s="23"/>
      <c r="Y2547" s="18"/>
      <c r="Z2547" s="23"/>
      <c r="AA2547" s="23"/>
      <c r="AB2547" s="5"/>
      <c r="AC2547" s="5"/>
      <c r="AD2547" s="5"/>
      <c r="AE2547" s="5"/>
      <c r="AF2547" s="5"/>
      <c r="AG2547" s="23"/>
      <c r="AH2547" s="5"/>
      <c r="AI2547" s="5"/>
      <c r="AJ2547" s="5"/>
      <c r="AK2547" s="5"/>
      <c r="AL2547" s="6"/>
      <c r="AM2547" s="5"/>
      <c r="AN2547" s="4"/>
      <c r="AO2547" s="4"/>
      <c r="AP2547" s="4"/>
      <c r="AQ2547" s="4"/>
      <c r="AR2547" s="4"/>
      <c r="AS2547" s="4"/>
      <c r="AT2547" s="4"/>
      <c r="AU2547" s="27"/>
      <c r="AV2547" s="39"/>
      <c r="AW2547" s="4"/>
    </row>
    <row r="2548" spans="1:49" ht="14.5" x14ac:dyDescent="0.35">
      <c r="A2548" s="1"/>
      <c r="B2548" s="4"/>
      <c r="C2548" s="29"/>
      <c r="D2548" s="29"/>
      <c r="E2548" s="29"/>
      <c r="F2548" s="2"/>
      <c r="G2548" s="2"/>
      <c r="H2548" s="6"/>
      <c r="I2548" s="6"/>
      <c r="J2548" s="18"/>
      <c r="K2548" s="23"/>
      <c r="L2548" s="5"/>
      <c r="M2548" s="5"/>
      <c r="N2548" s="5"/>
      <c r="O2548" s="5"/>
      <c r="P2548" s="5"/>
      <c r="Q2548" s="5"/>
      <c r="R2548" s="5"/>
      <c r="S2548" s="5"/>
      <c r="T2548" s="5"/>
      <c r="U2548" s="5"/>
      <c r="V2548" s="5"/>
      <c r="W2548" s="5"/>
      <c r="X2548" s="23"/>
      <c r="Y2548" s="18"/>
      <c r="Z2548" s="23"/>
      <c r="AA2548" s="23"/>
      <c r="AB2548" s="5"/>
      <c r="AC2548" s="5"/>
      <c r="AD2548" s="5"/>
      <c r="AE2548" s="5"/>
      <c r="AF2548" s="5"/>
      <c r="AG2548" s="23"/>
      <c r="AH2548" s="5"/>
      <c r="AI2548" s="5"/>
      <c r="AJ2548" s="5"/>
      <c r="AK2548" s="5"/>
      <c r="AL2548" s="6"/>
      <c r="AM2548" s="5"/>
      <c r="AN2548" s="4"/>
      <c r="AO2548" s="4"/>
      <c r="AP2548" s="4"/>
      <c r="AQ2548" s="4"/>
      <c r="AR2548" s="4"/>
      <c r="AS2548" s="4"/>
      <c r="AT2548" s="4"/>
      <c r="AU2548" s="27"/>
      <c r="AV2548" s="39"/>
      <c r="AW2548" s="4"/>
    </row>
    <row r="2549" spans="1:49" ht="14.5" x14ac:dyDescent="0.35">
      <c r="A2549" s="1"/>
      <c r="B2549" s="4"/>
      <c r="C2549" s="29"/>
      <c r="D2549" s="29"/>
      <c r="E2549" s="29"/>
      <c r="F2549" s="2"/>
      <c r="G2549" s="2"/>
      <c r="H2549" s="6"/>
      <c r="I2549" s="6"/>
      <c r="J2549" s="18"/>
      <c r="K2549" s="23"/>
      <c r="L2549" s="5"/>
      <c r="M2549" s="5"/>
      <c r="N2549" s="5"/>
      <c r="O2549" s="5"/>
      <c r="P2549" s="5"/>
      <c r="Q2549" s="5"/>
      <c r="R2549" s="5"/>
      <c r="S2549" s="5"/>
      <c r="T2549" s="5"/>
      <c r="U2549" s="5"/>
      <c r="V2549" s="5"/>
      <c r="W2549" s="5"/>
      <c r="X2549" s="23"/>
      <c r="Y2549" s="18"/>
      <c r="Z2549" s="23"/>
      <c r="AA2549" s="23"/>
      <c r="AB2549" s="5"/>
      <c r="AC2549" s="5"/>
      <c r="AD2549" s="5"/>
      <c r="AE2549" s="5"/>
      <c r="AF2549" s="5"/>
      <c r="AG2549" s="23"/>
      <c r="AH2549" s="5"/>
      <c r="AI2549" s="5"/>
      <c r="AJ2549" s="5"/>
      <c r="AK2549" s="5"/>
      <c r="AL2549" s="6"/>
      <c r="AM2549" s="5"/>
      <c r="AN2549" s="4"/>
      <c r="AO2549" s="4"/>
      <c r="AP2549" s="4"/>
      <c r="AQ2549" s="4"/>
      <c r="AR2549" s="4"/>
      <c r="AS2549" s="4"/>
      <c r="AT2549" s="4"/>
      <c r="AU2549" s="27"/>
      <c r="AV2549" s="39"/>
      <c r="AW2549" s="4"/>
    </row>
    <row r="2550" spans="1:49" ht="14.5" x14ac:dyDescent="0.35">
      <c r="A2550" s="1"/>
      <c r="B2550" s="4"/>
      <c r="C2550" s="29"/>
      <c r="D2550" s="29"/>
      <c r="E2550" s="29"/>
      <c r="F2550" s="2"/>
      <c r="G2550" s="2"/>
      <c r="H2550" s="6"/>
      <c r="I2550" s="6"/>
      <c r="J2550" s="18"/>
      <c r="K2550" s="23"/>
      <c r="L2550" s="5"/>
      <c r="M2550" s="5"/>
      <c r="N2550" s="5"/>
      <c r="O2550" s="5"/>
      <c r="P2550" s="5"/>
      <c r="Q2550" s="5"/>
      <c r="R2550" s="5"/>
      <c r="S2550" s="5"/>
      <c r="T2550" s="5"/>
      <c r="U2550" s="5"/>
      <c r="V2550" s="5"/>
      <c r="W2550" s="5"/>
      <c r="X2550" s="23"/>
      <c r="Y2550" s="18"/>
      <c r="Z2550" s="23"/>
      <c r="AA2550" s="23"/>
      <c r="AB2550" s="5"/>
      <c r="AC2550" s="5"/>
      <c r="AD2550" s="5"/>
      <c r="AE2550" s="5"/>
      <c r="AF2550" s="5"/>
      <c r="AG2550" s="23"/>
      <c r="AH2550" s="5"/>
      <c r="AI2550" s="5"/>
      <c r="AJ2550" s="5"/>
      <c r="AK2550" s="5"/>
      <c r="AL2550" s="6"/>
      <c r="AM2550" s="5"/>
      <c r="AN2550" s="4"/>
      <c r="AO2550" s="4"/>
      <c r="AP2550" s="4"/>
      <c r="AQ2550" s="4"/>
      <c r="AR2550" s="4"/>
      <c r="AS2550" s="4"/>
      <c r="AT2550" s="4"/>
      <c r="AU2550" s="27"/>
      <c r="AV2550" s="39"/>
      <c r="AW2550" s="4"/>
    </row>
    <row r="2551" spans="1:49" ht="14.5" x14ac:dyDescent="0.35">
      <c r="A2551" s="1"/>
      <c r="B2551" s="4"/>
      <c r="C2551" s="29"/>
      <c r="D2551" s="29"/>
      <c r="E2551" s="29"/>
      <c r="F2551" s="2"/>
      <c r="G2551" s="2"/>
      <c r="H2551" s="6"/>
      <c r="I2551" s="6"/>
      <c r="J2551" s="18"/>
      <c r="K2551" s="23"/>
      <c r="L2551" s="5"/>
      <c r="M2551" s="5"/>
      <c r="N2551" s="5"/>
      <c r="O2551" s="5"/>
      <c r="P2551" s="5"/>
      <c r="Q2551" s="5"/>
      <c r="R2551" s="5"/>
      <c r="S2551" s="5"/>
      <c r="T2551" s="5"/>
      <c r="U2551" s="5"/>
      <c r="V2551" s="5"/>
      <c r="W2551" s="5"/>
      <c r="X2551" s="23"/>
      <c r="Y2551" s="18"/>
      <c r="Z2551" s="23"/>
      <c r="AA2551" s="23"/>
      <c r="AB2551" s="5"/>
      <c r="AC2551" s="5"/>
      <c r="AD2551" s="5"/>
      <c r="AE2551" s="5"/>
      <c r="AF2551" s="5"/>
      <c r="AG2551" s="23"/>
      <c r="AH2551" s="5"/>
      <c r="AI2551" s="5"/>
      <c r="AJ2551" s="5"/>
      <c r="AK2551" s="5"/>
      <c r="AL2551" s="6"/>
      <c r="AM2551" s="5"/>
      <c r="AN2551" s="4"/>
      <c r="AO2551" s="4"/>
      <c r="AP2551" s="4"/>
      <c r="AQ2551" s="4"/>
      <c r="AR2551" s="4"/>
      <c r="AS2551" s="4"/>
      <c r="AT2551" s="4"/>
      <c r="AU2551" s="27"/>
      <c r="AV2551" s="39"/>
      <c r="AW2551" s="4"/>
    </row>
    <row r="2552" spans="1:49" ht="14.5" x14ac:dyDescent="0.35">
      <c r="A2552" s="1"/>
      <c r="B2552" s="4"/>
      <c r="C2552" s="29"/>
      <c r="D2552" s="29"/>
      <c r="E2552" s="29"/>
      <c r="F2552" s="2"/>
      <c r="G2552" s="2"/>
      <c r="H2552" s="6"/>
      <c r="I2552" s="6"/>
      <c r="J2552" s="18"/>
      <c r="K2552" s="23"/>
      <c r="L2552" s="5"/>
      <c r="M2552" s="5"/>
      <c r="N2552" s="5"/>
      <c r="O2552" s="5"/>
      <c r="P2552" s="5"/>
      <c r="Q2552" s="5"/>
      <c r="R2552" s="5"/>
      <c r="S2552" s="5"/>
      <c r="T2552" s="5"/>
      <c r="U2552" s="5"/>
      <c r="V2552" s="5"/>
      <c r="W2552" s="5"/>
      <c r="X2552" s="23"/>
      <c r="Y2552" s="18"/>
      <c r="Z2552" s="23"/>
      <c r="AA2552" s="23"/>
      <c r="AB2552" s="5"/>
      <c r="AC2552" s="5"/>
      <c r="AD2552" s="5"/>
      <c r="AE2552" s="5"/>
      <c r="AF2552" s="5"/>
      <c r="AG2552" s="23"/>
      <c r="AH2552" s="5"/>
      <c r="AI2552" s="5"/>
      <c r="AJ2552" s="5"/>
      <c r="AK2552" s="5"/>
      <c r="AL2552" s="6"/>
      <c r="AM2552" s="5"/>
      <c r="AN2552" s="4"/>
      <c r="AO2552" s="4"/>
      <c r="AP2552" s="4"/>
      <c r="AQ2552" s="4"/>
      <c r="AR2552" s="4"/>
      <c r="AS2552" s="4"/>
      <c r="AT2552" s="4"/>
      <c r="AU2552" s="27"/>
      <c r="AV2552" s="39"/>
      <c r="AW2552" s="4"/>
    </row>
    <row r="2553" spans="1:49" ht="14.5" x14ac:dyDescent="0.35">
      <c r="A2553" s="1"/>
      <c r="B2553" s="4"/>
      <c r="C2553" s="29"/>
      <c r="D2553" s="29"/>
      <c r="E2553" s="29"/>
      <c r="F2553" s="2"/>
      <c r="G2553" s="2"/>
      <c r="H2553" s="6"/>
      <c r="I2553" s="6"/>
      <c r="J2553" s="18"/>
      <c r="K2553" s="23"/>
      <c r="L2553" s="5"/>
      <c r="M2553" s="5"/>
      <c r="N2553" s="5"/>
      <c r="O2553" s="5"/>
      <c r="P2553" s="5"/>
      <c r="Q2553" s="5"/>
      <c r="R2553" s="5"/>
      <c r="S2553" s="5"/>
      <c r="T2553" s="5"/>
      <c r="U2553" s="5"/>
      <c r="V2553" s="5"/>
      <c r="W2553" s="5"/>
      <c r="X2553" s="23"/>
      <c r="Y2553" s="18"/>
      <c r="Z2553" s="23"/>
      <c r="AA2553" s="23"/>
      <c r="AB2553" s="5"/>
      <c r="AC2553" s="5"/>
      <c r="AD2553" s="5"/>
      <c r="AE2553" s="5"/>
      <c r="AF2553" s="5"/>
      <c r="AG2553" s="23"/>
      <c r="AH2553" s="5"/>
      <c r="AI2553" s="5"/>
      <c r="AJ2553" s="5"/>
      <c r="AK2553" s="5"/>
      <c r="AL2553" s="6"/>
      <c r="AM2553" s="5"/>
      <c r="AN2553" s="4"/>
      <c r="AO2553" s="4"/>
      <c r="AP2553" s="4"/>
      <c r="AQ2553" s="4"/>
      <c r="AR2553" s="4"/>
      <c r="AS2553" s="4"/>
      <c r="AT2553" s="4"/>
      <c r="AU2553" s="27"/>
      <c r="AV2553" s="39"/>
      <c r="AW2553" s="4"/>
    </row>
    <row r="2554" spans="1:49" ht="14.5" x14ac:dyDescent="0.35">
      <c r="A2554" s="1"/>
      <c r="B2554" s="4"/>
      <c r="C2554" s="29"/>
      <c r="D2554" s="29"/>
      <c r="E2554" s="29"/>
      <c r="F2554" s="2"/>
      <c r="G2554" s="2"/>
      <c r="H2554" s="6"/>
      <c r="I2554" s="6"/>
      <c r="J2554" s="18"/>
      <c r="K2554" s="23"/>
      <c r="L2554" s="5"/>
      <c r="M2554" s="5"/>
      <c r="N2554" s="5"/>
      <c r="O2554" s="5"/>
      <c r="P2554" s="5"/>
      <c r="Q2554" s="5"/>
      <c r="R2554" s="5"/>
      <c r="S2554" s="5"/>
      <c r="T2554" s="5"/>
      <c r="U2554" s="5"/>
      <c r="V2554" s="5"/>
      <c r="W2554" s="5"/>
      <c r="X2554" s="23"/>
      <c r="Y2554" s="18"/>
      <c r="Z2554" s="23"/>
      <c r="AA2554" s="23"/>
      <c r="AB2554" s="5"/>
      <c r="AC2554" s="5"/>
      <c r="AD2554" s="5"/>
      <c r="AE2554" s="5"/>
      <c r="AF2554" s="5"/>
      <c r="AG2554" s="23"/>
      <c r="AH2554" s="5"/>
      <c r="AI2554" s="5"/>
      <c r="AJ2554" s="5"/>
      <c r="AK2554" s="5"/>
      <c r="AL2554" s="6"/>
      <c r="AM2554" s="5"/>
      <c r="AN2554" s="4"/>
      <c r="AO2554" s="4"/>
      <c r="AP2554" s="4"/>
      <c r="AQ2554" s="4"/>
      <c r="AR2554" s="4"/>
      <c r="AS2554" s="4"/>
      <c r="AT2554" s="4"/>
      <c r="AU2554" s="27"/>
      <c r="AV2554" s="39"/>
      <c r="AW2554" s="4"/>
    </row>
    <row r="2555" spans="1:49" ht="14.5" x14ac:dyDescent="0.35">
      <c r="A2555" s="1"/>
      <c r="B2555" s="4"/>
      <c r="C2555" s="29"/>
      <c r="D2555" s="29"/>
      <c r="E2555" s="29"/>
      <c r="F2555" s="2"/>
      <c r="G2555" s="2"/>
      <c r="H2555" s="6"/>
      <c r="I2555" s="6"/>
      <c r="J2555" s="18"/>
      <c r="K2555" s="23"/>
      <c r="L2555" s="5"/>
      <c r="M2555" s="5"/>
      <c r="N2555" s="5"/>
      <c r="O2555" s="5"/>
      <c r="P2555" s="5"/>
      <c r="Q2555" s="5"/>
      <c r="R2555" s="5"/>
      <c r="S2555" s="5"/>
      <c r="T2555" s="5"/>
      <c r="U2555" s="5"/>
      <c r="V2555" s="5"/>
      <c r="W2555" s="5"/>
      <c r="X2555" s="23"/>
      <c r="Y2555" s="18"/>
      <c r="Z2555" s="23"/>
      <c r="AA2555" s="23"/>
      <c r="AB2555" s="5"/>
      <c r="AC2555" s="5"/>
      <c r="AD2555" s="5"/>
      <c r="AE2555" s="5"/>
      <c r="AF2555" s="5"/>
      <c r="AG2555" s="23"/>
      <c r="AH2555" s="5"/>
      <c r="AI2555" s="5"/>
      <c r="AJ2555" s="5"/>
      <c r="AK2555" s="5"/>
      <c r="AL2555" s="6"/>
      <c r="AM2555" s="5"/>
      <c r="AN2555" s="4"/>
      <c r="AO2555" s="4"/>
      <c r="AP2555" s="4"/>
      <c r="AQ2555" s="4"/>
      <c r="AR2555" s="4"/>
      <c r="AS2555" s="4"/>
      <c r="AT2555" s="4"/>
      <c r="AU2555" s="27"/>
      <c r="AV2555" s="39"/>
      <c r="AW2555" s="4"/>
    </row>
    <row r="2556" spans="1:49" ht="14.5" x14ac:dyDescent="0.35">
      <c r="A2556" s="1"/>
      <c r="B2556" s="4"/>
      <c r="C2556" s="29"/>
      <c r="D2556" s="29"/>
      <c r="E2556" s="29"/>
      <c r="F2556" s="2"/>
      <c r="G2556" s="2"/>
      <c r="H2556" s="6"/>
      <c r="I2556" s="6"/>
      <c r="J2556" s="18"/>
      <c r="K2556" s="23"/>
      <c r="L2556" s="5"/>
      <c r="M2556" s="5"/>
      <c r="N2556" s="5"/>
      <c r="O2556" s="5"/>
      <c r="P2556" s="5"/>
      <c r="Q2556" s="5"/>
      <c r="R2556" s="5"/>
      <c r="S2556" s="5"/>
      <c r="T2556" s="5"/>
      <c r="U2556" s="5"/>
      <c r="V2556" s="5"/>
      <c r="W2556" s="5"/>
      <c r="X2556" s="23"/>
      <c r="Y2556" s="18"/>
      <c r="Z2556" s="23"/>
      <c r="AA2556" s="23"/>
      <c r="AB2556" s="5"/>
      <c r="AC2556" s="5"/>
      <c r="AD2556" s="5"/>
      <c r="AE2556" s="5"/>
      <c r="AF2556" s="5"/>
      <c r="AG2556" s="23"/>
      <c r="AH2556" s="5"/>
      <c r="AI2556" s="5"/>
      <c r="AJ2556" s="5"/>
      <c r="AK2556" s="5"/>
      <c r="AL2556" s="6"/>
      <c r="AM2556" s="5"/>
      <c r="AN2556" s="4"/>
      <c r="AO2556" s="4"/>
      <c r="AP2556" s="4"/>
      <c r="AQ2556" s="4"/>
      <c r="AR2556" s="4"/>
      <c r="AS2556" s="4"/>
      <c r="AT2556" s="4"/>
      <c r="AU2556" s="27"/>
      <c r="AV2556" s="39"/>
      <c r="AW2556" s="4"/>
    </row>
    <row r="2557" spans="1:49" ht="14.5" x14ac:dyDescent="0.35">
      <c r="A2557" s="1"/>
      <c r="B2557" s="4"/>
      <c r="C2557" s="29"/>
      <c r="D2557" s="29"/>
      <c r="E2557" s="29"/>
      <c r="F2557" s="2"/>
      <c r="G2557" s="2"/>
      <c r="H2557" s="6"/>
      <c r="I2557" s="6"/>
      <c r="J2557" s="18"/>
      <c r="K2557" s="23"/>
      <c r="L2557" s="5"/>
      <c r="M2557" s="5"/>
      <c r="N2557" s="5"/>
      <c r="O2557" s="5"/>
      <c r="P2557" s="5"/>
      <c r="Q2557" s="5"/>
      <c r="R2557" s="5"/>
      <c r="S2557" s="5"/>
      <c r="T2557" s="5"/>
      <c r="U2557" s="5"/>
      <c r="V2557" s="5"/>
      <c r="W2557" s="5"/>
      <c r="X2557" s="23"/>
      <c r="Y2557" s="18"/>
      <c r="Z2557" s="23"/>
      <c r="AA2557" s="23"/>
      <c r="AB2557" s="5"/>
      <c r="AC2557" s="5"/>
      <c r="AD2557" s="5"/>
      <c r="AE2557" s="5"/>
      <c r="AF2557" s="5"/>
      <c r="AG2557" s="23"/>
      <c r="AH2557" s="5"/>
      <c r="AI2557" s="5"/>
      <c r="AJ2557" s="5"/>
      <c r="AK2557" s="5"/>
      <c r="AL2557" s="6"/>
      <c r="AM2557" s="5"/>
      <c r="AN2557" s="4"/>
      <c r="AO2557" s="4"/>
      <c r="AP2557" s="4"/>
      <c r="AQ2557" s="4"/>
      <c r="AR2557" s="4"/>
      <c r="AS2557" s="4"/>
      <c r="AT2557" s="4"/>
      <c r="AU2557" s="27"/>
      <c r="AV2557" s="39"/>
      <c r="AW2557" s="4"/>
    </row>
    <row r="2558" spans="1:49" ht="14.5" x14ac:dyDescent="0.35">
      <c r="A2558" s="1"/>
      <c r="B2558" s="4"/>
      <c r="C2558" s="29"/>
      <c r="D2558" s="29"/>
      <c r="E2558" s="29"/>
      <c r="F2558" s="2"/>
      <c r="G2558" s="2"/>
      <c r="H2558" s="6"/>
      <c r="I2558" s="6"/>
      <c r="J2558" s="18"/>
      <c r="K2558" s="23"/>
      <c r="L2558" s="5"/>
      <c r="M2558" s="5"/>
      <c r="N2558" s="5"/>
      <c r="O2558" s="5"/>
      <c r="P2558" s="5"/>
      <c r="Q2558" s="5"/>
      <c r="R2558" s="5"/>
      <c r="S2558" s="5"/>
      <c r="T2558" s="5"/>
      <c r="U2558" s="5"/>
      <c r="V2558" s="5"/>
      <c r="W2558" s="5"/>
      <c r="X2558" s="23"/>
      <c r="Y2558" s="18"/>
      <c r="Z2558" s="23"/>
      <c r="AA2558" s="23"/>
      <c r="AB2558" s="5"/>
      <c r="AC2558" s="5"/>
      <c r="AD2558" s="5"/>
      <c r="AE2558" s="5"/>
      <c r="AF2558" s="5"/>
      <c r="AG2558" s="23"/>
      <c r="AH2558" s="5"/>
      <c r="AI2558" s="5"/>
      <c r="AJ2558" s="5"/>
      <c r="AK2558" s="5"/>
      <c r="AL2558" s="6"/>
      <c r="AM2558" s="5"/>
      <c r="AN2558" s="4"/>
      <c r="AO2558" s="4"/>
      <c r="AP2558" s="4"/>
      <c r="AQ2558" s="4"/>
      <c r="AR2558" s="4"/>
      <c r="AS2558" s="4"/>
      <c r="AT2558" s="4"/>
      <c r="AU2558" s="27"/>
      <c r="AV2558" s="39"/>
      <c r="AW2558" s="4"/>
    </row>
    <row r="2559" spans="1:49" ht="14.5" x14ac:dyDescent="0.35">
      <c r="A2559" s="1"/>
      <c r="B2559" s="4"/>
      <c r="C2559" s="29"/>
      <c r="D2559" s="29"/>
      <c r="E2559" s="29"/>
      <c r="F2559" s="2"/>
      <c r="G2559" s="2"/>
      <c r="H2559" s="6"/>
      <c r="I2559" s="6"/>
      <c r="J2559" s="18"/>
      <c r="K2559" s="23"/>
      <c r="L2559" s="5"/>
      <c r="M2559" s="5"/>
      <c r="N2559" s="5"/>
      <c r="O2559" s="5"/>
      <c r="P2559" s="5"/>
      <c r="Q2559" s="5"/>
      <c r="R2559" s="5"/>
      <c r="S2559" s="5"/>
      <c r="T2559" s="5"/>
      <c r="U2559" s="5"/>
      <c r="V2559" s="5"/>
      <c r="W2559" s="5"/>
      <c r="X2559" s="23"/>
      <c r="Y2559" s="18"/>
      <c r="Z2559" s="23"/>
      <c r="AA2559" s="23"/>
      <c r="AB2559" s="5"/>
      <c r="AC2559" s="5"/>
      <c r="AD2559" s="5"/>
      <c r="AE2559" s="5"/>
      <c r="AF2559" s="5"/>
      <c r="AG2559" s="23"/>
      <c r="AH2559" s="5"/>
      <c r="AI2559" s="5"/>
      <c r="AJ2559" s="5"/>
      <c r="AK2559" s="5"/>
      <c r="AL2559" s="6"/>
      <c r="AM2559" s="5"/>
      <c r="AN2559" s="4"/>
      <c r="AO2559" s="4"/>
      <c r="AP2559" s="4"/>
      <c r="AQ2559" s="4"/>
      <c r="AR2559" s="4"/>
      <c r="AS2559" s="4"/>
      <c r="AT2559" s="4"/>
      <c r="AU2559" s="27"/>
      <c r="AV2559" s="39"/>
      <c r="AW2559" s="4"/>
    </row>
    <row r="2560" spans="1:49" ht="14.5" x14ac:dyDescent="0.35">
      <c r="A2560" s="1"/>
      <c r="B2560" s="4"/>
      <c r="C2560" s="29"/>
      <c r="D2560" s="29"/>
      <c r="E2560" s="29"/>
      <c r="F2560" s="2"/>
      <c r="G2560" s="2"/>
      <c r="H2560" s="6"/>
      <c r="I2560" s="6"/>
      <c r="J2560" s="18"/>
      <c r="K2560" s="23"/>
      <c r="L2560" s="5"/>
      <c r="M2560" s="5"/>
      <c r="N2560" s="5"/>
      <c r="O2560" s="5"/>
      <c r="P2560" s="5"/>
      <c r="Q2560" s="5"/>
      <c r="R2560" s="5"/>
      <c r="S2560" s="5"/>
      <c r="T2560" s="5"/>
      <c r="U2560" s="5"/>
      <c r="V2560" s="5"/>
      <c r="W2560" s="5"/>
      <c r="X2560" s="23"/>
      <c r="Y2560" s="18"/>
      <c r="Z2560" s="23"/>
      <c r="AA2560" s="23"/>
      <c r="AB2560" s="5"/>
      <c r="AC2560" s="5"/>
      <c r="AD2560" s="5"/>
      <c r="AE2560" s="5"/>
      <c r="AF2560" s="5"/>
      <c r="AG2560" s="23"/>
      <c r="AH2560" s="5"/>
      <c r="AI2560" s="5"/>
      <c r="AJ2560" s="5"/>
      <c r="AK2560" s="5"/>
      <c r="AL2560" s="6"/>
      <c r="AM2560" s="5"/>
      <c r="AN2560" s="4"/>
      <c r="AO2560" s="4"/>
      <c r="AP2560" s="4"/>
      <c r="AQ2560" s="4"/>
      <c r="AR2560" s="4"/>
      <c r="AS2560" s="4"/>
      <c r="AT2560" s="4"/>
      <c r="AU2560" s="27"/>
      <c r="AV2560" s="39"/>
      <c r="AW2560" s="4"/>
    </row>
    <row r="2561" spans="1:49" ht="14.5" x14ac:dyDescent="0.35">
      <c r="A2561" s="1"/>
      <c r="B2561" s="4"/>
      <c r="C2561" s="29"/>
      <c r="D2561" s="29"/>
      <c r="E2561" s="29"/>
      <c r="F2561" s="2"/>
      <c r="G2561" s="2"/>
      <c r="H2561" s="6"/>
      <c r="I2561" s="6"/>
      <c r="J2561" s="18"/>
      <c r="K2561" s="23"/>
      <c r="L2561" s="5"/>
      <c r="M2561" s="5"/>
      <c r="N2561" s="5"/>
      <c r="O2561" s="5"/>
      <c r="P2561" s="5"/>
      <c r="Q2561" s="5"/>
      <c r="R2561" s="5"/>
      <c r="S2561" s="5"/>
      <c r="T2561" s="5"/>
      <c r="U2561" s="5"/>
      <c r="V2561" s="5"/>
      <c r="W2561" s="5"/>
      <c r="X2561" s="23"/>
      <c r="Y2561" s="18"/>
      <c r="Z2561" s="23"/>
      <c r="AA2561" s="23"/>
      <c r="AB2561" s="5"/>
      <c r="AC2561" s="5"/>
      <c r="AD2561" s="5"/>
      <c r="AE2561" s="5"/>
      <c r="AF2561" s="5"/>
      <c r="AG2561" s="23"/>
      <c r="AH2561" s="5"/>
      <c r="AI2561" s="5"/>
      <c r="AJ2561" s="5"/>
      <c r="AK2561" s="5"/>
      <c r="AL2561" s="6"/>
      <c r="AM2561" s="5"/>
      <c r="AN2561" s="4"/>
      <c r="AO2561" s="4"/>
      <c r="AP2561" s="4"/>
      <c r="AQ2561" s="4"/>
      <c r="AR2561" s="4"/>
      <c r="AS2561" s="4"/>
      <c r="AT2561" s="4"/>
      <c r="AU2561" s="27"/>
      <c r="AV2561" s="39"/>
      <c r="AW2561" s="4"/>
    </row>
    <row r="2562" spans="1:49" ht="14.5" x14ac:dyDescent="0.35">
      <c r="A2562" s="1"/>
      <c r="B2562" s="4"/>
      <c r="C2562" s="29"/>
      <c r="D2562" s="29"/>
      <c r="E2562" s="29"/>
      <c r="F2562" s="2"/>
      <c r="G2562" s="2"/>
      <c r="H2562" s="6"/>
      <c r="I2562" s="6"/>
      <c r="J2562" s="18"/>
      <c r="K2562" s="23"/>
      <c r="L2562" s="5"/>
      <c r="M2562" s="5"/>
      <c r="N2562" s="5"/>
      <c r="O2562" s="5"/>
      <c r="P2562" s="5"/>
      <c r="Q2562" s="5"/>
      <c r="R2562" s="5"/>
      <c r="S2562" s="5"/>
      <c r="T2562" s="5"/>
      <c r="U2562" s="5"/>
      <c r="V2562" s="5"/>
      <c r="W2562" s="5"/>
      <c r="X2562" s="23"/>
      <c r="Y2562" s="18"/>
      <c r="Z2562" s="23"/>
      <c r="AA2562" s="23"/>
      <c r="AB2562" s="5"/>
      <c r="AC2562" s="5"/>
      <c r="AD2562" s="5"/>
      <c r="AE2562" s="5"/>
      <c r="AF2562" s="5"/>
      <c r="AG2562" s="23"/>
      <c r="AH2562" s="5"/>
      <c r="AI2562" s="5"/>
      <c r="AJ2562" s="5"/>
      <c r="AK2562" s="5"/>
      <c r="AL2562" s="6"/>
      <c r="AM2562" s="5"/>
      <c r="AN2562" s="4"/>
      <c r="AO2562" s="4"/>
      <c r="AP2562" s="4"/>
      <c r="AQ2562" s="4"/>
      <c r="AR2562" s="4"/>
      <c r="AS2562" s="4"/>
      <c r="AT2562" s="4"/>
      <c r="AU2562" s="27"/>
      <c r="AV2562" s="39"/>
      <c r="AW2562" s="4"/>
    </row>
    <row r="2563" spans="1:49" ht="14.5" x14ac:dyDescent="0.35">
      <c r="A2563" s="1"/>
      <c r="B2563" s="4"/>
      <c r="C2563" s="29"/>
      <c r="D2563" s="29"/>
      <c r="E2563" s="29"/>
      <c r="F2563" s="2"/>
      <c r="G2563" s="2"/>
      <c r="H2563" s="6"/>
      <c r="I2563" s="6"/>
      <c r="J2563" s="18"/>
      <c r="K2563" s="23"/>
      <c r="L2563" s="5"/>
      <c r="M2563" s="5"/>
      <c r="N2563" s="5"/>
      <c r="O2563" s="5"/>
      <c r="P2563" s="5"/>
      <c r="Q2563" s="5"/>
      <c r="R2563" s="5"/>
      <c r="S2563" s="5"/>
      <c r="T2563" s="5"/>
      <c r="U2563" s="5"/>
      <c r="V2563" s="5"/>
      <c r="W2563" s="5"/>
      <c r="X2563" s="23"/>
      <c r="Y2563" s="18"/>
      <c r="Z2563" s="23"/>
      <c r="AA2563" s="23"/>
      <c r="AB2563" s="5"/>
      <c r="AC2563" s="5"/>
      <c r="AD2563" s="5"/>
      <c r="AE2563" s="5"/>
      <c r="AF2563" s="5"/>
      <c r="AG2563" s="23"/>
      <c r="AH2563" s="5"/>
      <c r="AI2563" s="5"/>
      <c r="AJ2563" s="5"/>
      <c r="AK2563" s="5"/>
      <c r="AL2563" s="6"/>
      <c r="AM2563" s="5"/>
      <c r="AN2563" s="4"/>
      <c r="AO2563" s="4"/>
      <c r="AP2563" s="4"/>
      <c r="AQ2563" s="4"/>
      <c r="AR2563" s="4"/>
      <c r="AS2563" s="4"/>
      <c r="AT2563" s="4"/>
      <c r="AU2563" s="27"/>
      <c r="AV2563" s="39"/>
      <c r="AW2563" s="4"/>
    </row>
    <row r="2564" spans="1:49" ht="14.5" x14ac:dyDescent="0.35">
      <c r="A2564" s="1"/>
      <c r="B2564" s="4"/>
      <c r="C2564" s="29"/>
      <c r="D2564" s="29"/>
      <c r="E2564" s="29"/>
      <c r="F2564" s="2"/>
      <c r="G2564" s="2"/>
      <c r="H2564" s="6"/>
      <c r="I2564" s="6"/>
      <c r="J2564" s="18"/>
      <c r="K2564" s="23"/>
      <c r="L2564" s="5"/>
      <c r="M2564" s="5"/>
      <c r="N2564" s="5"/>
      <c r="O2564" s="5"/>
      <c r="P2564" s="5"/>
      <c r="Q2564" s="5"/>
      <c r="R2564" s="5"/>
      <c r="S2564" s="5"/>
      <c r="T2564" s="5"/>
      <c r="U2564" s="5"/>
      <c r="V2564" s="5"/>
      <c r="W2564" s="5"/>
      <c r="X2564" s="23"/>
      <c r="Y2564" s="18"/>
      <c r="Z2564" s="23"/>
      <c r="AA2564" s="23"/>
      <c r="AB2564" s="5"/>
      <c r="AC2564" s="5"/>
      <c r="AD2564" s="5"/>
      <c r="AE2564" s="5"/>
      <c r="AF2564" s="5"/>
      <c r="AG2564" s="23"/>
      <c r="AH2564" s="5"/>
      <c r="AI2564" s="5"/>
      <c r="AJ2564" s="5"/>
      <c r="AK2564" s="5"/>
      <c r="AL2564" s="6"/>
      <c r="AM2564" s="5"/>
      <c r="AN2564" s="4"/>
      <c r="AO2564" s="4"/>
      <c r="AP2564" s="4"/>
      <c r="AQ2564" s="4"/>
      <c r="AR2564" s="4"/>
      <c r="AS2564" s="4"/>
      <c r="AT2564" s="4"/>
      <c r="AU2564" s="27"/>
      <c r="AV2564" s="39"/>
      <c r="AW2564" s="4"/>
    </row>
    <row r="2565" spans="1:49" ht="14.5" x14ac:dyDescent="0.35">
      <c r="A2565" s="1"/>
      <c r="B2565" s="4"/>
      <c r="C2565" s="29"/>
      <c r="D2565" s="29"/>
      <c r="E2565" s="29"/>
      <c r="F2565" s="2"/>
      <c r="G2565" s="2"/>
      <c r="H2565" s="6"/>
      <c r="I2565" s="6"/>
      <c r="J2565" s="18"/>
      <c r="K2565" s="23"/>
      <c r="L2565" s="5"/>
      <c r="M2565" s="5"/>
      <c r="N2565" s="5"/>
      <c r="O2565" s="5"/>
      <c r="P2565" s="5"/>
      <c r="Q2565" s="5"/>
      <c r="R2565" s="5"/>
      <c r="S2565" s="5"/>
      <c r="T2565" s="5"/>
      <c r="U2565" s="5"/>
      <c r="V2565" s="5"/>
      <c r="W2565" s="5"/>
      <c r="X2565" s="23"/>
      <c r="Y2565" s="18"/>
      <c r="Z2565" s="23"/>
      <c r="AA2565" s="23"/>
      <c r="AB2565" s="5"/>
      <c r="AC2565" s="5"/>
      <c r="AD2565" s="5"/>
      <c r="AE2565" s="5"/>
      <c r="AF2565" s="5"/>
      <c r="AG2565" s="23"/>
      <c r="AH2565" s="5"/>
      <c r="AI2565" s="5"/>
      <c r="AJ2565" s="5"/>
      <c r="AK2565" s="5"/>
      <c r="AL2565" s="6"/>
      <c r="AM2565" s="5"/>
      <c r="AN2565" s="4"/>
      <c r="AO2565" s="4"/>
      <c r="AP2565" s="4"/>
      <c r="AQ2565" s="4"/>
      <c r="AR2565" s="4"/>
      <c r="AS2565" s="4"/>
      <c r="AT2565" s="4"/>
      <c r="AU2565" s="27"/>
      <c r="AV2565" s="39"/>
      <c r="AW2565" s="4"/>
    </row>
    <row r="2566" spans="1:49" ht="14.5" x14ac:dyDescent="0.35">
      <c r="A2566" s="1"/>
      <c r="B2566" s="4"/>
      <c r="C2566" s="29"/>
      <c r="D2566" s="29"/>
      <c r="E2566" s="29"/>
      <c r="F2566" s="2"/>
      <c r="G2566" s="2"/>
      <c r="H2566" s="6"/>
      <c r="I2566" s="6"/>
      <c r="J2566" s="18"/>
      <c r="K2566" s="23"/>
      <c r="L2566" s="5"/>
      <c r="M2566" s="5"/>
      <c r="N2566" s="5"/>
      <c r="O2566" s="5"/>
      <c r="P2566" s="5"/>
      <c r="Q2566" s="5"/>
      <c r="R2566" s="5"/>
      <c r="S2566" s="5"/>
      <c r="T2566" s="5"/>
      <c r="U2566" s="5"/>
      <c r="V2566" s="5"/>
      <c r="W2566" s="5"/>
      <c r="X2566" s="23"/>
      <c r="Y2566" s="18"/>
      <c r="Z2566" s="23"/>
      <c r="AA2566" s="23"/>
      <c r="AB2566" s="5"/>
      <c r="AC2566" s="5"/>
      <c r="AD2566" s="5"/>
      <c r="AE2566" s="5"/>
      <c r="AF2566" s="5"/>
      <c r="AG2566" s="23"/>
      <c r="AH2566" s="5"/>
      <c r="AI2566" s="5"/>
      <c r="AJ2566" s="5"/>
      <c r="AK2566" s="5"/>
      <c r="AL2566" s="6"/>
      <c r="AM2566" s="5"/>
      <c r="AN2566" s="4"/>
      <c r="AO2566" s="4"/>
      <c r="AP2566" s="4"/>
      <c r="AQ2566" s="4"/>
      <c r="AR2566" s="4"/>
      <c r="AS2566" s="4"/>
      <c r="AT2566" s="4"/>
      <c r="AU2566" s="27"/>
      <c r="AV2566" s="39"/>
      <c r="AW2566" s="4"/>
    </row>
    <row r="2567" spans="1:49" ht="14.5" x14ac:dyDescent="0.35">
      <c r="A2567" s="1"/>
      <c r="B2567" s="4"/>
      <c r="C2567" s="29"/>
      <c r="D2567" s="29"/>
      <c r="E2567" s="29"/>
      <c r="F2567" s="2"/>
      <c r="G2567" s="2"/>
      <c r="H2567" s="6"/>
      <c r="I2567" s="6"/>
      <c r="J2567" s="18"/>
      <c r="K2567" s="23"/>
      <c r="L2567" s="5"/>
      <c r="M2567" s="5"/>
      <c r="N2567" s="5"/>
      <c r="O2567" s="5"/>
      <c r="P2567" s="5"/>
      <c r="Q2567" s="5"/>
      <c r="R2567" s="5"/>
      <c r="S2567" s="5"/>
      <c r="T2567" s="5"/>
      <c r="U2567" s="5"/>
      <c r="V2567" s="5"/>
      <c r="W2567" s="5"/>
      <c r="X2567" s="23"/>
      <c r="Y2567" s="18"/>
      <c r="Z2567" s="23"/>
      <c r="AA2567" s="23"/>
      <c r="AB2567" s="5"/>
      <c r="AC2567" s="5"/>
      <c r="AD2567" s="5"/>
      <c r="AE2567" s="5"/>
      <c r="AF2567" s="5"/>
      <c r="AG2567" s="23"/>
      <c r="AH2567" s="5"/>
      <c r="AI2567" s="5"/>
      <c r="AJ2567" s="5"/>
      <c r="AK2567" s="5"/>
      <c r="AL2567" s="6"/>
      <c r="AM2567" s="5"/>
      <c r="AN2567" s="4"/>
      <c r="AO2567" s="4"/>
      <c r="AP2567" s="4"/>
      <c r="AQ2567" s="4"/>
      <c r="AR2567" s="4"/>
      <c r="AS2567" s="4"/>
      <c r="AT2567" s="4"/>
      <c r="AU2567" s="27"/>
      <c r="AV2567" s="39"/>
      <c r="AW2567" s="4"/>
    </row>
    <row r="2568" spans="1:49" ht="14.5" x14ac:dyDescent="0.35">
      <c r="A2568" s="1"/>
      <c r="B2568" s="4"/>
      <c r="C2568" s="29"/>
      <c r="D2568" s="29"/>
      <c r="E2568" s="29"/>
      <c r="F2568" s="2"/>
      <c r="G2568" s="2"/>
      <c r="H2568" s="6"/>
      <c r="I2568" s="6"/>
      <c r="J2568" s="18"/>
      <c r="K2568" s="23"/>
      <c r="L2568" s="5"/>
      <c r="M2568" s="5"/>
      <c r="N2568" s="5"/>
      <c r="O2568" s="5"/>
      <c r="P2568" s="5"/>
      <c r="Q2568" s="5"/>
      <c r="R2568" s="5"/>
      <c r="S2568" s="5"/>
      <c r="T2568" s="5"/>
      <c r="U2568" s="5"/>
      <c r="V2568" s="5"/>
      <c r="W2568" s="5"/>
      <c r="X2568" s="23"/>
      <c r="Y2568" s="18"/>
      <c r="Z2568" s="23"/>
      <c r="AA2568" s="23"/>
      <c r="AB2568" s="5"/>
      <c r="AC2568" s="5"/>
      <c r="AD2568" s="5"/>
      <c r="AE2568" s="5"/>
      <c r="AF2568" s="5"/>
      <c r="AG2568" s="23"/>
      <c r="AH2568" s="5"/>
      <c r="AI2568" s="5"/>
      <c r="AJ2568" s="5"/>
      <c r="AK2568" s="5"/>
      <c r="AL2568" s="6"/>
      <c r="AM2568" s="5"/>
      <c r="AN2568" s="4"/>
      <c r="AO2568" s="4"/>
      <c r="AP2568" s="4"/>
      <c r="AQ2568" s="4"/>
      <c r="AR2568" s="4"/>
      <c r="AS2568" s="4"/>
      <c r="AT2568" s="4"/>
      <c r="AU2568" s="27"/>
      <c r="AV2568" s="39"/>
      <c r="AW2568" s="4"/>
    </row>
    <row r="2569" spans="1:49" ht="14.5" x14ac:dyDescent="0.35">
      <c r="A2569" s="1"/>
      <c r="B2569" s="4"/>
      <c r="C2569" s="29"/>
      <c r="D2569" s="29"/>
      <c r="E2569" s="29"/>
      <c r="F2569" s="2"/>
      <c r="G2569" s="2"/>
      <c r="H2569" s="6"/>
      <c r="I2569" s="6"/>
      <c r="J2569" s="18"/>
      <c r="K2569" s="23"/>
      <c r="L2569" s="5"/>
      <c r="M2569" s="5"/>
      <c r="N2569" s="5"/>
      <c r="O2569" s="5"/>
      <c r="P2569" s="5"/>
      <c r="Q2569" s="5"/>
      <c r="R2569" s="5"/>
      <c r="S2569" s="5"/>
      <c r="T2569" s="5"/>
      <c r="U2569" s="5"/>
      <c r="V2569" s="5"/>
      <c r="W2569" s="5"/>
      <c r="X2569" s="23"/>
      <c r="Y2569" s="18"/>
      <c r="Z2569" s="23"/>
      <c r="AA2569" s="23"/>
      <c r="AB2569" s="5"/>
      <c r="AC2569" s="5"/>
      <c r="AD2569" s="5"/>
      <c r="AE2569" s="5"/>
      <c r="AF2569" s="5"/>
      <c r="AG2569" s="23"/>
      <c r="AH2569" s="5"/>
      <c r="AI2569" s="5"/>
      <c r="AJ2569" s="5"/>
      <c r="AK2569" s="5"/>
      <c r="AL2569" s="6"/>
      <c r="AM2569" s="5"/>
      <c r="AN2569" s="4"/>
      <c r="AO2569" s="4"/>
      <c r="AP2569" s="4"/>
      <c r="AQ2569" s="4"/>
      <c r="AR2569" s="4"/>
      <c r="AS2569" s="4"/>
      <c r="AT2569" s="4"/>
      <c r="AU2569" s="27"/>
      <c r="AV2569" s="39"/>
      <c r="AW2569" s="4"/>
    </row>
    <row r="2570" spans="1:49" ht="14.5" x14ac:dyDescent="0.35">
      <c r="A2570" s="1"/>
      <c r="B2570" s="4"/>
      <c r="C2570" s="29"/>
      <c r="D2570" s="29"/>
      <c r="E2570" s="29"/>
      <c r="F2570" s="2"/>
      <c r="G2570" s="2"/>
      <c r="H2570" s="6"/>
      <c r="I2570" s="6"/>
      <c r="J2570" s="18"/>
      <c r="K2570" s="23"/>
      <c r="L2570" s="5"/>
      <c r="M2570" s="5"/>
      <c r="N2570" s="5"/>
      <c r="O2570" s="5"/>
      <c r="P2570" s="5"/>
      <c r="Q2570" s="5"/>
      <c r="R2570" s="5"/>
      <c r="S2570" s="5"/>
      <c r="T2570" s="5"/>
      <c r="U2570" s="5"/>
      <c r="V2570" s="5"/>
      <c r="W2570" s="5"/>
      <c r="X2570" s="23"/>
      <c r="Y2570" s="18"/>
      <c r="Z2570" s="23"/>
      <c r="AA2570" s="23"/>
      <c r="AB2570" s="5"/>
      <c r="AC2570" s="5"/>
      <c r="AD2570" s="5"/>
      <c r="AE2570" s="5"/>
      <c r="AF2570" s="5"/>
      <c r="AG2570" s="23"/>
      <c r="AH2570" s="5"/>
      <c r="AI2570" s="5"/>
      <c r="AJ2570" s="5"/>
      <c r="AK2570" s="5"/>
      <c r="AL2570" s="6"/>
      <c r="AM2570" s="5"/>
      <c r="AN2570" s="4"/>
      <c r="AO2570" s="4"/>
      <c r="AP2570" s="4"/>
      <c r="AQ2570" s="4"/>
      <c r="AR2570" s="4"/>
      <c r="AS2570" s="4"/>
      <c r="AT2570" s="4"/>
      <c r="AU2570" s="27"/>
      <c r="AV2570" s="39"/>
      <c r="AW2570" s="4"/>
    </row>
    <row r="2571" spans="1:49" ht="14.5" x14ac:dyDescent="0.35">
      <c r="A2571" s="1"/>
      <c r="B2571" s="4"/>
      <c r="C2571" s="29"/>
      <c r="D2571" s="29"/>
      <c r="E2571" s="29"/>
      <c r="F2571" s="2"/>
      <c r="G2571" s="2"/>
      <c r="H2571" s="6"/>
      <c r="I2571" s="6"/>
      <c r="J2571" s="18"/>
      <c r="K2571" s="23"/>
      <c r="L2571" s="5"/>
      <c r="M2571" s="5"/>
      <c r="N2571" s="5"/>
      <c r="O2571" s="5"/>
      <c r="P2571" s="5"/>
      <c r="Q2571" s="5"/>
      <c r="R2571" s="5"/>
      <c r="S2571" s="5"/>
      <c r="T2571" s="5"/>
      <c r="U2571" s="5"/>
      <c r="V2571" s="5"/>
      <c r="W2571" s="5"/>
      <c r="X2571" s="23"/>
      <c r="Y2571" s="18"/>
      <c r="Z2571" s="23"/>
      <c r="AA2571" s="23"/>
      <c r="AB2571" s="5"/>
      <c r="AC2571" s="5"/>
      <c r="AD2571" s="5"/>
      <c r="AE2571" s="5"/>
      <c r="AF2571" s="5"/>
      <c r="AG2571" s="23"/>
      <c r="AH2571" s="5"/>
      <c r="AI2571" s="5"/>
      <c r="AJ2571" s="5"/>
      <c r="AK2571" s="5"/>
      <c r="AL2571" s="6"/>
      <c r="AM2571" s="5"/>
      <c r="AN2571" s="4"/>
      <c r="AO2571" s="4"/>
      <c r="AP2571" s="4"/>
      <c r="AQ2571" s="4"/>
      <c r="AR2571" s="4"/>
      <c r="AS2571" s="4"/>
      <c r="AT2571" s="4"/>
      <c r="AU2571" s="27"/>
      <c r="AV2571" s="39"/>
      <c r="AW2571" s="4"/>
    </row>
    <row r="2572" spans="1:49" ht="14.5" x14ac:dyDescent="0.35">
      <c r="A2572" s="1"/>
      <c r="B2572" s="4"/>
      <c r="C2572" s="29"/>
      <c r="D2572" s="29"/>
      <c r="E2572" s="29"/>
      <c r="F2572" s="2"/>
      <c r="G2572" s="2"/>
      <c r="H2572" s="6"/>
      <c r="I2572" s="6"/>
      <c r="J2572" s="18"/>
      <c r="K2572" s="23"/>
      <c r="L2572" s="5"/>
      <c r="M2572" s="5"/>
      <c r="N2572" s="5"/>
      <c r="O2572" s="5"/>
      <c r="P2572" s="5"/>
      <c r="Q2572" s="5"/>
      <c r="R2572" s="5"/>
      <c r="S2572" s="5"/>
      <c r="T2572" s="5"/>
      <c r="U2572" s="5"/>
      <c r="V2572" s="5"/>
      <c r="W2572" s="5"/>
      <c r="X2572" s="23"/>
      <c r="Y2572" s="18"/>
      <c r="Z2572" s="23"/>
      <c r="AA2572" s="23"/>
      <c r="AB2572" s="5"/>
      <c r="AC2572" s="5"/>
      <c r="AD2572" s="5"/>
      <c r="AE2572" s="5"/>
      <c r="AF2572" s="5"/>
      <c r="AG2572" s="23"/>
      <c r="AH2572" s="5"/>
      <c r="AI2572" s="5"/>
      <c r="AJ2572" s="5"/>
      <c r="AK2572" s="5"/>
      <c r="AL2572" s="6"/>
      <c r="AM2572" s="5"/>
      <c r="AN2572" s="4"/>
      <c r="AO2572" s="4"/>
      <c r="AP2572" s="4"/>
      <c r="AQ2572" s="4"/>
      <c r="AR2572" s="4"/>
      <c r="AS2572" s="4"/>
      <c r="AT2572" s="4"/>
      <c r="AU2572" s="27"/>
      <c r="AV2572" s="39"/>
      <c r="AW2572" s="4"/>
    </row>
    <row r="2573" spans="1:49" ht="14.5" x14ac:dyDescent="0.35">
      <c r="A2573" s="1"/>
      <c r="B2573" s="4"/>
      <c r="C2573" s="29"/>
      <c r="D2573" s="29"/>
      <c r="E2573" s="29"/>
      <c r="F2573" s="2"/>
      <c r="G2573" s="2"/>
      <c r="H2573" s="6"/>
      <c r="I2573" s="6"/>
      <c r="J2573" s="18"/>
      <c r="K2573" s="23"/>
      <c r="L2573" s="5"/>
      <c r="M2573" s="5"/>
      <c r="N2573" s="5"/>
      <c r="O2573" s="5"/>
      <c r="P2573" s="5"/>
      <c r="Q2573" s="5"/>
      <c r="R2573" s="5"/>
      <c r="S2573" s="5"/>
      <c r="T2573" s="5"/>
      <c r="U2573" s="5"/>
      <c r="V2573" s="5"/>
      <c r="W2573" s="5"/>
      <c r="X2573" s="23"/>
      <c r="Y2573" s="18"/>
      <c r="Z2573" s="23"/>
      <c r="AA2573" s="23"/>
      <c r="AB2573" s="5"/>
      <c r="AC2573" s="5"/>
      <c r="AD2573" s="5"/>
      <c r="AE2573" s="5"/>
      <c r="AF2573" s="5"/>
      <c r="AG2573" s="23"/>
      <c r="AH2573" s="5"/>
      <c r="AI2573" s="5"/>
      <c r="AJ2573" s="5"/>
      <c r="AK2573" s="5"/>
      <c r="AL2573" s="6"/>
      <c r="AM2573" s="5"/>
      <c r="AN2573" s="4"/>
      <c r="AO2573" s="4"/>
      <c r="AP2573" s="4"/>
      <c r="AQ2573" s="4"/>
      <c r="AR2573" s="4"/>
      <c r="AS2573" s="4"/>
      <c r="AT2573" s="4"/>
      <c r="AU2573" s="27"/>
      <c r="AV2573" s="39"/>
      <c r="AW2573" s="4"/>
    </row>
    <row r="2574" spans="1:49" ht="14.5" x14ac:dyDescent="0.35">
      <c r="A2574" s="1"/>
      <c r="B2574" s="4"/>
      <c r="C2574" s="29"/>
      <c r="D2574" s="29"/>
      <c r="E2574" s="29"/>
      <c r="F2574" s="2"/>
      <c r="G2574" s="2"/>
      <c r="H2574" s="6"/>
      <c r="I2574" s="6"/>
      <c r="J2574" s="18"/>
      <c r="K2574" s="23"/>
      <c r="L2574" s="5"/>
      <c r="M2574" s="5"/>
      <c r="N2574" s="5"/>
      <c r="O2574" s="5"/>
      <c r="P2574" s="5"/>
      <c r="Q2574" s="5"/>
      <c r="R2574" s="5"/>
      <c r="S2574" s="5"/>
      <c r="T2574" s="5"/>
      <c r="U2574" s="5"/>
      <c r="V2574" s="5"/>
      <c r="W2574" s="5"/>
      <c r="X2574" s="23"/>
      <c r="Y2574" s="18"/>
      <c r="Z2574" s="23"/>
      <c r="AA2574" s="23"/>
      <c r="AB2574" s="5"/>
      <c r="AC2574" s="5"/>
      <c r="AD2574" s="5"/>
      <c r="AE2574" s="5"/>
      <c r="AF2574" s="5"/>
      <c r="AG2574" s="23"/>
      <c r="AH2574" s="5"/>
      <c r="AI2574" s="5"/>
      <c r="AJ2574" s="5"/>
      <c r="AK2574" s="5"/>
      <c r="AL2574" s="6"/>
      <c r="AM2574" s="5"/>
      <c r="AN2574" s="4"/>
      <c r="AO2574" s="4"/>
      <c r="AP2574" s="4"/>
      <c r="AQ2574" s="4"/>
      <c r="AR2574" s="4"/>
      <c r="AS2574" s="4"/>
      <c r="AT2574" s="4"/>
      <c r="AU2574" s="27"/>
      <c r="AV2574" s="39"/>
      <c r="AW2574" s="4"/>
    </row>
    <row r="2575" spans="1:49" ht="14.5" x14ac:dyDescent="0.35">
      <c r="A2575" s="1"/>
      <c r="B2575" s="4"/>
      <c r="C2575" s="29"/>
      <c r="D2575" s="29"/>
      <c r="E2575" s="29"/>
      <c r="F2575" s="2"/>
      <c r="G2575" s="2"/>
      <c r="H2575" s="6"/>
      <c r="I2575" s="6"/>
      <c r="J2575" s="18"/>
      <c r="K2575" s="23"/>
      <c r="L2575" s="5"/>
      <c r="M2575" s="5"/>
      <c r="N2575" s="5"/>
      <c r="O2575" s="5"/>
      <c r="P2575" s="5"/>
      <c r="Q2575" s="5"/>
      <c r="R2575" s="5"/>
      <c r="S2575" s="5"/>
      <c r="T2575" s="5"/>
      <c r="U2575" s="5"/>
      <c r="V2575" s="5"/>
      <c r="W2575" s="5"/>
      <c r="X2575" s="23"/>
      <c r="Y2575" s="18"/>
      <c r="Z2575" s="23"/>
      <c r="AA2575" s="23"/>
      <c r="AB2575" s="5"/>
      <c r="AC2575" s="5"/>
      <c r="AD2575" s="5"/>
      <c r="AE2575" s="5"/>
      <c r="AF2575" s="5"/>
      <c r="AG2575" s="23"/>
      <c r="AH2575" s="5"/>
      <c r="AI2575" s="5"/>
      <c r="AJ2575" s="5"/>
      <c r="AK2575" s="5"/>
      <c r="AL2575" s="6"/>
      <c r="AM2575" s="5"/>
      <c r="AN2575" s="4"/>
      <c r="AO2575" s="4"/>
      <c r="AP2575" s="4"/>
      <c r="AQ2575" s="4"/>
      <c r="AR2575" s="4"/>
      <c r="AS2575" s="4"/>
      <c r="AT2575" s="4"/>
      <c r="AU2575" s="27"/>
      <c r="AV2575" s="39"/>
      <c r="AW2575" s="4"/>
    </row>
    <row r="2576" spans="1:49" ht="14.5" x14ac:dyDescent="0.35">
      <c r="A2576" s="1"/>
      <c r="B2576" s="4"/>
      <c r="C2576" s="29"/>
      <c r="D2576" s="29"/>
      <c r="E2576" s="29"/>
      <c r="F2576" s="2"/>
      <c r="G2576" s="2"/>
      <c r="H2576" s="6"/>
      <c r="I2576" s="6"/>
      <c r="J2576" s="18"/>
      <c r="K2576" s="23"/>
      <c r="L2576" s="5"/>
      <c r="M2576" s="5"/>
      <c r="N2576" s="5"/>
      <c r="O2576" s="5"/>
      <c r="P2576" s="5"/>
      <c r="Q2576" s="5"/>
      <c r="R2576" s="5"/>
      <c r="S2576" s="5"/>
      <c r="T2576" s="5"/>
      <c r="U2576" s="5"/>
      <c r="V2576" s="5"/>
      <c r="W2576" s="5"/>
      <c r="X2576" s="23"/>
      <c r="Y2576" s="18"/>
      <c r="Z2576" s="23"/>
      <c r="AA2576" s="23"/>
      <c r="AB2576" s="5"/>
      <c r="AC2576" s="5"/>
      <c r="AD2576" s="5"/>
      <c r="AE2576" s="5"/>
      <c r="AF2576" s="5"/>
      <c r="AG2576" s="23"/>
      <c r="AH2576" s="5"/>
      <c r="AI2576" s="5"/>
      <c r="AJ2576" s="5"/>
      <c r="AK2576" s="5"/>
      <c r="AL2576" s="6"/>
      <c r="AM2576" s="5"/>
      <c r="AN2576" s="4"/>
      <c r="AO2576" s="4"/>
      <c r="AP2576" s="4"/>
      <c r="AQ2576" s="4"/>
      <c r="AR2576" s="4"/>
      <c r="AS2576" s="4"/>
      <c r="AT2576" s="4"/>
      <c r="AU2576" s="27"/>
      <c r="AV2576" s="39"/>
      <c r="AW2576" s="4"/>
    </row>
    <row r="2577" spans="1:49" ht="14.5" x14ac:dyDescent="0.35">
      <c r="A2577" s="1"/>
      <c r="B2577" s="4"/>
      <c r="C2577" s="29"/>
      <c r="D2577" s="29"/>
      <c r="E2577" s="29"/>
      <c r="F2577" s="2"/>
      <c r="G2577" s="2"/>
      <c r="H2577" s="6"/>
      <c r="I2577" s="6"/>
      <c r="J2577" s="18"/>
      <c r="K2577" s="23"/>
      <c r="L2577" s="5"/>
      <c r="M2577" s="5"/>
      <c r="N2577" s="5"/>
      <c r="O2577" s="5"/>
      <c r="P2577" s="5"/>
      <c r="Q2577" s="5"/>
      <c r="R2577" s="5"/>
      <c r="S2577" s="5"/>
      <c r="T2577" s="5"/>
      <c r="U2577" s="5"/>
      <c r="V2577" s="5"/>
      <c r="W2577" s="5"/>
      <c r="X2577" s="23"/>
      <c r="Y2577" s="18"/>
      <c r="Z2577" s="23"/>
      <c r="AA2577" s="23"/>
      <c r="AB2577" s="5"/>
      <c r="AC2577" s="5"/>
      <c r="AD2577" s="5"/>
      <c r="AE2577" s="5"/>
      <c r="AF2577" s="5"/>
      <c r="AG2577" s="23"/>
      <c r="AH2577" s="5"/>
      <c r="AI2577" s="5"/>
      <c r="AJ2577" s="5"/>
      <c r="AK2577" s="5"/>
      <c r="AL2577" s="6"/>
      <c r="AM2577" s="5"/>
      <c r="AN2577" s="4"/>
      <c r="AO2577" s="4"/>
      <c r="AP2577" s="4"/>
      <c r="AQ2577" s="4"/>
      <c r="AR2577" s="4"/>
      <c r="AS2577" s="4"/>
      <c r="AT2577" s="4"/>
      <c r="AU2577" s="27"/>
      <c r="AV2577" s="39"/>
      <c r="AW2577" s="4"/>
    </row>
    <row r="2578" spans="1:49" ht="14.5" x14ac:dyDescent="0.35">
      <c r="A2578" s="1"/>
      <c r="B2578" s="4"/>
      <c r="C2578" s="29"/>
      <c r="D2578" s="29"/>
      <c r="E2578" s="29"/>
      <c r="F2578" s="2"/>
      <c r="G2578" s="2"/>
      <c r="H2578" s="6"/>
      <c r="I2578" s="6"/>
      <c r="J2578" s="18"/>
      <c r="K2578" s="23"/>
      <c r="L2578" s="5"/>
      <c r="M2578" s="5"/>
      <c r="N2578" s="5"/>
      <c r="O2578" s="5"/>
      <c r="P2578" s="5"/>
      <c r="Q2578" s="5"/>
      <c r="R2578" s="5"/>
      <c r="S2578" s="5"/>
      <c r="T2578" s="5"/>
      <c r="U2578" s="5"/>
      <c r="V2578" s="5"/>
      <c r="W2578" s="5"/>
      <c r="X2578" s="23"/>
      <c r="Y2578" s="18"/>
      <c r="Z2578" s="23"/>
      <c r="AA2578" s="23"/>
      <c r="AB2578" s="5"/>
      <c r="AC2578" s="5"/>
      <c r="AD2578" s="5"/>
      <c r="AE2578" s="5"/>
      <c r="AF2578" s="5"/>
      <c r="AG2578" s="23"/>
      <c r="AH2578" s="5"/>
      <c r="AI2578" s="5"/>
      <c r="AJ2578" s="5"/>
      <c r="AK2578" s="5"/>
      <c r="AL2578" s="6"/>
      <c r="AM2578" s="5"/>
      <c r="AN2578" s="4"/>
      <c r="AO2578" s="4"/>
      <c r="AP2578" s="4"/>
      <c r="AQ2578" s="4"/>
      <c r="AR2578" s="4"/>
      <c r="AS2578" s="4"/>
      <c r="AT2578" s="4"/>
      <c r="AU2578" s="27"/>
      <c r="AV2578" s="39"/>
      <c r="AW2578" s="4"/>
    </row>
    <row r="2579" spans="1:49" ht="14.5" x14ac:dyDescent="0.35">
      <c r="A2579" s="1"/>
      <c r="B2579" s="4"/>
      <c r="C2579" s="29"/>
      <c r="D2579" s="29"/>
      <c r="E2579" s="29"/>
      <c r="F2579" s="2"/>
      <c r="G2579" s="2"/>
      <c r="H2579" s="6"/>
      <c r="I2579" s="6"/>
      <c r="J2579" s="18"/>
      <c r="K2579" s="23"/>
      <c r="L2579" s="5"/>
      <c r="M2579" s="5"/>
      <c r="N2579" s="5"/>
      <c r="O2579" s="5"/>
      <c r="P2579" s="5"/>
      <c r="Q2579" s="5"/>
      <c r="R2579" s="5"/>
      <c r="S2579" s="5"/>
      <c r="T2579" s="5"/>
      <c r="U2579" s="5"/>
      <c r="V2579" s="5"/>
      <c r="W2579" s="5"/>
      <c r="X2579" s="23"/>
      <c r="Y2579" s="18"/>
      <c r="Z2579" s="23"/>
      <c r="AA2579" s="23"/>
      <c r="AB2579" s="5"/>
      <c r="AC2579" s="5"/>
      <c r="AD2579" s="5"/>
      <c r="AE2579" s="5"/>
      <c r="AF2579" s="5"/>
      <c r="AG2579" s="23"/>
      <c r="AH2579" s="5"/>
      <c r="AI2579" s="5"/>
      <c r="AJ2579" s="5"/>
      <c r="AK2579" s="5"/>
      <c r="AL2579" s="6"/>
      <c r="AM2579" s="5"/>
      <c r="AN2579" s="4"/>
      <c r="AO2579" s="4"/>
      <c r="AP2579" s="4"/>
      <c r="AQ2579" s="4"/>
      <c r="AR2579" s="4"/>
      <c r="AS2579" s="4"/>
      <c r="AT2579" s="4"/>
      <c r="AU2579" s="27"/>
      <c r="AV2579" s="39"/>
      <c r="AW2579" s="4"/>
    </row>
    <row r="2580" spans="1:49" ht="14.5" x14ac:dyDescent="0.35">
      <c r="A2580" s="1"/>
      <c r="B2580" s="4"/>
      <c r="C2580" s="29"/>
      <c r="D2580" s="29"/>
      <c r="E2580" s="29"/>
      <c r="F2580" s="2"/>
      <c r="G2580" s="2"/>
      <c r="H2580" s="6"/>
      <c r="I2580" s="6"/>
      <c r="J2580" s="18"/>
      <c r="K2580" s="23"/>
      <c r="L2580" s="5"/>
      <c r="M2580" s="5"/>
      <c r="N2580" s="5"/>
      <c r="O2580" s="5"/>
      <c r="P2580" s="5"/>
      <c r="Q2580" s="5"/>
      <c r="R2580" s="5"/>
      <c r="S2580" s="5"/>
      <c r="T2580" s="5"/>
      <c r="U2580" s="5"/>
      <c r="V2580" s="5"/>
      <c r="W2580" s="5"/>
      <c r="X2580" s="23"/>
      <c r="Y2580" s="18"/>
      <c r="Z2580" s="23"/>
      <c r="AA2580" s="23"/>
      <c r="AB2580" s="5"/>
      <c r="AC2580" s="5"/>
      <c r="AD2580" s="5"/>
      <c r="AE2580" s="5"/>
      <c r="AF2580" s="5"/>
      <c r="AG2580" s="23"/>
      <c r="AH2580" s="5"/>
      <c r="AI2580" s="5"/>
      <c r="AJ2580" s="5"/>
      <c r="AK2580" s="5"/>
      <c r="AL2580" s="6"/>
      <c r="AM2580" s="5"/>
      <c r="AN2580" s="4"/>
      <c r="AO2580" s="4"/>
      <c r="AP2580" s="4"/>
      <c r="AQ2580" s="4"/>
      <c r="AR2580" s="4"/>
      <c r="AS2580" s="4"/>
      <c r="AT2580" s="4"/>
      <c r="AU2580" s="27"/>
      <c r="AV2580" s="39"/>
      <c r="AW2580" s="4"/>
    </row>
    <row r="2581" spans="1:49" ht="14.5" x14ac:dyDescent="0.35">
      <c r="A2581" s="1"/>
      <c r="B2581" s="4"/>
      <c r="C2581" s="29"/>
      <c r="D2581" s="29"/>
      <c r="E2581" s="29"/>
      <c r="F2581" s="2"/>
      <c r="G2581" s="2"/>
      <c r="H2581" s="6"/>
      <c r="I2581" s="6"/>
      <c r="J2581" s="18"/>
      <c r="K2581" s="23"/>
      <c r="L2581" s="5"/>
      <c r="M2581" s="5"/>
      <c r="N2581" s="5"/>
      <c r="O2581" s="5"/>
      <c r="P2581" s="5"/>
      <c r="Q2581" s="5"/>
      <c r="R2581" s="5"/>
      <c r="S2581" s="5"/>
      <c r="T2581" s="5"/>
      <c r="U2581" s="5"/>
      <c r="V2581" s="5"/>
      <c r="W2581" s="5"/>
      <c r="X2581" s="23"/>
      <c r="Y2581" s="18"/>
      <c r="Z2581" s="23"/>
      <c r="AA2581" s="23"/>
      <c r="AB2581" s="5"/>
      <c r="AC2581" s="5"/>
      <c r="AD2581" s="5"/>
      <c r="AE2581" s="5"/>
      <c r="AF2581" s="5"/>
      <c r="AG2581" s="23"/>
      <c r="AH2581" s="5"/>
      <c r="AI2581" s="5"/>
      <c r="AJ2581" s="5"/>
      <c r="AK2581" s="5"/>
      <c r="AL2581" s="6"/>
      <c r="AM2581" s="5"/>
      <c r="AN2581" s="4"/>
      <c r="AO2581" s="4"/>
      <c r="AP2581" s="4"/>
      <c r="AQ2581" s="4"/>
      <c r="AR2581" s="4"/>
      <c r="AS2581" s="4"/>
      <c r="AT2581" s="4"/>
      <c r="AU2581" s="27"/>
      <c r="AV2581" s="39"/>
      <c r="AW2581" s="4"/>
    </row>
    <row r="2582" spans="1:49" ht="14.5" x14ac:dyDescent="0.35">
      <c r="A2582" s="1"/>
      <c r="B2582" s="4"/>
      <c r="C2582" s="29"/>
      <c r="D2582" s="29"/>
      <c r="E2582" s="29"/>
      <c r="F2582" s="2"/>
      <c r="G2582" s="2"/>
      <c r="H2582" s="6"/>
      <c r="I2582" s="6"/>
      <c r="J2582" s="18"/>
      <c r="K2582" s="23"/>
      <c r="L2582" s="5"/>
      <c r="M2582" s="5"/>
      <c r="N2582" s="5"/>
      <c r="O2582" s="5"/>
      <c r="P2582" s="5"/>
      <c r="Q2582" s="5"/>
      <c r="R2582" s="5"/>
      <c r="S2582" s="5"/>
      <c r="T2582" s="5"/>
      <c r="U2582" s="5"/>
      <c r="V2582" s="5"/>
      <c r="W2582" s="5"/>
      <c r="X2582" s="23"/>
      <c r="Y2582" s="18"/>
      <c r="Z2582" s="23"/>
      <c r="AA2582" s="23"/>
      <c r="AB2582" s="5"/>
      <c r="AC2582" s="5"/>
      <c r="AD2582" s="5"/>
      <c r="AE2582" s="5"/>
      <c r="AF2582" s="5"/>
      <c r="AG2582" s="23"/>
      <c r="AH2582" s="5"/>
      <c r="AI2582" s="5"/>
      <c r="AJ2582" s="5"/>
      <c r="AK2582" s="5"/>
      <c r="AL2582" s="6"/>
      <c r="AM2582" s="5"/>
      <c r="AN2582" s="4"/>
      <c r="AO2582" s="4"/>
      <c r="AP2582" s="4"/>
      <c r="AQ2582" s="4"/>
      <c r="AR2582" s="4"/>
      <c r="AS2582" s="4"/>
      <c r="AT2582" s="4"/>
      <c r="AU2582" s="27"/>
      <c r="AV2582" s="39"/>
      <c r="AW2582" s="4"/>
    </row>
    <row r="2583" spans="1:49" ht="14.5" x14ac:dyDescent="0.35">
      <c r="A2583" s="1"/>
      <c r="B2583" s="4"/>
      <c r="C2583" s="29"/>
      <c r="D2583" s="29"/>
      <c r="E2583" s="29"/>
      <c r="F2583" s="2"/>
      <c r="G2583" s="2"/>
      <c r="H2583" s="6"/>
      <c r="I2583" s="6"/>
      <c r="J2583" s="18"/>
      <c r="K2583" s="23"/>
      <c r="L2583" s="5"/>
      <c r="M2583" s="5"/>
      <c r="N2583" s="5"/>
      <c r="O2583" s="5"/>
      <c r="P2583" s="5"/>
      <c r="Q2583" s="5"/>
      <c r="R2583" s="5"/>
      <c r="S2583" s="5"/>
      <c r="T2583" s="5"/>
      <c r="U2583" s="5"/>
      <c r="V2583" s="5"/>
      <c r="W2583" s="5"/>
      <c r="X2583" s="23"/>
      <c r="Y2583" s="18"/>
      <c r="Z2583" s="23"/>
      <c r="AA2583" s="23"/>
      <c r="AB2583" s="5"/>
      <c r="AC2583" s="5"/>
      <c r="AD2583" s="5"/>
      <c r="AE2583" s="5"/>
      <c r="AF2583" s="5"/>
      <c r="AG2583" s="23"/>
      <c r="AH2583" s="5"/>
      <c r="AI2583" s="5"/>
      <c r="AJ2583" s="5"/>
      <c r="AK2583" s="5"/>
      <c r="AL2583" s="6"/>
      <c r="AM2583" s="5"/>
      <c r="AN2583" s="4"/>
      <c r="AO2583" s="4"/>
      <c r="AP2583" s="4"/>
      <c r="AQ2583" s="4"/>
      <c r="AR2583" s="4"/>
      <c r="AS2583" s="4"/>
      <c r="AT2583" s="4"/>
      <c r="AU2583" s="27"/>
      <c r="AV2583" s="39"/>
      <c r="AW2583" s="4"/>
    </row>
    <row r="2584" spans="1:49" ht="14.5" x14ac:dyDescent="0.35">
      <c r="A2584" s="1"/>
      <c r="B2584" s="4"/>
      <c r="C2584" s="29"/>
      <c r="D2584" s="29"/>
      <c r="E2584" s="29"/>
      <c r="F2584" s="2"/>
      <c r="G2584" s="2"/>
      <c r="H2584" s="6"/>
      <c r="I2584" s="6"/>
      <c r="J2584" s="18"/>
      <c r="K2584" s="23"/>
      <c r="L2584" s="5"/>
      <c r="M2584" s="5"/>
      <c r="N2584" s="5"/>
      <c r="O2584" s="5"/>
      <c r="P2584" s="5"/>
      <c r="Q2584" s="5"/>
      <c r="R2584" s="5"/>
      <c r="S2584" s="5"/>
      <c r="T2584" s="5"/>
      <c r="U2584" s="5"/>
      <c r="V2584" s="5"/>
      <c r="W2584" s="5"/>
      <c r="X2584" s="23"/>
      <c r="Y2584" s="18"/>
      <c r="Z2584" s="23"/>
      <c r="AA2584" s="23"/>
      <c r="AB2584" s="5"/>
      <c r="AC2584" s="5"/>
      <c r="AD2584" s="5"/>
      <c r="AE2584" s="5"/>
      <c r="AF2584" s="5"/>
      <c r="AG2584" s="23"/>
      <c r="AH2584" s="5"/>
      <c r="AI2584" s="5"/>
      <c r="AJ2584" s="5"/>
      <c r="AK2584" s="5"/>
      <c r="AL2584" s="6"/>
      <c r="AM2584" s="5"/>
      <c r="AN2584" s="4"/>
      <c r="AO2584" s="4"/>
      <c r="AP2584" s="4"/>
      <c r="AQ2584" s="4"/>
      <c r="AR2584" s="4"/>
      <c r="AS2584" s="4"/>
      <c r="AT2584" s="4"/>
      <c r="AU2584" s="27"/>
      <c r="AV2584" s="39"/>
      <c r="AW2584" s="4"/>
    </row>
    <row r="2585" spans="1:49" ht="14.5" x14ac:dyDescent="0.35">
      <c r="A2585" s="1"/>
      <c r="B2585" s="4"/>
      <c r="C2585" s="29"/>
      <c r="D2585" s="29"/>
      <c r="E2585" s="29"/>
      <c r="F2585" s="2"/>
      <c r="G2585" s="2"/>
      <c r="H2585" s="6"/>
      <c r="I2585" s="6"/>
      <c r="J2585" s="18"/>
      <c r="K2585" s="23"/>
      <c r="L2585" s="5"/>
      <c r="M2585" s="5"/>
      <c r="N2585" s="5"/>
      <c r="O2585" s="5"/>
      <c r="P2585" s="5"/>
      <c r="Q2585" s="5"/>
      <c r="R2585" s="5"/>
      <c r="S2585" s="5"/>
      <c r="T2585" s="5"/>
      <c r="U2585" s="5"/>
      <c r="V2585" s="5"/>
      <c r="W2585" s="5"/>
      <c r="X2585" s="23"/>
      <c r="Y2585" s="18"/>
      <c r="Z2585" s="23"/>
      <c r="AA2585" s="23"/>
      <c r="AB2585" s="5"/>
      <c r="AC2585" s="5"/>
      <c r="AD2585" s="5"/>
      <c r="AE2585" s="5"/>
      <c r="AF2585" s="5"/>
      <c r="AG2585" s="23"/>
      <c r="AH2585" s="5"/>
      <c r="AI2585" s="5"/>
      <c r="AJ2585" s="5"/>
      <c r="AK2585" s="5"/>
      <c r="AL2585" s="6"/>
      <c r="AM2585" s="5"/>
      <c r="AN2585" s="4"/>
      <c r="AO2585" s="4"/>
      <c r="AP2585" s="4"/>
      <c r="AQ2585" s="4"/>
      <c r="AR2585" s="4"/>
      <c r="AS2585" s="4"/>
      <c r="AT2585" s="4"/>
      <c r="AU2585" s="27"/>
      <c r="AV2585" s="39"/>
      <c r="AW2585" s="4"/>
    </row>
    <row r="2586" spans="1:49" ht="14.5" x14ac:dyDescent="0.35">
      <c r="A2586" s="1"/>
      <c r="B2586" s="4"/>
      <c r="C2586" s="29"/>
      <c r="D2586" s="29"/>
      <c r="E2586" s="29"/>
      <c r="F2586" s="2"/>
      <c r="G2586" s="2"/>
      <c r="H2586" s="6"/>
      <c r="I2586" s="6"/>
      <c r="J2586" s="18"/>
      <c r="K2586" s="23"/>
      <c r="L2586" s="5"/>
      <c r="M2586" s="5"/>
      <c r="N2586" s="5"/>
      <c r="O2586" s="5"/>
      <c r="P2586" s="5"/>
      <c r="Q2586" s="5"/>
      <c r="R2586" s="5"/>
      <c r="S2586" s="5"/>
      <c r="T2586" s="5"/>
      <c r="U2586" s="5"/>
      <c r="V2586" s="5"/>
      <c r="W2586" s="5"/>
      <c r="X2586" s="23"/>
      <c r="Y2586" s="18"/>
      <c r="Z2586" s="23"/>
      <c r="AA2586" s="23"/>
      <c r="AB2586" s="5"/>
      <c r="AC2586" s="5"/>
      <c r="AD2586" s="5"/>
      <c r="AE2586" s="5"/>
      <c r="AF2586" s="5"/>
      <c r="AG2586" s="23"/>
      <c r="AH2586" s="5"/>
      <c r="AI2586" s="5"/>
      <c r="AJ2586" s="5"/>
      <c r="AK2586" s="5"/>
      <c r="AL2586" s="6"/>
      <c r="AM2586" s="5"/>
      <c r="AN2586" s="4"/>
      <c r="AO2586" s="4"/>
      <c r="AP2586" s="4"/>
      <c r="AQ2586" s="4"/>
      <c r="AR2586" s="4"/>
      <c r="AS2586" s="4"/>
      <c r="AT2586" s="4"/>
      <c r="AU2586" s="27"/>
      <c r="AV2586" s="39"/>
      <c r="AW2586" s="4"/>
    </row>
    <row r="2587" spans="1:49" ht="14.5" x14ac:dyDescent="0.35">
      <c r="A2587" s="1"/>
      <c r="B2587" s="4"/>
      <c r="C2587" s="29"/>
      <c r="D2587" s="29"/>
      <c r="E2587" s="29"/>
      <c r="F2587" s="2"/>
      <c r="G2587" s="2"/>
      <c r="H2587" s="6"/>
      <c r="I2587" s="6"/>
      <c r="J2587" s="18"/>
      <c r="K2587" s="23"/>
      <c r="L2587" s="5"/>
      <c r="M2587" s="5"/>
      <c r="N2587" s="5"/>
      <c r="O2587" s="5"/>
      <c r="P2587" s="5"/>
      <c r="Q2587" s="5"/>
      <c r="R2587" s="5"/>
      <c r="S2587" s="5"/>
      <c r="T2587" s="5"/>
      <c r="U2587" s="5"/>
      <c r="V2587" s="5"/>
      <c r="W2587" s="5"/>
      <c r="X2587" s="23"/>
      <c r="Y2587" s="18"/>
      <c r="Z2587" s="23"/>
      <c r="AA2587" s="23"/>
      <c r="AB2587" s="5"/>
      <c r="AC2587" s="5"/>
      <c r="AD2587" s="5"/>
      <c r="AE2587" s="5"/>
      <c r="AF2587" s="5"/>
      <c r="AG2587" s="23"/>
      <c r="AH2587" s="5"/>
      <c r="AI2587" s="5"/>
      <c r="AJ2587" s="5"/>
      <c r="AK2587" s="5"/>
      <c r="AL2587" s="6"/>
      <c r="AM2587" s="5"/>
      <c r="AN2587" s="4"/>
      <c r="AO2587" s="4"/>
      <c r="AP2587" s="4"/>
      <c r="AQ2587" s="4"/>
      <c r="AR2587" s="4"/>
      <c r="AS2587" s="4"/>
      <c r="AT2587" s="4"/>
      <c r="AU2587" s="27"/>
      <c r="AV2587" s="39"/>
      <c r="AW2587" s="4"/>
    </row>
    <row r="2588" spans="1:49" ht="14.5" x14ac:dyDescent="0.35">
      <c r="A2588" s="1"/>
      <c r="B2588" s="4"/>
      <c r="C2588" s="29"/>
      <c r="D2588" s="29"/>
      <c r="E2588" s="29"/>
      <c r="F2588" s="2"/>
      <c r="G2588" s="2"/>
      <c r="H2588" s="6"/>
      <c r="I2588" s="6"/>
      <c r="J2588" s="18"/>
      <c r="K2588" s="23"/>
      <c r="L2588" s="5"/>
      <c r="M2588" s="5"/>
      <c r="N2588" s="5"/>
      <c r="O2588" s="5"/>
      <c r="P2588" s="5"/>
      <c r="Q2588" s="5"/>
      <c r="R2588" s="5"/>
      <c r="S2588" s="5"/>
      <c r="T2588" s="5"/>
      <c r="U2588" s="5"/>
      <c r="V2588" s="5"/>
      <c r="W2588" s="5"/>
      <c r="X2588" s="23"/>
      <c r="Y2588" s="18"/>
      <c r="Z2588" s="23"/>
      <c r="AA2588" s="23"/>
      <c r="AB2588" s="5"/>
      <c r="AC2588" s="5"/>
      <c r="AD2588" s="5"/>
      <c r="AE2588" s="5"/>
      <c r="AF2588" s="5"/>
      <c r="AG2588" s="23"/>
      <c r="AH2588" s="5"/>
      <c r="AI2588" s="5"/>
      <c r="AJ2588" s="5"/>
      <c r="AK2588" s="5"/>
      <c r="AL2588" s="6"/>
      <c r="AM2588" s="5"/>
      <c r="AN2588" s="4"/>
      <c r="AO2588" s="4"/>
      <c r="AP2588" s="4"/>
      <c r="AQ2588" s="4"/>
      <c r="AR2588" s="4"/>
      <c r="AS2588" s="4"/>
      <c r="AT2588" s="4"/>
      <c r="AU2588" s="27"/>
      <c r="AV2588" s="39"/>
      <c r="AW2588" s="4"/>
    </row>
    <row r="2589" spans="1:49" ht="14.5" x14ac:dyDescent="0.35">
      <c r="A2589" s="1"/>
      <c r="B2589" s="4"/>
      <c r="C2589" s="29"/>
      <c r="D2589" s="29"/>
      <c r="E2589" s="29"/>
      <c r="F2589" s="2"/>
      <c r="G2589" s="2"/>
      <c r="H2589" s="6"/>
      <c r="I2589" s="6"/>
      <c r="J2589" s="18"/>
      <c r="K2589" s="23"/>
      <c r="L2589" s="5"/>
      <c r="M2589" s="5"/>
      <c r="N2589" s="5"/>
      <c r="O2589" s="5"/>
      <c r="P2589" s="5"/>
      <c r="Q2589" s="5"/>
      <c r="R2589" s="5"/>
      <c r="S2589" s="5"/>
      <c r="T2589" s="5"/>
      <c r="U2589" s="5"/>
      <c r="V2589" s="5"/>
      <c r="W2589" s="5"/>
      <c r="X2589" s="23"/>
      <c r="Y2589" s="18"/>
      <c r="Z2589" s="23"/>
      <c r="AA2589" s="23"/>
      <c r="AB2589" s="5"/>
      <c r="AC2589" s="5"/>
      <c r="AD2589" s="5"/>
      <c r="AE2589" s="5"/>
      <c r="AF2589" s="5"/>
      <c r="AG2589" s="23"/>
      <c r="AH2589" s="5"/>
      <c r="AI2589" s="5"/>
      <c r="AJ2589" s="5"/>
      <c r="AK2589" s="5"/>
      <c r="AL2589" s="6"/>
      <c r="AM2589" s="5"/>
      <c r="AN2589" s="4"/>
      <c r="AO2589" s="4"/>
      <c r="AP2589" s="4"/>
      <c r="AQ2589" s="4"/>
      <c r="AR2589" s="4"/>
      <c r="AS2589" s="4"/>
      <c r="AT2589" s="4"/>
      <c r="AU2589" s="27"/>
      <c r="AV2589" s="39"/>
      <c r="AW2589" s="4"/>
    </row>
    <row r="2590" spans="1:49" ht="14.5" x14ac:dyDescent="0.35">
      <c r="A2590" s="1"/>
      <c r="B2590" s="4"/>
      <c r="C2590" s="29"/>
      <c r="D2590" s="29"/>
      <c r="E2590" s="29"/>
      <c r="F2590" s="2"/>
      <c r="G2590" s="2"/>
      <c r="H2590" s="6"/>
      <c r="I2590" s="6"/>
      <c r="J2590" s="18"/>
      <c r="K2590" s="23"/>
      <c r="L2590" s="5"/>
      <c r="M2590" s="5"/>
      <c r="N2590" s="5"/>
      <c r="O2590" s="5"/>
      <c r="P2590" s="5"/>
      <c r="Q2590" s="5"/>
      <c r="R2590" s="5"/>
      <c r="S2590" s="5"/>
      <c r="T2590" s="5"/>
      <c r="U2590" s="5"/>
      <c r="V2590" s="5"/>
      <c r="W2590" s="5"/>
      <c r="X2590" s="23"/>
      <c r="Y2590" s="18"/>
      <c r="Z2590" s="23"/>
      <c r="AA2590" s="23"/>
      <c r="AB2590" s="5"/>
      <c r="AC2590" s="5"/>
      <c r="AD2590" s="5"/>
      <c r="AE2590" s="5"/>
      <c r="AF2590" s="5"/>
      <c r="AG2590" s="23"/>
      <c r="AH2590" s="5"/>
      <c r="AI2590" s="5"/>
      <c r="AJ2590" s="5"/>
      <c r="AK2590" s="5"/>
      <c r="AL2590" s="6"/>
      <c r="AM2590" s="5"/>
      <c r="AN2590" s="4"/>
      <c r="AO2590" s="4"/>
      <c r="AP2590" s="4"/>
      <c r="AQ2590" s="4"/>
      <c r="AR2590" s="4"/>
      <c r="AS2590" s="4"/>
      <c r="AT2590" s="4"/>
      <c r="AU2590" s="27"/>
      <c r="AV2590" s="39"/>
      <c r="AW2590" s="4"/>
    </row>
    <row r="2591" spans="1:49" ht="14.5" x14ac:dyDescent="0.35">
      <c r="A2591" s="1"/>
      <c r="B2591" s="4"/>
      <c r="C2591" s="29"/>
      <c r="D2591" s="29"/>
      <c r="E2591" s="29"/>
      <c r="F2591" s="2"/>
      <c r="G2591" s="2"/>
      <c r="H2591" s="6"/>
      <c r="I2591" s="6"/>
      <c r="J2591" s="18"/>
      <c r="K2591" s="23"/>
      <c r="L2591" s="5"/>
      <c r="M2591" s="5"/>
      <c r="N2591" s="5"/>
      <c r="O2591" s="5"/>
      <c r="P2591" s="5"/>
      <c r="Q2591" s="5"/>
      <c r="R2591" s="5"/>
      <c r="S2591" s="5"/>
      <c r="T2591" s="5"/>
      <c r="U2591" s="5"/>
      <c r="V2591" s="5"/>
      <c r="W2591" s="5"/>
      <c r="X2591" s="23"/>
      <c r="Y2591" s="18"/>
      <c r="Z2591" s="23"/>
      <c r="AA2591" s="23"/>
      <c r="AB2591" s="5"/>
      <c r="AC2591" s="5"/>
      <c r="AD2591" s="5"/>
      <c r="AE2591" s="5"/>
      <c r="AF2591" s="5"/>
      <c r="AG2591" s="23"/>
      <c r="AH2591" s="5"/>
      <c r="AI2591" s="5"/>
      <c r="AJ2591" s="5"/>
      <c r="AK2591" s="5"/>
      <c r="AL2591" s="6"/>
      <c r="AM2591" s="5"/>
      <c r="AN2591" s="4"/>
      <c r="AO2591" s="4"/>
      <c r="AP2591" s="4"/>
      <c r="AQ2591" s="4"/>
      <c r="AR2591" s="4"/>
      <c r="AS2591" s="4"/>
      <c r="AT2591" s="4"/>
      <c r="AU2591" s="27"/>
      <c r="AV2591" s="39"/>
      <c r="AW2591" s="4"/>
    </row>
    <row r="2592" spans="1:49" ht="14.5" x14ac:dyDescent="0.35">
      <c r="A2592" s="1"/>
      <c r="B2592" s="4"/>
      <c r="C2592" s="29"/>
      <c r="D2592" s="29"/>
      <c r="E2592" s="29"/>
      <c r="F2592" s="2"/>
      <c r="G2592" s="2"/>
      <c r="H2592" s="6"/>
      <c r="I2592" s="6"/>
      <c r="J2592" s="18"/>
      <c r="K2592" s="23"/>
      <c r="L2592" s="5"/>
      <c r="M2592" s="5"/>
      <c r="N2592" s="5"/>
      <c r="O2592" s="5"/>
      <c r="P2592" s="5"/>
      <c r="Q2592" s="5"/>
      <c r="R2592" s="5"/>
      <c r="S2592" s="5"/>
      <c r="T2592" s="5"/>
      <c r="U2592" s="5"/>
      <c r="V2592" s="5"/>
      <c r="W2592" s="5"/>
      <c r="X2592" s="23"/>
      <c r="Y2592" s="18"/>
      <c r="Z2592" s="23"/>
      <c r="AA2592" s="23"/>
      <c r="AB2592" s="5"/>
      <c r="AC2592" s="5"/>
      <c r="AD2592" s="5"/>
      <c r="AE2592" s="5"/>
      <c r="AF2592" s="5"/>
      <c r="AG2592" s="23"/>
      <c r="AH2592" s="5"/>
      <c r="AI2592" s="5"/>
      <c r="AJ2592" s="5"/>
      <c r="AK2592" s="5"/>
      <c r="AL2592" s="6"/>
      <c r="AM2592" s="5"/>
      <c r="AN2592" s="4"/>
      <c r="AO2592" s="4"/>
      <c r="AP2592" s="4"/>
      <c r="AQ2592" s="4"/>
      <c r="AR2592" s="4"/>
      <c r="AS2592" s="4"/>
      <c r="AT2592" s="4"/>
      <c r="AU2592" s="27"/>
      <c r="AV2592" s="39"/>
      <c r="AW2592" s="4"/>
    </row>
    <row r="2593" spans="1:49" ht="14.5" x14ac:dyDescent="0.35">
      <c r="A2593" s="1"/>
      <c r="B2593" s="4"/>
      <c r="C2593" s="29"/>
      <c r="D2593" s="29"/>
      <c r="E2593" s="29"/>
      <c r="F2593" s="2"/>
      <c r="G2593" s="2"/>
      <c r="H2593" s="6"/>
      <c r="I2593" s="6"/>
      <c r="J2593" s="18"/>
      <c r="K2593" s="23"/>
      <c r="L2593" s="5"/>
      <c r="M2593" s="5"/>
      <c r="N2593" s="5"/>
      <c r="O2593" s="5"/>
      <c r="P2593" s="5"/>
      <c r="Q2593" s="5"/>
      <c r="R2593" s="5"/>
      <c r="S2593" s="5"/>
      <c r="T2593" s="5"/>
      <c r="U2593" s="5"/>
      <c r="V2593" s="5"/>
      <c r="W2593" s="5"/>
      <c r="X2593" s="23"/>
      <c r="Y2593" s="18"/>
      <c r="Z2593" s="23"/>
      <c r="AA2593" s="23"/>
      <c r="AB2593" s="5"/>
      <c r="AC2593" s="5"/>
      <c r="AD2593" s="5"/>
      <c r="AE2593" s="5"/>
      <c r="AF2593" s="5"/>
      <c r="AG2593" s="23"/>
      <c r="AH2593" s="5"/>
      <c r="AI2593" s="5"/>
      <c r="AJ2593" s="5"/>
      <c r="AK2593" s="5"/>
      <c r="AL2593" s="6"/>
      <c r="AM2593" s="5"/>
      <c r="AN2593" s="4"/>
      <c r="AO2593" s="4"/>
      <c r="AP2593" s="4"/>
      <c r="AQ2593" s="4"/>
      <c r="AR2593" s="4"/>
      <c r="AS2593" s="4"/>
      <c r="AT2593" s="4"/>
      <c r="AU2593" s="27"/>
      <c r="AV2593" s="39"/>
      <c r="AW2593" s="4"/>
    </row>
    <row r="2594" spans="1:49" ht="14.5" x14ac:dyDescent="0.35">
      <c r="A2594" s="1"/>
      <c r="B2594" s="4"/>
      <c r="C2594" s="29"/>
      <c r="D2594" s="29"/>
      <c r="E2594" s="29"/>
      <c r="F2594" s="2"/>
      <c r="G2594" s="2"/>
      <c r="H2594" s="6"/>
      <c r="I2594" s="6"/>
      <c r="J2594" s="18"/>
      <c r="K2594" s="23"/>
      <c r="L2594" s="5"/>
      <c r="M2594" s="5"/>
      <c r="N2594" s="5"/>
      <c r="O2594" s="5"/>
      <c r="P2594" s="5"/>
      <c r="Q2594" s="5"/>
      <c r="R2594" s="5"/>
      <c r="S2594" s="5"/>
      <c r="T2594" s="5"/>
      <c r="U2594" s="5"/>
      <c r="V2594" s="5"/>
      <c r="W2594" s="5"/>
      <c r="X2594" s="23"/>
      <c r="Y2594" s="18"/>
      <c r="Z2594" s="23"/>
      <c r="AA2594" s="23"/>
      <c r="AB2594" s="5"/>
      <c r="AC2594" s="5"/>
      <c r="AD2594" s="5"/>
      <c r="AE2594" s="5"/>
      <c r="AF2594" s="5"/>
      <c r="AG2594" s="23"/>
      <c r="AH2594" s="5"/>
      <c r="AI2594" s="5"/>
      <c r="AJ2594" s="5"/>
      <c r="AK2594" s="5"/>
      <c r="AL2594" s="6"/>
      <c r="AM2594" s="5"/>
      <c r="AN2594" s="4"/>
      <c r="AO2594" s="4"/>
      <c r="AP2594" s="4"/>
      <c r="AQ2594" s="4"/>
      <c r="AR2594" s="4"/>
      <c r="AS2594" s="4"/>
      <c r="AT2594" s="4"/>
      <c r="AU2594" s="27"/>
      <c r="AV2594" s="39"/>
      <c r="AW2594" s="4"/>
    </row>
    <row r="2595" spans="1:49" ht="14.5" x14ac:dyDescent="0.35">
      <c r="A2595" s="1"/>
      <c r="B2595" s="4"/>
      <c r="C2595" s="29"/>
      <c r="D2595" s="29"/>
      <c r="E2595" s="29"/>
      <c r="F2595" s="2"/>
      <c r="G2595" s="2"/>
      <c r="H2595" s="6"/>
      <c r="I2595" s="6"/>
      <c r="J2595" s="18"/>
      <c r="K2595" s="23"/>
      <c r="L2595" s="5"/>
      <c r="M2595" s="5"/>
      <c r="N2595" s="5"/>
      <c r="O2595" s="5"/>
      <c r="P2595" s="5"/>
      <c r="Q2595" s="5"/>
      <c r="R2595" s="5"/>
      <c r="S2595" s="5"/>
      <c r="T2595" s="5"/>
      <c r="U2595" s="5"/>
      <c r="V2595" s="5"/>
      <c r="W2595" s="5"/>
      <c r="X2595" s="23"/>
      <c r="Y2595" s="18"/>
      <c r="Z2595" s="23"/>
      <c r="AA2595" s="23"/>
      <c r="AB2595" s="5"/>
      <c r="AC2595" s="5"/>
      <c r="AD2595" s="5"/>
      <c r="AE2595" s="5"/>
      <c r="AF2595" s="5"/>
      <c r="AG2595" s="23"/>
      <c r="AH2595" s="5"/>
      <c r="AI2595" s="5"/>
      <c r="AJ2595" s="5"/>
      <c r="AK2595" s="5"/>
      <c r="AL2595" s="6"/>
      <c r="AM2595" s="5"/>
      <c r="AN2595" s="4"/>
      <c r="AO2595" s="4"/>
      <c r="AP2595" s="4"/>
      <c r="AQ2595" s="4"/>
      <c r="AR2595" s="4"/>
      <c r="AS2595" s="4"/>
      <c r="AT2595" s="4"/>
      <c r="AU2595" s="27"/>
      <c r="AV2595" s="39"/>
      <c r="AW2595" s="4"/>
    </row>
    <row r="2596" spans="1:49" ht="14.5" x14ac:dyDescent="0.35">
      <c r="A2596" s="1"/>
      <c r="B2596" s="4"/>
      <c r="C2596" s="29"/>
      <c r="D2596" s="29"/>
      <c r="E2596" s="29"/>
      <c r="F2596" s="2"/>
      <c r="G2596" s="2"/>
      <c r="H2596" s="6"/>
      <c r="I2596" s="6"/>
      <c r="J2596" s="18"/>
      <c r="K2596" s="23"/>
      <c r="L2596" s="5"/>
      <c r="M2596" s="5"/>
      <c r="N2596" s="5"/>
      <c r="O2596" s="5"/>
      <c r="P2596" s="5"/>
      <c r="Q2596" s="5"/>
      <c r="R2596" s="5"/>
      <c r="S2596" s="5"/>
      <c r="T2596" s="5"/>
      <c r="U2596" s="5"/>
      <c r="V2596" s="5"/>
      <c r="W2596" s="5"/>
      <c r="X2596" s="23"/>
      <c r="Y2596" s="18"/>
      <c r="Z2596" s="23"/>
      <c r="AA2596" s="23"/>
      <c r="AB2596" s="5"/>
      <c r="AC2596" s="5"/>
      <c r="AD2596" s="5"/>
      <c r="AE2596" s="5"/>
      <c r="AF2596" s="5"/>
      <c r="AG2596" s="23"/>
      <c r="AH2596" s="5"/>
      <c r="AI2596" s="5"/>
      <c r="AJ2596" s="5"/>
      <c r="AK2596" s="5"/>
      <c r="AL2596" s="6"/>
      <c r="AM2596" s="5"/>
      <c r="AN2596" s="4"/>
      <c r="AO2596" s="4"/>
      <c r="AP2596" s="4"/>
      <c r="AQ2596" s="4"/>
      <c r="AR2596" s="4"/>
      <c r="AS2596" s="4"/>
      <c r="AT2596" s="4"/>
      <c r="AU2596" s="27"/>
      <c r="AV2596" s="39"/>
      <c r="AW2596" s="4"/>
    </row>
    <row r="2597" spans="1:49" ht="14.5" x14ac:dyDescent="0.35">
      <c r="A2597" s="1"/>
      <c r="B2597" s="4"/>
      <c r="C2597" s="29"/>
      <c r="D2597" s="29"/>
      <c r="E2597" s="29"/>
      <c r="F2597" s="2"/>
      <c r="G2597" s="2"/>
      <c r="H2597" s="6"/>
      <c r="I2597" s="6"/>
      <c r="J2597" s="18"/>
      <c r="K2597" s="23"/>
      <c r="L2597" s="5"/>
      <c r="M2597" s="5"/>
      <c r="N2597" s="5"/>
      <c r="O2597" s="5"/>
      <c r="P2597" s="5"/>
      <c r="Q2597" s="5"/>
      <c r="R2597" s="5"/>
      <c r="S2597" s="5"/>
      <c r="T2597" s="5"/>
      <c r="U2597" s="5"/>
      <c r="V2597" s="5"/>
      <c r="W2597" s="5"/>
      <c r="X2597" s="23"/>
      <c r="Y2597" s="18"/>
      <c r="Z2597" s="23"/>
      <c r="AA2597" s="23"/>
      <c r="AB2597" s="5"/>
      <c r="AC2597" s="5"/>
      <c r="AD2597" s="5"/>
      <c r="AE2597" s="5"/>
      <c r="AF2597" s="5"/>
      <c r="AG2597" s="23"/>
      <c r="AH2597" s="5"/>
      <c r="AI2597" s="5"/>
      <c r="AJ2597" s="5"/>
      <c r="AK2597" s="5"/>
      <c r="AL2597" s="6"/>
      <c r="AM2597" s="5"/>
      <c r="AN2597" s="4"/>
      <c r="AO2597" s="4"/>
      <c r="AP2597" s="4"/>
      <c r="AQ2597" s="4"/>
      <c r="AR2597" s="4"/>
      <c r="AS2597" s="4"/>
      <c r="AT2597" s="4"/>
      <c r="AU2597" s="27"/>
      <c r="AV2597" s="39"/>
      <c r="AW2597" s="4"/>
    </row>
    <row r="2598" spans="1:49" ht="14.5" x14ac:dyDescent="0.35">
      <c r="A2598" s="1"/>
      <c r="B2598" s="4"/>
      <c r="C2598" s="29"/>
      <c r="D2598" s="29"/>
      <c r="E2598" s="29"/>
      <c r="F2598" s="2"/>
      <c r="G2598" s="2"/>
      <c r="H2598" s="6"/>
      <c r="I2598" s="6"/>
      <c r="J2598" s="18"/>
      <c r="K2598" s="23"/>
      <c r="L2598" s="5"/>
      <c r="M2598" s="5"/>
      <c r="N2598" s="5"/>
      <c r="O2598" s="5"/>
      <c r="P2598" s="5"/>
      <c r="Q2598" s="5"/>
      <c r="R2598" s="5"/>
      <c r="S2598" s="5"/>
      <c r="T2598" s="5"/>
      <c r="U2598" s="5"/>
      <c r="V2598" s="5"/>
      <c r="W2598" s="5"/>
      <c r="X2598" s="23"/>
      <c r="Y2598" s="18"/>
      <c r="Z2598" s="23"/>
      <c r="AA2598" s="23"/>
      <c r="AB2598" s="5"/>
      <c r="AC2598" s="5"/>
      <c r="AD2598" s="5"/>
      <c r="AE2598" s="5"/>
      <c r="AF2598" s="5"/>
      <c r="AG2598" s="23"/>
      <c r="AH2598" s="5"/>
      <c r="AI2598" s="5"/>
      <c r="AJ2598" s="5"/>
      <c r="AK2598" s="5"/>
      <c r="AL2598" s="6"/>
      <c r="AM2598" s="5"/>
      <c r="AN2598" s="4"/>
      <c r="AO2598" s="4"/>
      <c r="AP2598" s="4"/>
      <c r="AQ2598" s="4"/>
      <c r="AR2598" s="4"/>
      <c r="AS2598" s="4"/>
      <c r="AT2598" s="4"/>
      <c r="AU2598" s="27"/>
      <c r="AV2598" s="39"/>
      <c r="AW2598" s="4"/>
    </row>
    <row r="2599" spans="1:49" ht="14.5" x14ac:dyDescent="0.35">
      <c r="A2599" s="1"/>
      <c r="B2599" s="4"/>
      <c r="C2599" s="29"/>
      <c r="D2599" s="29"/>
      <c r="E2599" s="29"/>
      <c r="F2599" s="2"/>
      <c r="G2599" s="2"/>
      <c r="H2599" s="6"/>
      <c r="I2599" s="6"/>
      <c r="J2599" s="18"/>
      <c r="K2599" s="23"/>
      <c r="L2599" s="5"/>
      <c r="M2599" s="5"/>
      <c r="N2599" s="5"/>
      <c r="O2599" s="5"/>
      <c r="P2599" s="5"/>
      <c r="Q2599" s="5"/>
      <c r="R2599" s="5"/>
      <c r="S2599" s="5"/>
      <c r="T2599" s="5"/>
      <c r="U2599" s="5"/>
      <c r="V2599" s="5"/>
      <c r="W2599" s="5"/>
      <c r="X2599" s="23"/>
      <c r="Y2599" s="18"/>
      <c r="Z2599" s="23"/>
      <c r="AA2599" s="23"/>
      <c r="AB2599" s="5"/>
      <c r="AC2599" s="5"/>
      <c r="AD2599" s="5"/>
      <c r="AE2599" s="5"/>
      <c r="AF2599" s="5"/>
      <c r="AG2599" s="23"/>
      <c r="AH2599" s="5"/>
      <c r="AI2599" s="5"/>
      <c r="AJ2599" s="5"/>
      <c r="AK2599" s="5"/>
      <c r="AL2599" s="6"/>
      <c r="AM2599" s="5"/>
      <c r="AN2599" s="4"/>
      <c r="AO2599" s="4"/>
      <c r="AP2599" s="4"/>
      <c r="AQ2599" s="4"/>
      <c r="AR2599" s="4"/>
      <c r="AS2599" s="4"/>
      <c r="AT2599" s="4"/>
      <c r="AU2599" s="27"/>
      <c r="AV2599" s="39"/>
      <c r="AW2599" s="4"/>
    </row>
    <row r="2600" spans="1:49" ht="14.5" x14ac:dyDescent="0.35">
      <c r="A2600" s="1"/>
      <c r="B2600" s="4"/>
      <c r="C2600" s="29"/>
      <c r="D2600" s="29"/>
      <c r="E2600" s="29"/>
      <c r="F2600" s="2"/>
      <c r="G2600" s="2"/>
      <c r="H2600" s="6"/>
      <c r="I2600" s="6"/>
      <c r="J2600" s="18"/>
      <c r="K2600" s="23"/>
      <c r="L2600" s="5"/>
      <c r="M2600" s="5"/>
      <c r="N2600" s="5"/>
      <c r="O2600" s="5"/>
      <c r="P2600" s="5"/>
      <c r="Q2600" s="5"/>
      <c r="R2600" s="5"/>
      <c r="S2600" s="5"/>
      <c r="T2600" s="5"/>
      <c r="U2600" s="5"/>
      <c r="V2600" s="5"/>
      <c r="W2600" s="5"/>
      <c r="X2600" s="23"/>
      <c r="Y2600" s="18"/>
      <c r="Z2600" s="23"/>
      <c r="AA2600" s="23"/>
      <c r="AB2600" s="5"/>
      <c r="AC2600" s="5"/>
      <c r="AD2600" s="5"/>
      <c r="AE2600" s="5"/>
      <c r="AF2600" s="5"/>
      <c r="AG2600" s="23"/>
      <c r="AH2600" s="5"/>
      <c r="AI2600" s="5"/>
      <c r="AJ2600" s="5"/>
      <c r="AK2600" s="5"/>
      <c r="AL2600" s="6"/>
      <c r="AM2600" s="5"/>
      <c r="AN2600" s="4"/>
      <c r="AO2600" s="4"/>
      <c r="AP2600" s="4"/>
      <c r="AQ2600" s="4"/>
      <c r="AR2600" s="4"/>
      <c r="AS2600" s="4"/>
      <c r="AT2600" s="4"/>
      <c r="AU2600" s="27"/>
      <c r="AV2600" s="39"/>
      <c r="AW2600" s="4"/>
    </row>
    <row r="2601" spans="1:49" ht="14.5" x14ac:dyDescent="0.35">
      <c r="A2601" s="1"/>
      <c r="B2601" s="4"/>
      <c r="C2601" s="29"/>
      <c r="D2601" s="29"/>
      <c r="E2601" s="29"/>
      <c r="F2601" s="2"/>
      <c r="G2601" s="2"/>
      <c r="H2601" s="6"/>
      <c r="I2601" s="6"/>
      <c r="J2601" s="18"/>
      <c r="K2601" s="23"/>
      <c r="L2601" s="5"/>
      <c r="M2601" s="5"/>
      <c r="N2601" s="5"/>
      <c r="O2601" s="5"/>
      <c r="P2601" s="5"/>
      <c r="Q2601" s="5"/>
      <c r="R2601" s="5"/>
      <c r="S2601" s="5"/>
      <c r="T2601" s="5"/>
      <c r="U2601" s="5"/>
      <c r="V2601" s="5"/>
      <c r="W2601" s="5"/>
      <c r="X2601" s="23"/>
      <c r="Y2601" s="18"/>
      <c r="Z2601" s="23"/>
      <c r="AA2601" s="23"/>
      <c r="AB2601" s="5"/>
      <c r="AC2601" s="5"/>
      <c r="AD2601" s="5"/>
      <c r="AE2601" s="5"/>
      <c r="AF2601" s="5"/>
      <c r="AG2601" s="23"/>
      <c r="AH2601" s="5"/>
      <c r="AI2601" s="5"/>
      <c r="AJ2601" s="5"/>
      <c r="AK2601" s="5"/>
      <c r="AL2601" s="6"/>
      <c r="AM2601" s="5"/>
      <c r="AN2601" s="4"/>
      <c r="AO2601" s="4"/>
      <c r="AP2601" s="4"/>
      <c r="AQ2601" s="4"/>
      <c r="AR2601" s="4"/>
      <c r="AS2601" s="4"/>
      <c r="AT2601" s="4"/>
      <c r="AU2601" s="27"/>
      <c r="AV2601" s="39"/>
      <c r="AW2601" s="4"/>
    </row>
    <row r="2602" spans="1:49" ht="14.5" x14ac:dyDescent="0.35">
      <c r="A2602" s="1"/>
      <c r="B2602" s="4"/>
      <c r="C2602" s="29"/>
      <c r="D2602" s="29"/>
      <c r="E2602" s="29"/>
      <c r="F2602" s="2"/>
      <c r="G2602" s="2"/>
      <c r="H2602" s="6"/>
      <c r="I2602" s="6"/>
      <c r="J2602" s="18"/>
      <c r="K2602" s="23"/>
      <c r="L2602" s="5"/>
      <c r="M2602" s="5"/>
      <c r="N2602" s="5"/>
      <c r="O2602" s="5"/>
      <c r="P2602" s="5"/>
      <c r="Q2602" s="5"/>
      <c r="R2602" s="5"/>
      <c r="S2602" s="5"/>
      <c r="T2602" s="5"/>
      <c r="U2602" s="5"/>
      <c r="V2602" s="5"/>
      <c r="W2602" s="5"/>
      <c r="X2602" s="23"/>
      <c r="Y2602" s="18"/>
      <c r="Z2602" s="23"/>
      <c r="AA2602" s="23"/>
      <c r="AB2602" s="5"/>
      <c r="AC2602" s="5"/>
      <c r="AD2602" s="5"/>
      <c r="AE2602" s="5"/>
      <c r="AF2602" s="5"/>
      <c r="AG2602" s="23"/>
      <c r="AH2602" s="5"/>
      <c r="AI2602" s="5"/>
      <c r="AJ2602" s="5"/>
      <c r="AK2602" s="5"/>
      <c r="AL2602" s="6"/>
      <c r="AM2602" s="5"/>
      <c r="AN2602" s="4"/>
      <c r="AO2602" s="4"/>
      <c r="AP2602" s="4"/>
      <c r="AQ2602" s="4"/>
      <c r="AR2602" s="4"/>
      <c r="AS2602" s="4"/>
      <c r="AT2602" s="4"/>
      <c r="AU2602" s="27"/>
      <c r="AV2602" s="39"/>
      <c r="AW2602" s="4"/>
    </row>
    <row r="2603" spans="1:49" ht="14.5" x14ac:dyDescent="0.35">
      <c r="A2603" s="1"/>
      <c r="B2603" s="4"/>
      <c r="C2603" s="29"/>
      <c r="D2603" s="29"/>
      <c r="E2603" s="29"/>
      <c r="F2603" s="2"/>
      <c r="G2603" s="2"/>
      <c r="H2603" s="6"/>
      <c r="I2603" s="6"/>
      <c r="J2603" s="18"/>
      <c r="K2603" s="23"/>
      <c r="L2603" s="5"/>
      <c r="M2603" s="5"/>
      <c r="N2603" s="5"/>
      <c r="O2603" s="5"/>
      <c r="P2603" s="5"/>
      <c r="Q2603" s="5"/>
      <c r="R2603" s="5"/>
      <c r="S2603" s="5"/>
      <c r="T2603" s="5"/>
      <c r="U2603" s="5"/>
      <c r="V2603" s="5"/>
      <c r="W2603" s="5"/>
      <c r="X2603" s="23"/>
      <c r="Y2603" s="18"/>
      <c r="Z2603" s="23"/>
      <c r="AA2603" s="23"/>
      <c r="AB2603" s="5"/>
      <c r="AC2603" s="5"/>
      <c r="AD2603" s="5"/>
      <c r="AE2603" s="5"/>
      <c r="AF2603" s="5"/>
      <c r="AG2603" s="23"/>
      <c r="AH2603" s="5"/>
      <c r="AI2603" s="5"/>
      <c r="AJ2603" s="5"/>
      <c r="AK2603" s="5"/>
      <c r="AL2603" s="6"/>
      <c r="AM2603" s="5"/>
      <c r="AN2603" s="4"/>
      <c r="AO2603" s="4"/>
      <c r="AP2603" s="4"/>
      <c r="AQ2603" s="4"/>
      <c r="AR2603" s="4"/>
      <c r="AS2603" s="4"/>
      <c r="AT2603" s="4"/>
      <c r="AU2603" s="27"/>
      <c r="AV2603" s="39"/>
      <c r="AW2603" s="4"/>
    </row>
    <row r="2604" spans="1:49" ht="14.5" x14ac:dyDescent="0.35">
      <c r="A2604" s="1"/>
      <c r="B2604" s="4"/>
      <c r="C2604" s="29"/>
      <c r="D2604" s="29"/>
      <c r="E2604" s="29"/>
      <c r="F2604" s="2"/>
      <c r="G2604" s="2"/>
      <c r="H2604" s="6"/>
      <c r="I2604" s="6"/>
      <c r="J2604" s="18"/>
      <c r="K2604" s="23"/>
      <c r="L2604" s="5"/>
      <c r="M2604" s="5"/>
      <c r="N2604" s="5"/>
      <c r="O2604" s="5"/>
      <c r="P2604" s="5"/>
      <c r="Q2604" s="5"/>
      <c r="R2604" s="5"/>
      <c r="S2604" s="5"/>
      <c r="T2604" s="5"/>
      <c r="U2604" s="5"/>
      <c r="V2604" s="5"/>
      <c r="W2604" s="5"/>
      <c r="X2604" s="23"/>
      <c r="Y2604" s="18"/>
      <c r="Z2604" s="23"/>
      <c r="AA2604" s="23"/>
      <c r="AB2604" s="5"/>
      <c r="AC2604" s="5"/>
      <c r="AD2604" s="5"/>
      <c r="AE2604" s="5"/>
      <c r="AF2604" s="5"/>
      <c r="AG2604" s="23"/>
      <c r="AH2604" s="5"/>
      <c r="AI2604" s="5"/>
      <c r="AJ2604" s="5"/>
      <c r="AK2604" s="5"/>
      <c r="AL2604" s="6"/>
      <c r="AM2604" s="5"/>
      <c r="AN2604" s="4"/>
      <c r="AO2604" s="4"/>
      <c r="AP2604" s="4"/>
      <c r="AQ2604" s="4"/>
      <c r="AR2604" s="4"/>
      <c r="AS2604" s="4"/>
      <c r="AT2604" s="4"/>
      <c r="AU2604" s="27"/>
      <c r="AV2604" s="39"/>
      <c r="AW2604" s="4"/>
    </row>
    <row r="2605" spans="1:49" ht="14.5" x14ac:dyDescent="0.35">
      <c r="A2605" s="1"/>
      <c r="B2605" s="4"/>
      <c r="C2605" s="29"/>
      <c r="D2605" s="29"/>
      <c r="E2605" s="29"/>
      <c r="F2605" s="2"/>
      <c r="G2605" s="2"/>
      <c r="H2605" s="6"/>
      <c r="I2605" s="6"/>
      <c r="J2605" s="18"/>
      <c r="K2605" s="23"/>
      <c r="L2605" s="5"/>
      <c r="M2605" s="5"/>
      <c r="N2605" s="5"/>
      <c r="O2605" s="5"/>
      <c r="P2605" s="5"/>
      <c r="Q2605" s="5"/>
      <c r="R2605" s="5"/>
      <c r="S2605" s="5"/>
      <c r="T2605" s="5"/>
      <c r="U2605" s="5"/>
      <c r="V2605" s="5"/>
      <c r="W2605" s="5"/>
      <c r="X2605" s="23"/>
      <c r="Y2605" s="18"/>
      <c r="Z2605" s="23"/>
      <c r="AA2605" s="23"/>
      <c r="AB2605" s="5"/>
      <c r="AC2605" s="5"/>
      <c r="AD2605" s="5"/>
      <c r="AE2605" s="5"/>
      <c r="AF2605" s="5"/>
      <c r="AG2605" s="23"/>
      <c r="AH2605" s="5"/>
      <c r="AI2605" s="5"/>
      <c r="AJ2605" s="5"/>
      <c r="AK2605" s="5"/>
      <c r="AL2605" s="6"/>
      <c r="AM2605" s="5"/>
      <c r="AN2605" s="4"/>
      <c r="AO2605" s="4"/>
      <c r="AP2605" s="4"/>
      <c r="AQ2605" s="4"/>
      <c r="AR2605" s="4"/>
      <c r="AS2605" s="4"/>
      <c r="AT2605" s="4"/>
      <c r="AU2605" s="27"/>
      <c r="AV2605" s="39"/>
      <c r="AW2605" s="4"/>
    </row>
    <row r="2606" spans="1:49" ht="14.5" x14ac:dyDescent="0.35">
      <c r="A2606" s="1"/>
      <c r="B2606" s="4"/>
      <c r="C2606" s="29"/>
      <c r="D2606" s="29"/>
      <c r="E2606" s="29"/>
      <c r="F2606" s="2"/>
      <c r="G2606" s="2"/>
      <c r="H2606" s="6"/>
      <c r="I2606" s="6"/>
      <c r="J2606" s="18"/>
      <c r="K2606" s="23"/>
      <c r="L2606" s="5"/>
      <c r="M2606" s="5"/>
      <c r="N2606" s="5"/>
      <c r="O2606" s="5"/>
      <c r="P2606" s="5"/>
      <c r="Q2606" s="5"/>
      <c r="R2606" s="5"/>
      <c r="S2606" s="5"/>
      <c r="T2606" s="5"/>
      <c r="U2606" s="5"/>
      <c r="V2606" s="5"/>
      <c r="W2606" s="5"/>
      <c r="X2606" s="23"/>
      <c r="Y2606" s="18"/>
      <c r="Z2606" s="23"/>
      <c r="AA2606" s="23"/>
      <c r="AB2606" s="5"/>
      <c r="AC2606" s="5"/>
      <c r="AD2606" s="5"/>
      <c r="AE2606" s="5"/>
      <c r="AF2606" s="5"/>
      <c r="AG2606" s="23"/>
      <c r="AH2606" s="5"/>
      <c r="AI2606" s="5"/>
      <c r="AJ2606" s="5"/>
      <c r="AK2606" s="5"/>
      <c r="AL2606" s="6"/>
      <c r="AM2606" s="5"/>
      <c r="AN2606" s="4"/>
      <c r="AO2606" s="4"/>
      <c r="AP2606" s="4"/>
      <c r="AQ2606" s="4"/>
      <c r="AR2606" s="4"/>
      <c r="AS2606" s="4"/>
      <c r="AT2606" s="4"/>
      <c r="AU2606" s="27"/>
      <c r="AV2606" s="39"/>
      <c r="AW2606" s="4"/>
    </row>
    <row r="2607" spans="1:49" ht="14.5" x14ac:dyDescent="0.35">
      <c r="A2607" s="1"/>
      <c r="B2607" s="4"/>
      <c r="C2607" s="29"/>
      <c r="D2607" s="29"/>
      <c r="E2607" s="29"/>
      <c r="F2607" s="2"/>
      <c r="G2607" s="2"/>
      <c r="H2607" s="6"/>
      <c r="I2607" s="6"/>
      <c r="J2607" s="18"/>
      <c r="K2607" s="23"/>
      <c r="L2607" s="5"/>
      <c r="M2607" s="5"/>
      <c r="N2607" s="5"/>
      <c r="O2607" s="5"/>
      <c r="P2607" s="5"/>
      <c r="Q2607" s="5"/>
      <c r="R2607" s="5"/>
      <c r="S2607" s="5"/>
      <c r="T2607" s="5"/>
      <c r="U2607" s="5"/>
      <c r="V2607" s="5"/>
      <c r="W2607" s="5"/>
      <c r="X2607" s="23"/>
      <c r="Y2607" s="18"/>
      <c r="Z2607" s="23"/>
      <c r="AA2607" s="23"/>
      <c r="AB2607" s="5"/>
      <c r="AC2607" s="5"/>
      <c r="AD2607" s="5"/>
      <c r="AE2607" s="5"/>
      <c r="AF2607" s="5"/>
      <c r="AG2607" s="23"/>
      <c r="AH2607" s="5"/>
      <c r="AI2607" s="5"/>
      <c r="AJ2607" s="5"/>
      <c r="AK2607" s="5"/>
      <c r="AL2607" s="6"/>
      <c r="AM2607" s="5"/>
      <c r="AN2607" s="4"/>
      <c r="AO2607" s="4"/>
      <c r="AP2607" s="4"/>
      <c r="AQ2607" s="4"/>
      <c r="AR2607" s="4"/>
      <c r="AS2607" s="4"/>
      <c r="AT2607" s="4"/>
      <c r="AU2607" s="27"/>
      <c r="AV2607" s="39"/>
      <c r="AW2607" s="4"/>
    </row>
    <row r="2608" spans="1:49" ht="14.5" x14ac:dyDescent="0.35">
      <c r="A2608" s="1"/>
      <c r="B2608" s="4"/>
      <c r="C2608" s="29"/>
      <c r="D2608" s="29"/>
      <c r="E2608" s="29"/>
      <c r="F2608" s="2"/>
      <c r="G2608" s="2"/>
      <c r="H2608" s="6"/>
      <c r="I2608" s="6"/>
      <c r="J2608" s="18"/>
      <c r="K2608" s="23"/>
      <c r="L2608" s="5"/>
      <c r="M2608" s="5"/>
      <c r="N2608" s="5"/>
      <c r="O2608" s="5"/>
      <c r="P2608" s="5"/>
      <c r="Q2608" s="5"/>
      <c r="R2608" s="5"/>
      <c r="S2608" s="5"/>
      <c r="T2608" s="5"/>
      <c r="U2608" s="5"/>
      <c r="V2608" s="5"/>
      <c r="W2608" s="5"/>
      <c r="X2608" s="23"/>
      <c r="Y2608" s="18"/>
      <c r="Z2608" s="23"/>
      <c r="AA2608" s="23"/>
      <c r="AB2608" s="5"/>
      <c r="AC2608" s="5"/>
      <c r="AD2608" s="5"/>
      <c r="AE2608" s="5"/>
      <c r="AF2608" s="5"/>
      <c r="AG2608" s="23"/>
      <c r="AH2608" s="5"/>
      <c r="AI2608" s="5"/>
      <c r="AJ2608" s="5"/>
      <c r="AK2608" s="5"/>
      <c r="AL2608" s="6"/>
      <c r="AM2608" s="5"/>
      <c r="AN2608" s="4"/>
      <c r="AO2608" s="4"/>
      <c r="AP2608" s="4"/>
      <c r="AQ2608" s="4"/>
      <c r="AR2608" s="4"/>
      <c r="AS2608" s="4"/>
      <c r="AT2608" s="4"/>
      <c r="AU2608" s="27"/>
      <c r="AV2608" s="39"/>
      <c r="AW2608" s="4"/>
    </row>
    <row r="2609" spans="1:49" ht="14.5" x14ac:dyDescent="0.35">
      <c r="A2609" s="1"/>
      <c r="B2609" s="4"/>
      <c r="C2609" s="29"/>
      <c r="D2609" s="29"/>
      <c r="E2609" s="29"/>
      <c r="F2609" s="2"/>
      <c r="G2609" s="2"/>
      <c r="H2609" s="6"/>
      <c r="I2609" s="6"/>
      <c r="J2609" s="18"/>
      <c r="K2609" s="23"/>
      <c r="L2609" s="5"/>
      <c r="M2609" s="5"/>
      <c r="N2609" s="5"/>
      <c r="O2609" s="5"/>
      <c r="P2609" s="5"/>
      <c r="Q2609" s="5"/>
      <c r="R2609" s="5"/>
      <c r="S2609" s="5"/>
      <c r="T2609" s="5"/>
      <c r="U2609" s="5"/>
      <c r="V2609" s="5"/>
      <c r="W2609" s="5"/>
      <c r="X2609" s="23"/>
      <c r="Y2609" s="18"/>
      <c r="Z2609" s="23"/>
      <c r="AA2609" s="23"/>
      <c r="AB2609" s="5"/>
      <c r="AC2609" s="5"/>
      <c r="AD2609" s="5"/>
      <c r="AE2609" s="5"/>
      <c r="AF2609" s="5"/>
      <c r="AG2609" s="23"/>
      <c r="AH2609" s="5"/>
      <c r="AI2609" s="5"/>
      <c r="AJ2609" s="5"/>
      <c r="AK2609" s="5"/>
      <c r="AL2609" s="6"/>
      <c r="AM2609" s="5"/>
      <c r="AN2609" s="4"/>
      <c r="AO2609" s="4"/>
      <c r="AP2609" s="4"/>
      <c r="AQ2609" s="4"/>
      <c r="AR2609" s="4"/>
      <c r="AS2609" s="4"/>
      <c r="AT2609" s="4"/>
      <c r="AU2609" s="27"/>
      <c r="AV2609" s="39"/>
      <c r="AW2609" s="4"/>
    </row>
    <row r="2610" spans="1:49" ht="14.5" x14ac:dyDescent="0.35">
      <c r="A2610" s="1"/>
      <c r="B2610" s="4"/>
      <c r="C2610" s="29"/>
      <c r="D2610" s="29"/>
      <c r="E2610" s="29"/>
      <c r="F2610" s="2"/>
      <c r="G2610" s="2"/>
      <c r="H2610" s="6"/>
      <c r="I2610" s="6"/>
      <c r="J2610" s="18"/>
      <c r="K2610" s="23"/>
      <c r="L2610" s="5"/>
      <c r="M2610" s="5"/>
      <c r="N2610" s="5"/>
      <c r="O2610" s="5"/>
      <c r="P2610" s="5"/>
      <c r="Q2610" s="5"/>
      <c r="R2610" s="5"/>
      <c r="S2610" s="5"/>
      <c r="T2610" s="5"/>
      <c r="U2610" s="5"/>
      <c r="V2610" s="5"/>
      <c r="W2610" s="5"/>
      <c r="X2610" s="23"/>
      <c r="Y2610" s="18"/>
      <c r="Z2610" s="23"/>
      <c r="AA2610" s="23"/>
      <c r="AB2610" s="5"/>
      <c r="AC2610" s="5"/>
      <c r="AD2610" s="5"/>
      <c r="AE2610" s="5"/>
      <c r="AF2610" s="5"/>
      <c r="AG2610" s="23"/>
      <c r="AH2610" s="5"/>
      <c r="AI2610" s="5"/>
      <c r="AJ2610" s="5"/>
      <c r="AK2610" s="5"/>
      <c r="AL2610" s="6"/>
      <c r="AM2610" s="5"/>
      <c r="AN2610" s="4"/>
      <c r="AO2610" s="4"/>
      <c r="AP2610" s="4"/>
      <c r="AQ2610" s="4"/>
      <c r="AR2610" s="4"/>
      <c r="AS2610" s="4"/>
      <c r="AT2610" s="4"/>
      <c r="AU2610" s="27"/>
      <c r="AV2610" s="39"/>
      <c r="AW2610" s="4"/>
    </row>
    <row r="2611" spans="1:49" ht="14.5" x14ac:dyDescent="0.35">
      <c r="A2611" s="1"/>
      <c r="B2611" s="4"/>
      <c r="C2611" s="29"/>
      <c r="D2611" s="29"/>
      <c r="E2611" s="29"/>
      <c r="F2611" s="2"/>
      <c r="G2611" s="2"/>
      <c r="H2611" s="6"/>
      <c r="I2611" s="6"/>
      <c r="J2611" s="18"/>
      <c r="K2611" s="23"/>
      <c r="L2611" s="5"/>
      <c r="M2611" s="5"/>
      <c r="N2611" s="5"/>
      <c r="O2611" s="5"/>
      <c r="P2611" s="5"/>
      <c r="Q2611" s="5"/>
      <c r="R2611" s="5"/>
      <c r="S2611" s="5"/>
      <c r="T2611" s="5"/>
      <c r="U2611" s="5"/>
      <c r="V2611" s="5"/>
      <c r="W2611" s="5"/>
      <c r="X2611" s="23"/>
      <c r="Y2611" s="18"/>
      <c r="Z2611" s="23"/>
      <c r="AA2611" s="23"/>
      <c r="AB2611" s="5"/>
      <c r="AC2611" s="5"/>
      <c r="AD2611" s="5"/>
      <c r="AE2611" s="5"/>
      <c r="AF2611" s="5"/>
      <c r="AG2611" s="23"/>
      <c r="AH2611" s="5"/>
      <c r="AI2611" s="5"/>
      <c r="AJ2611" s="5"/>
      <c r="AK2611" s="5"/>
      <c r="AL2611" s="6"/>
      <c r="AM2611" s="5"/>
      <c r="AN2611" s="4"/>
      <c r="AO2611" s="4"/>
      <c r="AP2611" s="4"/>
      <c r="AQ2611" s="4"/>
      <c r="AR2611" s="4"/>
      <c r="AS2611" s="4"/>
      <c r="AT2611" s="4"/>
      <c r="AU2611" s="27"/>
      <c r="AV2611" s="39"/>
      <c r="AW2611" s="4"/>
    </row>
    <row r="2612" spans="1:49" ht="14.5" x14ac:dyDescent="0.35">
      <c r="A2612" s="1"/>
      <c r="B2612" s="4"/>
      <c r="C2612" s="29"/>
      <c r="D2612" s="29"/>
      <c r="E2612" s="29"/>
      <c r="F2612" s="2"/>
      <c r="G2612" s="2"/>
      <c r="H2612" s="6"/>
      <c r="I2612" s="6"/>
      <c r="J2612" s="18"/>
      <c r="K2612" s="23"/>
      <c r="L2612" s="5"/>
      <c r="M2612" s="5"/>
      <c r="N2612" s="5"/>
      <c r="O2612" s="5"/>
      <c r="P2612" s="5"/>
      <c r="Q2612" s="5"/>
      <c r="R2612" s="5"/>
      <c r="S2612" s="5"/>
      <c r="T2612" s="5"/>
      <c r="U2612" s="5"/>
      <c r="V2612" s="5"/>
      <c r="W2612" s="5"/>
      <c r="X2612" s="23"/>
      <c r="Y2612" s="18"/>
      <c r="Z2612" s="23"/>
      <c r="AA2612" s="23"/>
      <c r="AB2612" s="5"/>
      <c r="AC2612" s="5"/>
      <c r="AD2612" s="5"/>
      <c r="AE2612" s="5"/>
      <c r="AF2612" s="5"/>
      <c r="AG2612" s="23"/>
      <c r="AH2612" s="5"/>
      <c r="AI2612" s="5"/>
      <c r="AJ2612" s="5"/>
      <c r="AK2612" s="5"/>
      <c r="AL2612" s="6"/>
      <c r="AM2612" s="5"/>
      <c r="AN2612" s="4"/>
      <c r="AO2612" s="4"/>
      <c r="AP2612" s="4"/>
      <c r="AQ2612" s="4"/>
      <c r="AR2612" s="4"/>
      <c r="AS2612" s="4"/>
      <c r="AT2612" s="4"/>
      <c r="AU2612" s="27"/>
      <c r="AV2612" s="39"/>
      <c r="AW2612" s="4"/>
    </row>
    <row r="2613" spans="1:49" ht="14.5" x14ac:dyDescent="0.35">
      <c r="A2613" s="1"/>
      <c r="B2613" s="4"/>
      <c r="C2613" s="29"/>
      <c r="D2613" s="29"/>
      <c r="E2613" s="29"/>
      <c r="F2613" s="2"/>
      <c r="G2613" s="2"/>
      <c r="H2613" s="6"/>
      <c r="I2613" s="6"/>
      <c r="J2613" s="18"/>
      <c r="K2613" s="23"/>
      <c r="L2613" s="5"/>
      <c r="M2613" s="5"/>
      <c r="N2613" s="5"/>
      <c r="O2613" s="5"/>
      <c r="P2613" s="5"/>
      <c r="Q2613" s="5"/>
      <c r="R2613" s="5"/>
      <c r="S2613" s="5"/>
      <c r="T2613" s="5"/>
      <c r="U2613" s="5"/>
      <c r="V2613" s="5"/>
      <c r="W2613" s="5"/>
      <c r="X2613" s="23"/>
      <c r="Y2613" s="18"/>
      <c r="Z2613" s="23"/>
      <c r="AA2613" s="23"/>
      <c r="AB2613" s="5"/>
      <c r="AC2613" s="5"/>
      <c r="AD2613" s="5"/>
      <c r="AE2613" s="5"/>
      <c r="AF2613" s="5"/>
      <c r="AG2613" s="23"/>
      <c r="AH2613" s="5"/>
      <c r="AI2613" s="5"/>
      <c r="AJ2613" s="5"/>
      <c r="AK2613" s="5"/>
      <c r="AL2613" s="6"/>
      <c r="AM2613" s="5"/>
      <c r="AN2613" s="4"/>
      <c r="AO2613" s="4"/>
      <c r="AP2613" s="4"/>
      <c r="AQ2613" s="4"/>
      <c r="AR2613" s="4"/>
      <c r="AS2613" s="4"/>
      <c r="AT2613" s="4"/>
      <c r="AU2613" s="27"/>
      <c r="AV2613" s="39"/>
      <c r="AW2613" s="4"/>
    </row>
    <row r="2614" spans="1:49" ht="14.5" x14ac:dyDescent="0.35">
      <c r="A2614" s="1"/>
      <c r="B2614" s="4"/>
      <c r="C2614" s="29"/>
      <c r="D2614" s="29"/>
      <c r="E2614" s="29"/>
      <c r="F2614" s="2"/>
      <c r="G2614" s="2"/>
      <c r="H2614" s="6"/>
      <c r="I2614" s="6"/>
      <c r="J2614" s="18"/>
      <c r="K2614" s="23"/>
      <c r="L2614" s="5"/>
      <c r="M2614" s="5"/>
      <c r="N2614" s="5"/>
      <c r="O2614" s="5"/>
      <c r="P2614" s="5"/>
      <c r="Q2614" s="5"/>
      <c r="R2614" s="5"/>
      <c r="S2614" s="5"/>
      <c r="T2614" s="5"/>
      <c r="U2614" s="5"/>
      <c r="V2614" s="5"/>
      <c r="W2614" s="5"/>
      <c r="X2614" s="23"/>
      <c r="Y2614" s="18"/>
      <c r="Z2614" s="23"/>
      <c r="AA2614" s="23"/>
      <c r="AB2614" s="5"/>
      <c r="AC2614" s="5"/>
      <c r="AD2614" s="5"/>
      <c r="AE2614" s="5"/>
      <c r="AF2614" s="5"/>
      <c r="AG2614" s="23"/>
      <c r="AH2614" s="5"/>
      <c r="AI2614" s="5"/>
      <c r="AJ2614" s="5"/>
      <c r="AK2614" s="5"/>
      <c r="AL2614" s="6"/>
      <c r="AM2614" s="5"/>
      <c r="AN2614" s="4"/>
      <c r="AO2614" s="4"/>
      <c r="AP2614" s="4"/>
      <c r="AQ2614" s="4"/>
      <c r="AR2614" s="4"/>
      <c r="AS2614" s="4"/>
      <c r="AT2614" s="4"/>
      <c r="AU2614" s="27"/>
      <c r="AV2614" s="39"/>
      <c r="AW2614" s="4"/>
    </row>
    <row r="2615" spans="1:49" ht="14.5" x14ac:dyDescent="0.35">
      <c r="A2615" s="1"/>
      <c r="B2615" s="4"/>
      <c r="C2615" s="29"/>
      <c r="D2615" s="29"/>
      <c r="E2615" s="29"/>
      <c r="F2615" s="2"/>
      <c r="G2615" s="2"/>
      <c r="H2615" s="6"/>
      <c r="I2615" s="6"/>
      <c r="J2615" s="18"/>
      <c r="K2615" s="23"/>
      <c r="L2615" s="5"/>
      <c r="M2615" s="5"/>
      <c r="N2615" s="5"/>
      <c r="O2615" s="5"/>
      <c r="P2615" s="5"/>
      <c r="Q2615" s="5"/>
      <c r="R2615" s="5"/>
      <c r="S2615" s="5"/>
      <c r="T2615" s="5"/>
      <c r="U2615" s="5"/>
      <c r="V2615" s="5"/>
      <c r="W2615" s="5"/>
      <c r="X2615" s="23"/>
      <c r="Y2615" s="18"/>
      <c r="Z2615" s="23"/>
      <c r="AA2615" s="23"/>
      <c r="AB2615" s="5"/>
      <c r="AC2615" s="5"/>
      <c r="AD2615" s="5"/>
      <c r="AE2615" s="5"/>
      <c r="AF2615" s="5"/>
      <c r="AG2615" s="23"/>
      <c r="AH2615" s="5"/>
      <c r="AI2615" s="5"/>
      <c r="AJ2615" s="5"/>
      <c r="AK2615" s="5"/>
      <c r="AL2615" s="6"/>
      <c r="AM2615" s="5"/>
      <c r="AN2615" s="4"/>
      <c r="AO2615" s="4"/>
      <c r="AP2615" s="4"/>
      <c r="AQ2615" s="4"/>
      <c r="AR2615" s="4"/>
      <c r="AS2615" s="4"/>
      <c r="AT2615" s="4"/>
      <c r="AU2615" s="27"/>
      <c r="AV2615" s="39"/>
      <c r="AW2615" s="4"/>
    </row>
    <row r="2616" spans="1:49" ht="14.5" x14ac:dyDescent="0.35">
      <c r="A2616" s="1"/>
      <c r="B2616" s="4"/>
      <c r="C2616" s="29"/>
      <c r="D2616" s="29"/>
      <c r="E2616" s="29"/>
      <c r="F2616" s="2"/>
      <c r="G2616" s="2"/>
      <c r="H2616" s="6"/>
      <c r="I2616" s="6"/>
      <c r="J2616" s="18"/>
      <c r="K2616" s="23"/>
      <c r="L2616" s="5"/>
      <c r="M2616" s="5"/>
      <c r="N2616" s="5"/>
      <c r="O2616" s="5"/>
      <c r="P2616" s="5"/>
      <c r="Q2616" s="5"/>
      <c r="R2616" s="5"/>
      <c r="S2616" s="5"/>
      <c r="T2616" s="5"/>
      <c r="U2616" s="5"/>
      <c r="V2616" s="5"/>
      <c r="W2616" s="5"/>
      <c r="X2616" s="23"/>
      <c r="Y2616" s="18"/>
      <c r="Z2616" s="23"/>
      <c r="AA2616" s="23"/>
      <c r="AB2616" s="5"/>
      <c r="AC2616" s="5"/>
      <c r="AD2616" s="5"/>
      <c r="AE2616" s="5"/>
      <c r="AF2616" s="5"/>
      <c r="AG2616" s="23"/>
      <c r="AH2616" s="5"/>
      <c r="AI2616" s="5"/>
      <c r="AJ2616" s="5"/>
      <c r="AK2616" s="5"/>
      <c r="AL2616" s="6"/>
      <c r="AM2616" s="5"/>
      <c r="AN2616" s="4"/>
      <c r="AO2616" s="4"/>
      <c r="AP2616" s="4"/>
      <c r="AQ2616" s="4"/>
      <c r="AR2616" s="4"/>
      <c r="AS2616" s="4"/>
      <c r="AT2616" s="4"/>
      <c r="AU2616" s="27"/>
      <c r="AV2616" s="39"/>
      <c r="AW2616" s="4"/>
    </row>
    <row r="2617" spans="1:49" ht="14.5" x14ac:dyDescent="0.35">
      <c r="A2617" s="1"/>
      <c r="B2617" s="4"/>
      <c r="C2617" s="29"/>
      <c r="D2617" s="29"/>
      <c r="E2617" s="29"/>
      <c r="F2617" s="2"/>
      <c r="G2617" s="2"/>
      <c r="H2617" s="6"/>
      <c r="I2617" s="6"/>
      <c r="J2617" s="18"/>
      <c r="K2617" s="23"/>
      <c r="L2617" s="5"/>
      <c r="M2617" s="5"/>
      <c r="N2617" s="5"/>
      <c r="O2617" s="5"/>
      <c r="P2617" s="5"/>
      <c r="Q2617" s="5"/>
      <c r="R2617" s="5"/>
      <c r="S2617" s="5"/>
      <c r="T2617" s="5"/>
      <c r="U2617" s="5"/>
      <c r="V2617" s="5"/>
      <c r="W2617" s="5"/>
      <c r="X2617" s="23"/>
      <c r="Y2617" s="18"/>
      <c r="Z2617" s="23"/>
      <c r="AA2617" s="23"/>
      <c r="AB2617" s="5"/>
      <c r="AC2617" s="5"/>
      <c r="AD2617" s="5"/>
      <c r="AE2617" s="5"/>
      <c r="AF2617" s="5"/>
      <c r="AG2617" s="23"/>
      <c r="AH2617" s="5"/>
      <c r="AI2617" s="5"/>
      <c r="AJ2617" s="5"/>
      <c r="AK2617" s="5"/>
      <c r="AL2617" s="6"/>
      <c r="AM2617" s="5"/>
      <c r="AN2617" s="4"/>
      <c r="AO2617" s="4"/>
      <c r="AP2617" s="4"/>
      <c r="AQ2617" s="4"/>
      <c r="AR2617" s="4"/>
      <c r="AS2617" s="4"/>
      <c r="AT2617" s="4"/>
      <c r="AU2617" s="27"/>
      <c r="AV2617" s="39"/>
      <c r="AW2617" s="4"/>
    </row>
    <row r="2618" spans="1:49" ht="14.5" x14ac:dyDescent="0.35">
      <c r="A2618" s="1"/>
      <c r="B2618" s="4"/>
      <c r="C2618" s="29"/>
      <c r="D2618" s="29"/>
      <c r="E2618" s="29"/>
      <c r="F2618" s="2"/>
      <c r="G2618" s="2"/>
      <c r="H2618" s="6"/>
      <c r="I2618" s="6"/>
      <c r="J2618" s="18"/>
      <c r="K2618" s="23"/>
      <c r="L2618" s="5"/>
      <c r="M2618" s="5"/>
      <c r="N2618" s="5"/>
      <c r="O2618" s="5"/>
      <c r="P2618" s="5"/>
      <c r="Q2618" s="5"/>
      <c r="R2618" s="5"/>
      <c r="S2618" s="5"/>
      <c r="T2618" s="5"/>
      <c r="U2618" s="5"/>
      <c r="V2618" s="5"/>
      <c r="W2618" s="5"/>
      <c r="X2618" s="23"/>
      <c r="Y2618" s="18"/>
      <c r="Z2618" s="23"/>
      <c r="AA2618" s="23"/>
      <c r="AB2618" s="5"/>
      <c r="AC2618" s="5"/>
      <c r="AD2618" s="5"/>
      <c r="AE2618" s="5"/>
      <c r="AF2618" s="5"/>
      <c r="AG2618" s="23"/>
      <c r="AH2618" s="5"/>
      <c r="AI2618" s="5"/>
      <c r="AJ2618" s="5"/>
      <c r="AK2618" s="5"/>
      <c r="AL2618" s="6"/>
      <c r="AM2618" s="5"/>
      <c r="AN2618" s="4"/>
      <c r="AO2618" s="4"/>
      <c r="AP2618" s="4"/>
      <c r="AQ2618" s="4"/>
      <c r="AR2618" s="4"/>
      <c r="AS2618" s="4"/>
      <c r="AT2618" s="4"/>
      <c r="AU2618" s="27"/>
      <c r="AV2618" s="39"/>
      <c r="AW2618" s="4"/>
    </row>
    <row r="2619" spans="1:49" ht="14.5" x14ac:dyDescent="0.35">
      <c r="A2619" s="1"/>
      <c r="B2619" s="4"/>
      <c r="C2619" s="29"/>
      <c r="D2619" s="29"/>
      <c r="E2619" s="29"/>
      <c r="F2619" s="2"/>
      <c r="G2619" s="2"/>
      <c r="H2619" s="6"/>
      <c r="I2619" s="6"/>
      <c r="J2619" s="18"/>
      <c r="K2619" s="23"/>
      <c r="L2619" s="5"/>
      <c r="M2619" s="5"/>
      <c r="N2619" s="5"/>
      <c r="O2619" s="5"/>
      <c r="P2619" s="5"/>
      <c r="Q2619" s="5"/>
      <c r="R2619" s="5"/>
      <c r="S2619" s="5"/>
      <c r="T2619" s="5"/>
      <c r="U2619" s="5"/>
      <c r="V2619" s="5"/>
      <c r="W2619" s="5"/>
      <c r="X2619" s="23"/>
      <c r="Y2619" s="18"/>
      <c r="Z2619" s="23"/>
      <c r="AA2619" s="23"/>
      <c r="AB2619" s="5"/>
      <c r="AC2619" s="5"/>
      <c r="AD2619" s="5"/>
      <c r="AE2619" s="5"/>
      <c r="AF2619" s="5"/>
      <c r="AG2619" s="23"/>
      <c r="AH2619" s="5"/>
      <c r="AI2619" s="5"/>
      <c r="AJ2619" s="5"/>
      <c r="AK2619" s="5"/>
      <c r="AL2619" s="6"/>
      <c r="AM2619" s="5"/>
      <c r="AN2619" s="4"/>
      <c r="AO2619" s="4"/>
      <c r="AP2619" s="4"/>
      <c r="AQ2619" s="4"/>
      <c r="AR2619" s="4"/>
      <c r="AS2619" s="4"/>
      <c r="AT2619" s="4"/>
      <c r="AU2619" s="27"/>
      <c r="AV2619" s="39"/>
      <c r="AW2619" s="4"/>
    </row>
    <row r="2620" spans="1:49" ht="14.5" x14ac:dyDescent="0.35">
      <c r="A2620" s="1"/>
      <c r="B2620" s="4"/>
      <c r="C2620" s="29"/>
      <c r="D2620" s="29"/>
      <c r="E2620" s="29"/>
      <c r="F2620" s="2"/>
      <c r="G2620" s="2"/>
      <c r="H2620" s="6"/>
      <c r="I2620" s="6"/>
      <c r="J2620" s="18"/>
      <c r="K2620" s="23"/>
      <c r="L2620" s="5"/>
      <c r="M2620" s="5"/>
      <c r="N2620" s="5"/>
      <c r="O2620" s="5"/>
      <c r="P2620" s="5"/>
      <c r="Q2620" s="5"/>
      <c r="R2620" s="5"/>
      <c r="S2620" s="5"/>
      <c r="T2620" s="5"/>
      <c r="U2620" s="5"/>
      <c r="V2620" s="5"/>
      <c r="W2620" s="5"/>
      <c r="X2620" s="23"/>
      <c r="Y2620" s="18"/>
      <c r="Z2620" s="23"/>
      <c r="AA2620" s="23"/>
      <c r="AB2620" s="5"/>
      <c r="AC2620" s="5"/>
      <c r="AD2620" s="5"/>
      <c r="AE2620" s="5"/>
      <c r="AF2620" s="5"/>
      <c r="AG2620" s="23"/>
      <c r="AH2620" s="5"/>
      <c r="AI2620" s="5"/>
      <c r="AJ2620" s="5"/>
      <c r="AK2620" s="5"/>
      <c r="AL2620" s="6"/>
      <c r="AM2620" s="5"/>
      <c r="AN2620" s="4"/>
      <c r="AO2620" s="4"/>
      <c r="AP2620" s="4"/>
      <c r="AQ2620" s="4"/>
      <c r="AR2620" s="4"/>
      <c r="AS2620" s="4"/>
      <c r="AT2620" s="4"/>
      <c r="AU2620" s="27"/>
      <c r="AV2620" s="39"/>
      <c r="AW2620" s="4"/>
    </row>
    <row r="2621" spans="1:49" ht="14.5" x14ac:dyDescent="0.35">
      <c r="A2621" s="1"/>
      <c r="B2621" s="4"/>
      <c r="C2621" s="29"/>
      <c r="D2621" s="29"/>
      <c r="E2621" s="29"/>
      <c r="F2621" s="2"/>
      <c r="G2621" s="2"/>
      <c r="H2621" s="6"/>
      <c r="I2621" s="6"/>
      <c r="J2621" s="18"/>
      <c r="K2621" s="23"/>
      <c r="L2621" s="5"/>
      <c r="M2621" s="5"/>
      <c r="N2621" s="5"/>
      <c r="O2621" s="5"/>
      <c r="P2621" s="5"/>
      <c r="Q2621" s="5"/>
      <c r="R2621" s="5"/>
      <c r="S2621" s="5"/>
      <c r="T2621" s="5"/>
      <c r="U2621" s="5"/>
      <c r="V2621" s="5"/>
      <c r="W2621" s="5"/>
      <c r="X2621" s="23"/>
      <c r="Y2621" s="18"/>
      <c r="Z2621" s="23"/>
      <c r="AA2621" s="23"/>
      <c r="AB2621" s="5"/>
      <c r="AC2621" s="5"/>
      <c r="AD2621" s="5"/>
      <c r="AE2621" s="5"/>
      <c r="AF2621" s="5"/>
      <c r="AG2621" s="23"/>
      <c r="AH2621" s="5"/>
      <c r="AI2621" s="5"/>
      <c r="AJ2621" s="5"/>
      <c r="AK2621" s="5"/>
      <c r="AL2621" s="6"/>
      <c r="AM2621" s="5"/>
      <c r="AN2621" s="4"/>
      <c r="AO2621" s="4"/>
      <c r="AP2621" s="4"/>
      <c r="AQ2621" s="4"/>
      <c r="AR2621" s="4"/>
      <c r="AS2621" s="4"/>
      <c r="AT2621" s="4"/>
      <c r="AU2621" s="27"/>
      <c r="AV2621" s="39"/>
      <c r="AW2621" s="4"/>
    </row>
    <row r="2622" spans="1:49" ht="14.5" x14ac:dyDescent="0.35">
      <c r="A2622" s="1"/>
      <c r="B2622" s="4"/>
      <c r="C2622" s="29"/>
      <c r="D2622" s="29"/>
      <c r="E2622" s="29"/>
      <c r="F2622" s="2"/>
      <c r="G2622" s="2"/>
      <c r="H2622" s="6"/>
      <c r="I2622" s="6"/>
      <c r="J2622" s="18"/>
      <c r="K2622" s="23"/>
      <c r="L2622" s="5"/>
      <c r="M2622" s="5"/>
      <c r="N2622" s="5"/>
      <c r="O2622" s="5"/>
      <c r="P2622" s="5"/>
      <c r="Q2622" s="5"/>
      <c r="R2622" s="5"/>
      <c r="S2622" s="5"/>
      <c r="T2622" s="5"/>
      <c r="U2622" s="5"/>
      <c r="V2622" s="5"/>
      <c r="W2622" s="5"/>
      <c r="X2622" s="23"/>
      <c r="Y2622" s="18"/>
      <c r="Z2622" s="23"/>
      <c r="AA2622" s="23"/>
      <c r="AB2622" s="5"/>
      <c r="AC2622" s="5"/>
      <c r="AD2622" s="5"/>
      <c r="AE2622" s="5"/>
      <c r="AF2622" s="5"/>
      <c r="AG2622" s="23"/>
      <c r="AH2622" s="5"/>
      <c r="AI2622" s="5"/>
      <c r="AJ2622" s="5"/>
      <c r="AK2622" s="5"/>
      <c r="AL2622" s="6"/>
      <c r="AM2622" s="5"/>
      <c r="AN2622" s="4"/>
      <c r="AO2622" s="4"/>
      <c r="AP2622" s="4"/>
      <c r="AQ2622" s="4"/>
      <c r="AR2622" s="4"/>
      <c r="AS2622" s="4"/>
      <c r="AT2622" s="4"/>
      <c r="AU2622" s="27"/>
      <c r="AV2622" s="39"/>
      <c r="AW2622" s="4"/>
    </row>
    <row r="2623" spans="1:49" ht="14.5" x14ac:dyDescent="0.35">
      <c r="A2623" s="1"/>
      <c r="B2623" s="4"/>
      <c r="C2623" s="29"/>
      <c r="D2623" s="29"/>
      <c r="E2623" s="29"/>
      <c r="F2623" s="2"/>
      <c r="G2623" s="2"/>
      <c r="H2623" s="6"/>
      <c r="I2623" s="6"/>
      <c r="J2623" s="18"/>
      <c r="K2623" s="23"/>
      <c r="L2623" s="5"/>
      <c r="M2623" s="5"/>
      <c r="N2623" s="5"/>
      <c r="O2623" s="5"/>
      <c r="P2623" s="5"/>
      <c r="Q2623" s="5"/>
      <c r="R2623" s="5"/>
      <c r="S2623" s="5"/>
      <c r="T2623" s="5"/>
      <c r="U2623" s="5"/>
      <c r="V2623" s="5"/>
      <c r="W2623" s="5"/>
      <c r="X2623" s="23"/>
      <c r="Y2623" s="18"/>
      <c r="Z2623" s="23"/>
      <c r="AA2623" s="23"/>
      <c r="AB2623" s="5"/>
      <c r="AC2623" s="5"/>
      <c r="AD2623" s="5"/>
      <c r="AE2623" s="5"/>
      <c r="AF2623" s="5"/>
      <c r="AG2623" s="23"/>
      <c r="AH2623" s="5"/>
      <c r="AI2623" s="5"/>
      <c r="AJ2623" s="5"/>
      <c r="AK2623" s="5"/>
      <c r="AL2623" s="6"/>
      <c r="AM2623" s="5"/>
      <c r="AN2623" s="4"/>
      <c r="AO2623" s="4"/>
      <c r="AP2623" s="4"/>
      <c r="AQ2623" s="4"/>
      <c r="AR2623" s="4"/>
      <c r="AS2623" s="4"/>
      <c r="AT2623" s="4"/>
      <c r="AU2623" s="27"/>
      <c r="AV2623" s="39"/>
      <c r="AW2623" s="4"/>
    </row>
    <row r="2624" spans="1:49" ht="14.5" x14ac:dyDescent="0.35">
      <c r="A2624" s="1"/>
      <c r="B2624" s="4"/>
      <c r="C2624" s="29"/>
      <c r="D2624" s="29"/>
      <c r="E2624" s="29"/>
      <c r="F2624" s="2"/>
      <c r="G2624" s="2"/>
      <c r="H2624" s="6"/>
      <c r="I2624" s="6"/>
      <c r="J2624" s="18"/>
      <c r="K2624" s="23"/>
      <c r="L2624" s="5"/>
      <c r="M2624" s="5"/>
      <c r="N2624" s="5"/>
      <c r="O2624" s="5"/>
      <c r="P2624" s="5"/>
      <c r="Q2624" s="5"/>
      <c r="R2624" s="5"/>
      <c r="S2624" s="5"/>
      <c r="T2624" s="5"/>
      <c r="U2624" s="5"/>
      <c r="V2624" s="5"/>
      <c r="W2624" s="5"/>
      <c r="X2624" s="23"/>
      <c r="Y2624" s="18"/>
      <c r="Z2624" s="23"/>
      <c r="AA2624" s="23"/>
      <c r="AB2624" s="5"/>
      <c r="AC2624" s="5"/>
      <c r="AD2624" s="5"/>
      <c r="AE2624" s="5"/>
      <c r="AF2624" s="5"/>
      <c r="AG2624" s="23"/>
      <c r="AH2624" s="5"/>
      <c r="AI2624" s="5"/>
      <c r="AJ2624" s="5"/>
      <c r="AK2624" s="5"/>
      <c r="AL2624" s="6"/>
      <c r="AM2624" s="5"/>
      <c r="AN2624" s="4"/>
      <c r="AO2624" s="4"/>
      <c r="AP2624" s="4"/>
      <c r="AQ2624" s="4"/>
      <c r="AR2624" s="4"/>
      <c r="AS2624" s="4"/>
      <c r="AT2624" s="4"/>
      <c r="AU2624" s="27"/>
      <c r="AV2624" s="39"/>
      <c r="AW2624" s="4"/>
    </row>
    <row r="2625" spans="1:49" ht="14.5" x14ac:dyDescent="0.35">
      <c r="A2625" s="1"/>
      <c r="B2625" s="4"/>
      <c r="C2625" s="29"/>
      <c r="D2625" s="29"/>
      <c r="E2625" s="29"/>
      <c r="F2625" s="2"/>
      <c r="G2625" s="2"/>
      <c r="H2625" s="6"/>
      <c r="I2625" s="6"/>
      <c r="J2625" s="18"/>
      <c r="K2625" s="23"/>
      <c r="L2625" s="5"/>
      <c r="M2625" s="5"/>
      <c r="N2625" s="5"/>
      <c r="O2625" s="5"/>
      <c r="P2625" s="5"/>
      <c r="Q2625" s="5"/>
      <c r="R2625" s="5"/>
      <c r="S2625" s="5"/>
      <c r="T2625" s="5"/>
      <c r="U2625" s="5"/>
      <c r="V2625" s="5"/>
      <c r="W2625" s="5"/>
      <c r="X2625" s="23"/>
      <c r="Y2625" s="18"/>
      <c r="Z2625" s="23"/>
      <c r="AA2625" s="23"/>
      <c r="AB2625" s="5"/>
      <c r="AC2625" s="5"/>
      <c r="AD2625" s="5"/>
      <c r="AE2625" s="5"/>
      <c r="AF2625" s="5"/>
      <c r="AG2625" s="23"/>
      <c r="AH2625" s="5"/>
      <c r="AI2625" s="5"/>
      <c r="AJ2625" s="5"/>
      <c r="AK2625" s="5"/>
      <c r="AL2625" s="6"/>
      <c r="AM2625" s="5"/>
      <c r="AN2625" s="4"/>
      <c r="AO2625" s="4"/>
      <c r="AP2625" s="4"/>
      <c r="AQ2625" s="4"/>
      <c r="AR2625" s="4"/>
      <c r="AS2625" s="4"/>
      <c r="AT2625" s="4"/>
      <c r="AU2625" s="27"/>
      <c r="AV2625" s="39"/>
      <c r="AW2625" s="4"/>
    </row>
    <row r="2626" spans="1:49" ht="14.5" x14ac:dyDescent="0.35">
      <c r="A2626" s="1"/>
      <c r="B2626" s="4"/>
      <c r="C2626" s="29"/>
      <c r="D2626" s="29"/>
      <c r="E2626" s="29"/>
      <c r="F2626" s="2"/>
      <c r="G2626" s="2"/>
      <c r="H2626" s="6"/>
      <c r="I2626" s="6"/>
      <c r="J2626" s="18"/>
      <c r="K2626" s="23"/>
      <c r="L2626" s="5"/>
      <c r="M2626" s="5"/>
      <c r="N2626" s="5"/>
      <c r="O2626" s="5"/>
      <c r="P2626" s="5"/>
      <c r="Q2626" s="5"/>
      <c r="R2626" s="5"/>
      <c r="S2626" s="5"/>
      <c r="T2626" s="5"/>
      <c r="U2626" s="5"/>
      <c r="V2626" s="5"/>
      <c r="W2626" s="5"/>
      <c r="X2626" s="23"/>
      <c r="Y2626" s="18"/>
      <c r="Z2626" s="23"/>
      <c r="AA2626" s="23"/>
      <c r="AB2626" s="5"/>
      <c r="AC2626" s="5"/>
      <c r="AD2626" s="5"/>
      <c r="AE2626" s="5"/>
      <c r="AF2626" s="5"/>
      <c r="AG2626" s="23"/>
      <c r="AH2626" s="5"/>
      <c r="AI2626" s="5"/>
      <c r="AJ2626" s="5"/>
      <c r="AK2626" s="5"/>
      <c r="AL2626" s="6"/>
      <c r="AM2626" s="5"/>
      <c r="AN2626" s="4"/>
      <c r="AO2626" s="4"/>
      <c r="AP2626" s="4"/>
      <c r="AQ2626" s="4"/>
      <c r="AR2626" s="4"/>
      <c r="AS2626" s="4"/>
      <c r="AT2626" s="4"/>
      <c r="AU2626" s="27"/>
      <c r="AV2626" s="39"/>
      <c r="AW2626" s="4"/>
    </row>
    <row r="2627" spans="1:49" ht="14.5" x14ac:dyDescent="0.35">
      <c r="A2627" s="1"/>
      <c r="B2627" s="4"/>
      <c r="C2627" s="29"/>
      <c r="D2627" s="29"/>
      <c r="E2627" s="29"/>
      <c r="F2627" s="2"/>
      <c r="G2627" s="2"/>
      <c r="H2627" s="6"/>
      <c r="I2627" s="6"/>
      <c r="J2627" s="18"/>
      <c r="K2627" s="23"/>
      <c r="L2627" s="5"/>
      <c r="M2627" s="5"/>
      <c r="N2627" s="5"/>
      <c r="O2627" s="5"/>
      <c r="P2627" s="5"/>
      <c r="Q2627" s="5"/>
      <c r="R2627" s="5"/>
      <c r="S2627" s="5"/>
      <c r="T2627" s="5"/>
      <c r="U2627" s="5"/>
      <c r="V2627" s="5"/>
      <c r="W2627" s="5"/>
      <c r="X2627" s="23"/>
      <c r="Y2627" s="18"/>
      <c r="Z2627" s="23"/>
      <c r="AA2627" s="23"/>
      <c r="AB2627" s="5"/>
      <c r="AC2627" s="5"/>
      <c r="AD2627" s="5"/>
      <c r="AE2627" s="5"/>
      <c r="AF2627" s="5"/>
      <c r="AG2627" s="23"/>
      <c r="AH2627" s="5"/>
      <c r="AI2627" s="5"/>
      <c r="AJ2627" s="5"/>
      <c r="AK2627" s="5"/>
      <c r="AL2627" s="6"/>
      <c r="AM2627" s="5"/>
      <c r="AN2627" s="4"/>
      <c r="AO2627" s="4"/>
      <c r="AP2627" s="4"/>
      <c r="AQ2627" s="4"/>
      <c r="AR2627" s="4"/>
      <c r="AS2627" s="4"/>
      <c r="AT2627" s="4"/>
      <c r="AU2627" s="27"/>
      <c r="AV2627" s="39"/>
      <c r="AW2627" s="4"/>
    </row>
    <row r="2628" spans="1:49" ht="14.5" x14ac:dyDescent="0.35">
      <c r="A2628" s="1"/>
      <c r="B2628" s="4"/>
      <c r="C2628" s="29"/>
      <c r="D2628" s="29"/>
      <c r="E2628" s="29"/>
      <c r="F2628" s="2"/>
      <c r="G2628" s="2"/>
      <c r="H2628" s="6"/>
      <c r="I2628" s="6"/>
      <c r="J2628" s="18"/>
      <c r="K2628" s="23"/>
      <c r="L2628" s="5"/>
      <c r="M2628" s="5"/>
      <c r="N2628" s="5"/>
      <c r="O2628" s="5"/>
      <c r="P2628" s="5"/>
      <c r="Q2628" s="5"/>
      <c r="R2628" s="5"/>
      <c r="S2628" s="5"/>
      <c r="T2628" s="5"/>
      <c r="U2628" s="5"/>
      <c r="V2628" s="5"/>
      <c r="W2628" s="5"/>
      <c r="X2628" s="23"/>
      <c r="Y2628" s="18"/>
      <c r="Z2628" s="23"/>
      <c r="AA2628" s="23"/>
      <c r="AB2628" s="5"/>
      <c r="AC2628" s="5"/>
      <c r="AD2628" s="5"/>
      <c r="AE2628" s="5"/>
      <c r="AF2628" s="5"/>
      <c r="AG2628" s="23"/>
      <c r="AH2628" s="5"/>
      <c r="AI2628" s="5"/>
      <c r="AJ2628" s="5"/>
      <c r="AK2628" s="5"/>
      <c r="AL2628" s="6"/>
      <c r="AM2628" s="5"/>
      <c r="AN2628" s="4"/>
      <c r="AO2628" s="4"/>
      <c r="AP2628" s="4"/>
      <c r="AQ2628" s="4"/>
      <c r="AR2628" s="4"/>
      <c r="AS2628" s="4"/>
      <c r="AT2628" s="4"/>
      <c r="AU2628" s="27"/>
      <c r="AV2628" s="39"/>
      <c r="AW2628" s="4"/>
    </row>
    <row r="2629" spans="1:49" ht="14.5" x14ac:dyDescent="0.35">
      <c r="A2629" s="1"/>
      <c r="B2629" s="4"/>
      <c r="C2629" s="29"/>
      <c r="D2629" s="29"/>
      <c r="E2629" s="29"/>
      <c r="F2629" s="2"/>
      <c r="G2629" s="2"/>
      <c r="H2629" s="6"/>
      <c r="I2629" s="6"/>
      <c r="J2629" s="18"/>
      <c r="K2629" s="23"/>
      <c r="L2629" s="5"/>
      <c r="M2629" s="5"/>
      <c r="N2629" s="5"/>
      <c r="O2629" s="5"/>
      <c r="P2629" s="5"/>
      <c r="Q2629" s="5"/>
      <c r="R2629" s="5"/>
      <c r="S2629" s="5"/>
      <c r="T2629" s="5"/>
      <c r="U2629" s="5"/>
      <c r="V2629" s="5"/>
      <c r="W2629" s="5"/>
      <c r="X2629" s="23"/>
      <c r="Y2629" s="18"/>
      <c r="Z2629" s="23"/>
      <c r="AA2629" s="23"/>
      <c r="AB2629" s="5"/>
      <c r="AC2629" s="5"/>
      <c r="AD2629" s="5"/>
      <c r="AE2629" s="5"/>
      <c r="AF2629" s="5"/>
      <c r="AG2629" s="23"/>
      <c r="AH2629" s="5"/>
      <c r="AI2629" s="5"/>
      <c r="AJ2629" s="5"/>
      <c r="AK2629" s="5"/>
      <c r="AL2629" s="6"/>
      <c r="AM2629" s="5"/>
      <c r="AN2629" s="4"/>
      <c r="AO2629" s="4"/>
      <c r="AP2629" s="4"/>
      <c r="AQ2629" s="4"/>
      <c r="AR2629" s="4"/>
      <c r="AS2629" s="4"/>
      <c r="AT2629" s="4"/>
      <c r="AU2629" s="27"/>
      <c r="AV2629" s="39"/>
      <c r="AW2629" s="4"/>
    </row>
    <row r="2630" spans="1:49" ht="14.5" x14ac:dyDescent="0.35">
      <c r="A2630" s="1"/>
      <c r="B2630" s="4"/>
      <c r="C2630" s="29"/>
      <c r="D2630" s="29"/>
      <c r="E2630" s="29"/>
      <c r="F2630" s="2"/>
      <c r="G2630" s="2"/>
      <c r="H2630" s="6"/>
      <c r="I2630" s="6"/>
      <c r="J2630" s="18"/>
      <c r="K2630" s="23"/>
      <c r="L2630" s="5"/>
      <c r="M2630" s="5"/>
      <c r="N2630" s="5"/>
      <c r="O2630" s="5"/>
      <c r="P2630" s="5"/>
      <c r="Q2630" s="5"/>
      <c r="R2630" s="5"/>
      <c r="S2630" s="5"/>
      <c r="T2630" s="5"/>
      <c r="U2630" s="5"/>
      <c r="V2630" s="5"/>
      <c r="W2630" s="5"/>
      <c r="X2630" s="23"/>
      <c r="Y2630" s="18"/>
      <c r="Z2630" s="23"/>
      <c r="AA2630" s="23"/>
      <c r="AB2630" s="5"/>
      <c r="AC2630" s="5"/>
      <c r="AD2630" s="5"/>
      <c r="AE2630" s="5"/>
      <c r="AF2630" s="5"/>
      <c r="AG2630" s="23"/>
      <c r="AH2630" s="5"/>
      <c r="AI2630" s="5"/>
      <c r="AJ2630" s="5"/>
      <c r="AK2630" s="5"/>
      <c r="AL2630" s="6"/>
      <c r="AM2630" s="5"/>
      <c r="AN2630" s="4"/>
      <c r="AO2630" s="4"/>
      <c r="AP2630" s="4"/>
      <c r="AQ2630" s="4"/>
      <c r="AR2630" s="4"/>
      <c r="AS2630" s="4"/>
      <c r="AT2630" s="4"/>
      <c r="AU2630" s="27"/>
      <c r="AV2630" s="39"/>
      <c r="AW2630" s="4"/>
    </row>
    <row r="2631" spans="1:49" ht="14.5" x14ac:dyDescent="0.35">
      <c r="A2631" s="1"/>
      <c r="B2631" s="4"/>
      <c r="C2631" s="29"/>
      <c r="D2631" s="29"/>
      <c r="E2631" s="29"/>
      <c r="F2631" s="2"/>
      <c r="G2631" s="2"/>
      <c r="H2631" s="6"/>
      <c r="I2631" s="6"/>
      <c r="J2631" s="18"/>
      <c r="K2631" s="23"/>
      <c r="L2631" s="5"/>
      <c r="M2631" s="5"/>
      <c r="N2631" s="5"/>
      <c r="O2631" s="5"/>
      <c r="P2631" s="5"/>
      <c r="Q2631" s="5"/>
      <c r="R2631" s="5"/>
      <c r="S2631" s="5"/>
      <c r="T2631" s="5"/>
      <c r="U2631" s="5"/>
      <c r="V2631" s="5"/>
      <c r="W2631" s="5"/>
      <c r="X2631" s="23"/>
      <c r="Y2631" s="18"/>
      <c r="Z2631" s="23"/>
      <c r="AA2631" s="23"/>
      <c r="AB2631" s="5"/>
      <c r="AC2631" s="5"/>
      <c r="AD2631" s="5"/>
      <c r="AE2631" s="5"/>
      <c r="AF2631" s="5"/>
      <c r="AG2631" s="23"/>
      <c r="AH2631" s="5"/>
      <c r="AI2631" s="5"/>
      <c r="AJ2631" s="5"/>
      <c r="AK2631" s="5"/>
      <c r="AL2631" s="6"/>
      <c r="AM2631" s="5"/>
      <c r="AN2631" s="4"/>
      <c r="AO2631" s="4"/>
      <c r="AP2631" s="4"/>
      <c r="AQ2631" s="4"/>
      <c r="AR2631" s="4"/>
      <c r="AS2631" s="4"/>
      <c r="AT2631" s="4"/>
      <c r="AU2631" s="27"/>
      <c r="AV2631" s="39"/>
      <c r="AW2631" s="4"/>
    </row>
    <row r="2632" spans="1:49" ht="14.5" x14ac:dyDescent="0.35">
      <c r="A2632" s="1"/>
      <c r="B2632" s="4"/>
      <c r="C2632" s="29"/>
      <c r="D2632" s="29"/>
      <c r="E2632" s="29"/>
      <c r="F2632" s="2"/>
      <c r="G2632" s="2"/>
      <c r="H2632" s="6"/>
      <c r="I2632" s="6"/>
      <c r="J2632" s="18"/>
      <c r="K2632" s="23"/>
      <c r="L2632" s="5"/>
      <c r="M2632" s="5"/>
      <c r="N2632" s="5"/>
      <c r="O2632" s="5"/>
      <c r="P2632" s="5"/>
      <c r="Q2632" s="5"/>
      <c r="R2632" s="5"/>
      <c r="S2632" s="5"/>
      <c r="T2632" s="5"/>
      <c r="U2632" s="5"/>
      <c r="V2632" s="5"/>
      <c r="W2632" s="5"/>
      <c r="X2632" s="23"/>
      <c r="Y2632" s="18"/>
      <c r="Z2632" s="23"/>
      <c r="AA2632" s="23"/>
      <c r="AB2632" s="5"/>
      <c r="AC2632" s="5"/>
      <c r="AD2632" s="5"/>
      <c r="AE2632" s="5"/>
      <c r="AF2632" s="5"/>
      <c r="AG2632" s="23"/>
      <c r="AH2632" s="5"/>
      <c r="AI2632" s="5"/>
      <c r="AJ2632" s="5"/>
      <c r="AK2632" s="5"/>
      <c r="AL2632" s="6"/>
      <c r="AM2632" s="5"/>
      <c r="AN2632" s="4"/>
      <c r="AO2632" s="4"/>
      <c r="AP2632" s="4"/>
      <c r="AQ2632" s="4"/>
      <c r="AR2632" s="4"/>
      <c r="AS2632" s="4"/>
      <c r="AT2632" s="4"/>
      <c r="AU2632" s="27"/>
      <c r="AV2632" s="39"/>
      <c r="AW2632" s="4"/>
    </row>
    <row r="2633" spans="1:49" ht="14.5" x14ac:dyDescent="0.35">
      <c r="A2633" s="1"/>
      <c r="B2633" s="4"/>
      <c r="C2633" s="29"/>
      <c r="D2633" s="29"/>
      <c r="E2633" s="29"/>
      <c r="F2633" s="2"/>
      <c r="G2633" s="2"/>
      <c r="H2633" s="6"/>
      <c r="I2633" s="6"/>
      <c r="J2633" s="18"/>
      <c r="K2633" s="23"/>
      <c r="L2633" s="5"/>
      <c r="M2633" s="5"/>
      <c r="N2633" s="5"/>
      <c r="O2633" s="5"/>
      <c r="P2633" s="5"/>
      <c r="Q2633" s="5"/>
      <c r="R2633" s="5"/>
      <c r="S2633" s="5"/>
      <c r="T2633" s="5"/>
      <c r="U2633" s="5"/>
      <c r="V2633" s="5"/>
      <c r="W2633" s="5"/>
      <c r="X2633" s="23"/>
      <c r="Y2633" s="18"/>
      <c r="Z2633" s="23"/>
      <c r="AA2633" s="23"/>
      <c r="AB2633" s="5"/>
      <c r="AC2633" s="5"/>
      <c r="AD2633" s="5"/>
      <c r="AE2633" s="5"/>
      <c r="AF2633" s="5"/>
      <c r="AG2633" s="23"/>
      <c r="AH2633" s="5"/>
      <c r="AI2633" s="5"/>
      <c r="AJ2633" s="5"/>
      <c r="AK2633" s="5"/>
      <c r="AL2633" s="6"/>
      <c r="AM2633" s="5"/>
      <c r="AN2633" s="4"/>
      <c r="AO2633" s="4"/>
      <c r="AP2633" s="4"/>
      <c r="AQ2633" s="4"/>
      <c r="AR2633" s="4"/>
      <c r="AS2633" s="4"/>
      <c r="AT2633" s="4"/>
      <c r="AU2633" s="27"/>
      <c r="AV2633" s="39"/>
      <c r="AW2633" s="4"/>
    </row>
    <row r="2634" spans="1:49" ht="14.5" x14ac:dyDescent="0.35">
      <c r="A2634" s="1"/>
      <c r="B2634" s="4"/>
      <c r="C2634" s="29"/>
      <c r="D2634" s="29"/>
      <c r="E2634" s="29"/>
      <c r="F2634" s="2"/>
      <c r="G2634" s="2"/>
      <c r="H2634" s="6"/>
      <c r="I2634" s="6"/>
      <c r="J2634" s="18"/>
      <c r="K2634" s="23"/>
      <c r="L2634" s="5"/>
      <c r="M2634" s="5"/>
      <c r="N2634" s="5"/>
      <c r="O2634" s="5"/>
      <c r="P2634" s="5"/>
      <c r="Q2634" s="5"/>
      <c r="R2634" s="5"/>
      <c r="S2634" s="5"/>
      <c r="T2634" s="5"/>
      <c r="U2634" s="5"/>
      <c r="V2634" s="5"/>
      <c r="W2634" s="5"/>
      <c r="X2634" s="23"/>
      <c r="Y2634" s="18"/>
      <c r="Z2634" s="23"/>
      <c r="AA2634" s="23"/>
      <c r="AB2634" s="5"/>
      <c r="AC2634" s="5"/>
      <c r="AD2634" s="5"/>
      <c r="AE2634" s="5"/>
      <c r="AF2634" s="5"/>
      <c r="AG2634" s="23"/>
      <c r="AH2634" s="5"/>
      <c r="AI2634" s="5"/>
      <c r="AJ2634" s="5"/>
      <c r="AK2634" s="5"/>
      <c r="AL2634" s="6"/>
      <c r="AM2634" s="5"/>
      <c r="AN2634" s="4"/>
      <c r="AO2634" s="4"/>
      <c r="AP2634" s="4"/>
      <c r="AQ2634" s="4"/>
      <c r="AR2634" s="4"/>
      <c r="AS2634" s="4"/>
      <c r="AT2634" s="4"/>
      <c r="AU2634" s="27"/>
      <c r="AV2634" s="39"/>
      <c r="AW2634" s="4"/>
    </row>
    <row r="2635" spans="1:49" ht="14.5" x14ac:dyDescent="0.35">
      <c r="A2635" s="1"/>
      <c r="B2635" s="4"/>
      <c r="C2635" s="29"/>
      <c r="D2635" s="29"/>
      <c r="E2635" s="29"/>
      <c r="F2635" s="2"/>
      <c r="G2635" s="2"/>
      <c r="H2635" s="6"/>
      <c r="I2635" s="6"/>
      <c r="J2635" s="18"/>
      <c r="K2635" s="23"/>
      <c r="L2635" s="5"/>
      <c r="M2635" s="5"/>
      <c r="N2635" s="5"/>
      <c r="O2635" s="5"/>
      <c r="P2635" s="5"/>
      <c r="Q2635" s="5"/>
      <c r="R2635" s="5"/>
      <c r="S2635" s="5"/>
      <c r="T2635" s="5"/>
      <c r="U2635" s="5"/>
      <c r="V2635" s="5"/>
      <c r="W2635" s="5"/>
      <c r="X2635" s="23"/>
      <c r="Y2635" s="18"/>
      <c r="Z2635" s="23"/>
      <c r="AA2635" s="23"/>
      <c r="AB2635" s="5"/>
      <c r="AC2635" s="5"/>
      <c r="AD2635" s="5"/>
      <c r="AE2635" s="5"/>
      <c r="AF2635" s="5"/>
      <c r="AG2635" s="23"/>
      <c r="AH2635" s="5"/>
      <c r="AI2635" s="5"/>
      <c r="AJ2635" s="5"/>
      <c r="AK2635" s="5"/>
      <c r="AL2635" s="6"/>
      <c r="AM2635" s="5"/>
      <c r="AN2635" s="4"/>
      <c r="AO2635" s="4"/>
      <c r="AP2635" s="4"/>
      <c r="AQ2635" s="4"/>
      <c r="AR2635" s="4"/>
      <c r="AS2635" s="4"/>
      <c r="AT2635" s="4"/>
      <c r="AU2635" s="27"/>
      <c r="AV2635" s="39"/>
      <c r="AW2635" s="4"/>
    </row>
    <row r="2636" spans="1:49" ht="14.5" x14ac:dyDescent="0.35">
      <c r="A2636" s="1"/>
      <c r="B2636" s="4"/>
      <c r="C2636" s="29"/>
      <c r="D2636" s="29"/>
      <c r="E2636" s="29"/>
      <c r="F2636" s="2"/>
      <c r="G2636" s="2"/>
      <c r="H2636" s="6"/>
      <c r="I2636" s="6"/>
      <c r="J2636" s="18"/>
      <c r="K2636" s="23"/>
      <c r="L2636" s="5"/>
      <c r="M2636" s="5"/>
      <c r="N2636" s="5"/>
      <c r="O2636" s="5"/>
      <c r="P2636" s="5"/>
      <c r="Q2636" s="5"/>
      <c r="R2636" s="5"/>
      <c r="S2636" s="5"/>
      <c r="T2636" s="5"/>
      <c r="U2636" s="5"/>
      <c r="V2636" s="5"/>
      <c r="W2636" s="5"/>
      <c r="X2636" s="23"/>
      <c r="Y2636" s="18"/>
      <c r="Z2636" s="23"/>
      <c r="AA2636" s="23"/>
      <c r="AB2636" s="5"/>
      <c r="AC2636" s="5"/>
      <c r="AD2636" s="5"/>
      <c r="AE2636" s="5"/>
      <c r="AF2636" s="5"/>
      <c r="AG2636" s="23"/>
      <c r="AH2636" s="5"/>
      <c r="AI2636" s="5"/>
      <c r="AJ2636" s="5"/>
      <c r="AK2636" s="5"/>
      <c r="AL2636" s="6"/>
      <c r="AM2636" s="5"/>
      <c r="AN2636" s="4"/>
      <c r="AO2636" s="4"/>
      <c r="AP2636" s="4"/>
      <c r="AQ2636" s="4"/>
      <c r="AR2636" s="4"/>
      <c r="AS2636" s="4"/>
      <c r="AT2636" s="4"/>
      <c r="AU2636" s="27"/>
      <c r="AV2636" s="39"/>
      <c r="AW2636" s="4"/>
    </row>
    <row r="2637" spans="1:49" ht="14.5" x14ac:dyDescent="0.35">
      <c r="A2637" s="1"/>
      <c r="B2637" s="4"/>
      <c r="C2637" s="29"/>
      <c r="D2637" s="29"/>
      <c r="E2637" s="29"/>
      <c r="F2637" s="2"/>
      <c r="G2637" s="2"/>
      <c r="H2637" s="6"/>
      <c r="I2637" s="6"/>
      <c r="J2637" s="18"/>
      <c r="K2637" s="23"/>
      <c r="L2637" s="5"/>
      <c r="M2637" s="5"/>
      <c r="N2637" s="5"/>
      <c r="O2637" s="5"/>
      <c r="P2637" s="5"/>
      <c r="Q2637" s="5"/>
      <c r="R2637" s="5"/>
      <c r="S2637" s="5"/>
      <c r="T2637" s="5"/>
      <c r="U2637" s="5"/>
      <c r="V2637" s="5"/>
      <c r="W2637" s="5"/>
      <c r="X2637" s="23"/>
      <c r="Y2637" s="18"/>
      <c r="Z2637" s="23"/>
      <c r="AA2637" s="23"/>
      <c r="AB2637" s="5"/>
      <c r="AC2637" s="5"/>
      <c r="AD2637" s="5"/>
      <c r="AE2637" s="5"/>
      <c r="AF2637" s="5"/>
      <c r="AG2637" s="23"/>
      <c r="AH2637" s="5"/>
      <c r="AI2637" s="5"/>
      <c r="AJ2637" s="5"/>
      <c r="AK2637" s="5"/>
      <c r="AL2637" s="6"/>
      <c r="AM2637" s="5"/>
      <c r="AN2637" s="4"/>
      <c r="AO2637" s="4"/>
      <c r="AP2637" s="4"/>
      <c r="AQ2637" s="4"/>
      <c r="AR2637" s="4"/>
      <c r="AS2637" s="4"/>
      <c r="AT2637" s="4"/>
      <c r="AU2637" s="27"/>
      <c r="AV2637" s="39"/>
      <c r="AW2637" s="4"/>
    </row>
    <row r="2638" spans="1:49" ht="14.5" x14ac:dyDescent="0.35">
      <c r="A2638" s="1"/>
      <c r="B2638" s="4"/>
      <c r="C2638" s="29"/>
      <c r="D2638" s="29"/>
      <c r="E2638" s="29"/>
      <c r="F2638" s="2"/>
      <c r="G2638" s="2"/>
      <c r="H2638" s="6"/>
      <c r="I2638" s="6"/>
      <c r="J2638" s="18"/>
      <c r="K2638" s="23"/>
      <c r="L2638" s="5"/>
      <c r="M2638" s="5"/>
      <c r="N2638" s="5"/>
      <c r="O2638" s="5"/>
      <c r="P2638" s="5"/>
      <c r="Q2638" s="5"/>
      <c r="R2638" s="5"/>
      <c r="S2638" s="5"/>
      <c r="T2638" s="5"/>
      <c r="U2638" s="5"/>
      <c r="V2638" s="5"/>
      <c r="W2638" s="5"/>
      <c r="X2638" s="23"/>
      <c r="Y2638" s="18"/>
      <c r="Z2638" s="23"/>
      <c r="AA2638" s="23"/>
      <c r="AB2638" s="5"/>
      <c r="AC2638" s="5"/>
      <c r="AD2638" s="5"/>
      <c r="AE2638" s="5"/>
      <c r="AF2638" s="5"/>
      <c r="AG2638" s="23"/>
      <c r="AH2638" s="5"/>
      <c r="AI2638" s="5"/>
      <c r="AJ2638" s="5"/>
      <c r="AK2638" s="5"/>
      <c r="AL2638" s="6"/>
      <c r="AM2638" s="5"/>
      <c r="AN2638" s="4"/>
      <c r="AO2638" s="4"/>
      <c r="AP2638" s="4"/>
      <c r="AQ2638" s="4"/>
      <c r="AR2638" s="4"/>
      <c r="AS2638" s="4"/>
      <c r="AT2638" s="4"/>
      <c r="AU2638" s="27"/>
      <c r="AV2638" s="39"/>
      <c r="AW2638" s="4"/>
    </row>
    <row r="2639" spans="1:49" ht="14.5" x14ac:dyDescent="0.35">
      <c r="A2639" s="1"/>
      <c r="B2639" s="4"/>
      <c r="C2639" s="29"/>
      <c r="D2639" s="29"/>
      <c r="E2639" s="29"/>
      <c r="F2639" s="2"/>
      <c r="G2639" s="2"/>
      <c r="H2639" s="6"/>
      <c r="I2639" s="6"/>
      <c r="J2639" s="18"/>
      <c r="K2639" s="23"/>
      <c r="L2639" s="5"/>
      <c r="M2639" s="5"/>
      <c r="N2639" s="5"/>
      <c r="O2639" s="5"/>
      <c r="P2639" s="5"/>
      <c r="Q2639" s="5"/>
      <c r="R2639" s="5"/>
      <c r="S2639" s="5"/>
      <c r="T2639" s="5"/>
      <c r="U2639" s="5"/>
      <c r="V2639" s="5"/>
      <c r="W2639" s="5"/>
      <c r="X2639" s="23"/>
      <c r="Y2639" s="18"/>
      <c r="Z2639" s="23"/>
      <c r="AA2639" s="23"/>
      <c r="AB2639" s="5"/>
      <c r="AC2639" s="5"/>
      <c r="AD2639" s="5"/>
      <c r="AE2639" s="5"/>
      <c r="AF2639" s="5"/>
      <c r="AG2639" s="23"/>
      <c r="AH2639" s="5"/>
      <c r="AI2639" s="5"/>
      <c r="AJ2639" s="5"/>
      <c r="AK2639" s="5"/>
      <c r="AL2639" s="6"/>
      <c r="AM2639" s="5"/>
      <c r="AN2639" s="4"/>
      <c r="AO2639" s="4"/>
      <c r="AP2639" s="4"/>
      <c r="AQ2639" s="4"/>
      <c r="AR2639" s="4"/>
      <c r="AS2639" s="4"/>
      <c r="AT2639" s="4"/>
      <c r="AU2639" s="27"/>
      <c r="AV2639" s="39"/>
      <c r="AW2639" s="4"/>
    </row>
    <row r="2640" spans="1:49" ht="14.5" x14ac:dyDescent="0.35">
      <c r="A2640" s="1"/>
      <c r="B2640" s="4"/>
      <c r="C2640" s="29"/>
      <c r="D2640" s="29"/>
      <c r="E2640" s="29"/>
      <c r="F2640" s="2"/>
      <c r="G2640" s="2"/>
      <c r="H2640" s="6"/>
      <c r="I2640" s="6"/>
      <c r="J2640" s="18"/>
      <c r="K2640" s="23"/>
      <c r="L2640" s="5"/>
      <c r="M2640" s="5"/>
      <c r="N2640" s="5"/>
      <c r="O2640" s="5"/>
      <c r="P2640" s="5"/>
      <c r="Q2640" s="5"/>
      <c r="R2640" s="5"/>
      <c r="S2640" s="5"/>
      <c r="T2640" s="5"/>
      <c r="U2640" s="5"/>
      <c r="V2640" s="5"/>
      <c r="W2640" s="5"/>
      <c r="X2640" s="23"/>
      <c r="Y2640" s="18"/>
      <c r="Z2640" s="23"/>
      <c r="AA2640" s="23"/>
      <c r="AB2640" s="5"/>
      <c r="AC2640" s="5"/>
      <c r="AD2640" s="5"/>
      <c r="AE2640" s="5"/>
      <c r="AF2640" s="5"/>
      <c r="AG2640" s="23"/>
      <c r="AH2640" s="5"/>
      <c r="AI2640" s="5"/>
      <c r="AJ2640" s="5"/>
      <c r="AK2640" s="5"/>
      <c r="AL2640" s="6"/>
      <c r="AM2640" s="5"/>
      <c r="AN2640" s="4"/>
      <c r="AO2640" s="4"/>
      <c r="AP2640" s="4"/>
      <c r="AQ2640" s="4"/>
      <c r="AR2640" s="4"/>
      <c r="AS2640" s="4"/>
      <c r="AT2640" s="4"/>
      <c r="AU2640" s="27"/>
      <c r="AV2640" s="39"/>
      <c r="AW2640" s="4"/>
    </row>
    <row r="2641" spans="1:49" ht="14.5" x14ac:dyDescent="0.35">
      <c r="A2641" s="1"/>
      <c r="B2641" s="4"/>
      <c r="C2641" s="29"/>
      <c r="D2641" s="29"/>
      <c r="E2641" s="29"/>
      <c r="F2641" s="2"/>
      <c r="G2641" s="2"/>
      <c r="H2641" s="6"/>
      <c r="I2641" s="6"/>
      <c r="J2641" s="18"/>
      <c r="K2641" s="23"/>
      <c r="L2641" s="5"/>
      <c r="M2641" s="5"/>
      <c r="N2641" s="5"/>
      <c r="O2641" s="5"/>
      <c r="P2641" s="5"/>
      <c r="Q2641" s="5"/>
      <c r="R2641" s="5"/>
      <c r="S2641" s="5"/>
      <c r="T2641" s="5"/>
      <c r="U2641" s="5"/>
      <c r="V2641" s="5"/>
      <c r="W2641" s="5"/>
      <c r="X2641" s="23"/>
      <c r="Y2641" s="18"/>
      <c r="Z2641" s="23"/>
      <c r="AA2641" s="23"/>
      <c r="AB2641" s="5"/>
      <c r="AC2641" s="5"/>
      <c r="AD2641" s="5"/>
      <c r="AE2641" s="5"/>
      <c r="AF2641" s="5"/>
      <c r="AG2641" s="23"/>
      <c r="AH2641" s="5"/>
      <c r="AI2641" s="5"/>
      <c r="AJ2641" s="5"/>
      <c r="AK2641" s="5"/>
      <c r="AL2641" s="6"/>
      <c r="AM2641" s="5"/>
      <c r="AN2641" s="4"/>
      <c r="AO2641" s="4"/>
      <c r="AP2641" s="4"/>
      <c r="AQ2641" s="4"/>
      <c r="AR2641" s="4"/>
      <c r="AS2641" s="4"/>
      <c r="AT2641" s="4"/>
      <c r="AU2641" s="27"/>
      <c r="AV2641" s="39"/>
      <c r="AW2641" s="4"/>
    </row>
    <row r="2642" spans="1:49" ht="14.5" x14ac:dyDescent="0.35">
      <c r="A2642" s="1"/>
      <c r="B2642" s="4"/>
      <c r="C2642" s="29"/>
      <c r="D2642" s="29"/>
      <c r="E2642" s="29"/>
      <c r="F2642" s="2"/>
      <c r="G2642" s="2"/>
      <c r="H2642" s="6"/>
      <c r="I2642" s="6"/>
      <c r="J2642" s="18"/>
      <c r="K2642" s="23"/>
      <c r="L2642" s="5"/>
      <c r="M2642" s="5"/>
      <c r="N2642" s="5"/>
      <c r="O2642" s="5"/>
      <c r="P2642" s="5"/>
      <c r="Q2642" s="5"/>
      <c r="R2642" s="5"/>
      <c r="S2642" s="5"/>
      <c r="T2642" s="5"/>
      <c r="U2642" s="5"/>
      <c r="V2642" s="5"/>
      <c r="W2642" s="5"/>
      <c r="X2642" s="23"/>
      <c r="Y2642" s="18"/>
      <c r="Z2642" s="23"/>
      <c r="AA2642" s="23"/>
      <c r="AB2642" s="5"/>
      <c r="AC2642" s="5"/>
      <c r="AD2642" s="5"/>
      <c r="AE2642" s="5"/>
      <c r="AF2642" s="5"/>
      <c r="AG2642" s="23"/>
      <c r="AH2642" s="5"/>
      <c r="AI2642" s="5"/>
      <c r="AJ2642" s="5"/>
      <c r="AK2642" s="5"/>
      <c r="AL2642" s="6"/>
      <c r="AM2642" s="5"/>
      <c r="AN2642" s="4"/>
      <c r="AO2642" s="4"/>
      <c r="AP2642" s="4"/>
      <c r="AQ2642" s="4"/>
      <c r="AR2642" s="4"/>
      <c r="AS2642" s="4"/>
      <c r="AT2642" s="4"/>
      <c r="AU2642" s="27"/>
      <c r="AV2642" s="39"/>
      <c r="AW2642" s="4"/>
    </row>
    <row r="2643" spans="1:49" ht="14.5" x14ac:dyDescent="0.35">
      <c r="A2643" s="1"/>
      <c r="B2643" s="4"/>
      <c r="C2643" s="29"/>
      <c r="D2643" s="29"/>
      <c r="E2643" s="29"/>
      <c r="F2643" s="2"/>
      <c r="G2643" s="2"/>
      <c r="H2643" s="6"/>
      <c r="I2643" s="6"/>
      <c r="J2643" s="18"/>
      <c r="K2643" s="23"/>
      <c r="L2643" s="5"/>
      <c r="M2643" s="5"/>
      <c r="N2643" s="5"/>
      <c r="O2643" s="5"/>
      <c r="P2643" s="5"/>
      <c r="Q2643" s="5"/>
      <c r="R2643" s="5"/>
      <c r="S2643" s="5"/>
      <c r="T2643" s="5"/>
      <c r="U2643" s="5"/>
      <c r="V2643" s="5"/>
      <c r="W2643" s="5"/>
      <c r="X2643" s="23"/>
      <c r="Y2643" s="18"/>
      <c r="Z2643" s="23"/>
      <c r="AA2643" s="23"/>
      <c r="AB2643" s="5"/>
      <c r="AC2643" s="5"/>
      <c r="AD2643" s="5"/>
      <c r="AE2643" s="5"/>
      <c r="AF2643" s="5"/>
      <c r="AG2643" s="23"/>
      <c r="AH2643" s="5"/>
      <c r="AI2643" s="5"/>
      <c r="AJ2643" s="5"/>
      <c r="AK2643" s="5"/>
      <c r="AL2643" s="6"/>
      <c r="AM2643" s="5"/>
      <c r="AN2643" s="4"/>
      <c r="AO2643" s="4"/>
      <c r="AP2643" s="4"/>
      <c r="AQ2643" s="4"/>
      <c r="AR2643" s="4"/>
      <c r="AS2643" s="4"/>
      <c r="AT2643" s="4"/>
      <c r="AU2643" s="27"/>
      <c r="AV2643" s="39"/>
      <c r="AW2643" s="4"/>
    </row>
    <row r="2644" spans="1:49" ht="14.5" x14ac:dyDescent="0.35">
      <c r="A2644" s="1"/>
      <c r="B2644" s="4"/>
      <c r="C2644" s="29"/>
      <c r="D2644" s="29"/>
      <c r="E2644" s="29"/>
      <c r="F2644" s="2"/>
      <c r="G2644" s="2"/>
      <c r="H2644" s="6"/>
      <c r="I2644" s="6"/>
      <c r="J2644" s="18"/>
      <c r="K2644" s="23"/>
      <c r="L2644" s="5"/>
      <c r="M2644" s="5"/>
      <c r="N2644" s="5"/>
      <c r="O2644" s="5"/>
      <c r="P2644" s="5"/>
      <c r="Q2644" s="5"/>
      <c r="R2644" s="5"/>
      <c r="S2644" s="5"/>
      <c r="T2644" s="5"/>
      <c r="U2644" s="5"/>
      <c r="V2644" s="5"/>
      <c r="W2644" s="5"/>
      <c r="X2644" s="23"/>
      <c r="Y2644" s="18"/>
      <c r="Z2644" s="23"/>
      <c r="AA2644" s="23"/>
      <c r="AB2644" s="5"/>
      <c r="AC2644" s="5"/>
      <c r="AD2644" s="5"/>
      <c r="AE2644" s="5"/>
      <c r="AF2644" s="5"/>
      <c r="AG2644" s="23"/>
      <c r="AH2644" s="5"/>
      <c r="AI2644" s="5"/>
      <c r="AJ2644" s="5"/>
      <c r="AK2644" s="5"/>
      <c r="AL2644" s="6"/>
      <c r="AM2644" s="5"/>
      <c r="AN2644" s="4"/>
      <c r="AO2644" s="4"/>
      <c r="AP2644" s="4"/>
      <c r="AQ2644" s="4"/>
      <c r="AR2644" s="4"/>
      <c r="AS2644" s="4"/>
      <c r="AT2644" s="4"/>
      <c r="AU2644" s="27"/>
      <c r="AV2644" s="39"/>
      <c r="AW2644" s="4"/>
    </row>
    <row r="2645" spans="1:49" ht="14.5" x14ac:dyDescent="0.35">
      <c r="A2645" s="1"/>
      <c r="B2645" s="4"/>
      <c r="C2645" s="29"/>
      <c r="D2645" s="29"/>
      <c r="E2645" s="29"/>
      <c r="F2645" s="2"/>
      <c r="G2645" s="2"/>
      <c r="H2645" s="6"/>
      <c r="I2645" s="6"/>
      <c r="J2645" s="18"/>
      <c r="K2645" s="23"/>
      <c r="L2645" s="5"/>
      <c r="M2645" s="5"/>
      <c r="N2645" s="5"/>
      <c r="O2645" s="5"/>
      <c r="P2645" s="5"/>
      <c r="Q2645" s="5"/>
      <c r="R2645" s="5"/>
      <c r="S2645" s="5"/>
      <c r="T2645" s="5"/>
      <c r="U2645" s="5"/>
      <c r="V2645" s="5"/>
      <c r="W2645" s="5"/>
      <c r="X2645" s="23"/>
      <c r="Y2645" s="18"/>
      <c r="Z2645" s="23"/>
      <c r="AA2645" s="23"/>
      <c r="AB2645" s="5"/>
      <c r="AC2645" s="5"/>
      <c r="AD2645" s="5"/>
      <c r="AE2645" s="5"/>
      <c r="AF2645" s="5"/>
      <c r="AG2645" s="23"/>
      <c r="AH2645" s="5"/>
      <c r="AI2645" s="5"/>
      <c r="AJ2645" s="5"/>
      <c r="AK2645" s="5"/>
      <c r="AL2645" s="6"/>
      <c r="AM2645" s="5"/>
      <c r="AN2645" s="4"/>
      <c r="AO2645" s="4"/>
      <c r="AP2645" s="4"/>
      <c r="AQ2645" s="4"/>
      <c r="AR2645" s="4"/>
      <c r="AS2645" s="4"/>
      <c r="AT2645" s="4"/>
      <c r="AU2645" s="27"/>
      <c r="AV2645" s="39"/>
      <c r="AW2645" s="4"/>
    </row>
    <row r="2646" spans="1:49" ht="14.5" x14ac:dyDescent="0.35">
      <c r="A2646" s="1"/>
      <c r="B2646" s="4"/>
      <c r="C2646" s="29"/>
      <c r="D2646" s="29"/>
      <c r="E2646" s="29"/>
      <c r="F2646" s="2"/>
      <c r="G2646" s="2"/>
      <c r="H2646" s="6"/>
      <c r="I2646" s="6"/>
      <c r="J2646" s="18"/>
      <c r="K2646" s="23"/>
      <c r="L2646" s="5"/>
      <c r="M2646" s="5"/>
      <c r="N2646" s="5"/>
      <c r="O2646" s="5"/>
      <c r="P2646" s="5"/>
      <c r="Q2646" s="5"/>
      <c r="R2646" s="5"/>
      <c r="S2646" s="5"/>
      <c r="T2646" s="5"/>
      <c r="U2646" s="5"/>
      <c r="V2646" s="5"/>
      <c r="W2646" s="5"/>
      <c r="X2646" s="23"/>
      <c r="Y2646" s="18"/>
      <c r="Z2646" s="23"/>
      <c r="AA2646" s="23"/>
      <c r="AB2646" s="5"/>
      <c r="AC2646" s="5"/>
      <c r="AD2646" s="5"/>
      <c r="AE2646" s="5"/>
      <c r="AF2646" s="5"/>
      <c r="AG2646" s="23"/>
      <c r="AH2646" s="5"/>
      <c r="AI2646" s="5"/>
      <c r="AJ2646" s="5"/>
      <c r="AK2646" s="5"/>
      <c r="AL2646" s="6"/>
      <c r="AM2646" s="5"/>
      <c r="AN2646" s="4"/>
      <c r="AO2646" s="4"/>
      <c r="AP2646" s="4"/>
      <c r="AQ2646" s="4"/>
      <c r="AR2646" s="4"/>
      <c r="AS2646" s="4"/>
      <c r="AT2646" s="4"/>
      <c r="AU2646" s="27"/>
      <c r="AV2646" s="39"/>
      <c r="AW2646" s="4"/>
    </row>
    <row r="2647" spans="1:49" ht="14.5" x14ac:dyDescent="0.35">
      <c r="A2647" s="1"/>
      <c r="B2647" s="4"/>
      <c r="C2647" s="29"/>
      <c r="D2647" s="29"/>
      <c r="E2647" s="29"/>
      <c r="F2647" s="2"/>
      <c r="G2647" s="2"/>
      <c r="H2647" s="6"/>
      <c r="I2647" s="6"/>
      <c r="J2647" s="18"/>
      <c r="K2647" s="23"/>
      <c r="L2647" s="5"/>
      <c r="M2647" s="5"/>
      <c r="N2647" s="5"/>
      <c r="O2647" s="5"/>
      <c r="P2647" s="5"/>
      <c r="Q2647" s="5"/>
      <c r="R2647" s="5"/>
      <c r="S2647" s="5"/>
      <c r="T2647" s="5"/>
      <c r="U2647" s="5"/>
      <c r="V2647" s="5"/>
      <c r="W2647" s="5"/>
      <c r="X2647" s="23"/>
      <c r="Y2647" s="18"/>
      <c r="Z2647" s="23"/>
      <c r="AA2647" s="23"/>
      <c r="AB2647" s="5"/>
      <c r="AC2647" s="5"/>
      <c r="AD2647" s="5"/>
      <c r="AE2647" s="5"/>
      <c r="AF2647" s="5"/>
      <c r="AG2647" s="23"/>
      <c r="AH2647" s="5"/>
      <c r="AI2647" s="5"/>
      <c r="AJ2647" s="5"/>
      <c r="AK2647" s="5"/>
      <c r="AL2647" s="6"/>
      <c r="AM2647" s="5"/>
      <c r="AN2647" s="4"/>
      <c r="AO2647" s="4"/>
      <c r="AP2647" s="4"/>
      <c r="AQ2647" s="4"/>
      <c r="AR2647" s="4"/>
      <c r="AS2647" s="4"/>
      <c r="AT2647" s="4"/>
      <c r="AU2647" s="27"/>
      <c r="AV2647" s="39"/>
      <c r="AW2647" s="4"/>
    </row>
    <row r="2648" spans="1:49" ht="14.5" x14ac:dyDescent="0.35">
      <c r="A2648" s="1"/>
      <c r="B2648" s="4"/>
      <c r="C2648" s="29"/>
      <c r="D2648" s="29"/>
      <c r="E2648" s="29"/>
      <c r="F2648" s="2"/>
      <c r="G2648" s="2"/>
      <c r="H2648" s="6"/>
      <c r="I2648" s="6"/>
      <c r="J2648" s="18"/>
      <c r="K2648" s="23"/>
      <c r="L2648" s="5"/>
      <c r="M2648" s="5"/>
      <c r="N2648" s="5"/>
      <c r="O2648" s="5"/>
      <c r="P2648" s="5"/>
      <c r="Q2648" s="5"/>
      <c r="R2648" s="5"/>
      <c r="S2648" s="5"/>
      <c r="T2648" s="5"/>
      <c r="U2648" s="5"/>
      <c r="V2648" s="5"/>
      <c r="W2648" s="5"/>
      <c r="X2648" s="23"/>
      <c r="Y2648" s="18"/>
      <c r="Z2648" s="23"/>
      <c r="AA2648" s="23"/>
      <c r="AB2648" s="5"/>
      <c r="AC2648" s="5"/>
      <c r="AD2648" s="5"/>
      <c r="AE2648" s="5"/>
      <c r="AF2648" s="5"/>
      <c r="AG2648" s="23"/>
      <c r="AH2648" s="5"/>
      <c r="AI2648" s="5"/>
      <c r="AJ2648" s="5"/>
      <c r="AK2648" s="5"/>
      <c r="AL2648" s="6"/>
      <c r="AM2648" s="5"/>
      <c r="AN2648" s="4"/>
      <c r="AO2648" s="4"/>
      <c r="AP2648" s="4"/>
      <c r="AQ2648" s="4"/>
      <c r="AR2648" s="4"/>
      <c r="AS2648" s="4"/>
      <c r="AT2648" s="4"/>
      <c r="AU2648" s="27"/>
      <c r="AV2648" s="39"/>
      <c r="AW2648" s="4"/>
    </row>
    <row r="2649" spans="1:49" ht="14.5" x14ac:dyDescent="0.35">
      <c r="A2649" s="1"/>
      <c r="B2649" s="4"/>
      <c r="C2649" s="29"/>
      <c r="D2649" s="29"/>
      <c r="E2649" s="29"/>
      <c r="F2649" s="2"/>
      <c r="G2649" s="2"/>
      <c r="H2649" s="6"/>
      <c r="I2649" s="6"/>
      <c r="J2649" s="18"/>
      <c r="K2649" s="23"/>
      <c r="L2649" s="5"/>
      <c r="M2649" s="5"/>
      <c r="N2649" s="5"/>
      <c r="O2649" s="5"/>
      <c r="P2649" s="5"/>
      <c r="Q2649" s="5"/>
      <c r="R2649" s="5"/>
      <c r="S2649" s="5"/>
      <c r="T2649" s="5"/>
      <c r="U2649" s="5"/>
      <c r="V2649" s="5"/>
      <c r="W2649" s="5"/>
      <c r="X2649" s="23"/>
      <c r="Y2649" s="18"/>
      <c r="Z2649" s="23"/>
      <c r="AA2649" s="23"/>
      <c r="AB2649" s="5"/>
      <c r="AC2649" s="5"/>
      <c r="AD2649" s="5"/>
      <c r="AE2649" s="5"/>
      <c r="AF2649" s="5"/>
      <c r="AG2649" s="23"/>
      <c r="AH2649" s="5"/>
      <c r="AI2649" s="5"/>
      <c r="AJ2649" s="5"/>
      <c r="AK2649" s="5"/>
      <c r="AL2649" s="6"/>
      <c r="AM2649" s="5"/>
      <c r="AN2649" s="4"/>
      <c r="AO2649" s="4"/>
      <c r="AP2649" s="4"/>
      <c r="AQ2649" s="4"/>
      <c r="AR2649" s="4"/>
      <c r="AS2649" s="4"/>
      <c r="AT2649" s="4"/>
      <c r="AU2649" s="27"/>
      <c r="AV2649" s="39"/>
      <c r="AW2649" s="4"/>
    </row>
    <row r="2650" spans="1:49" ht="14.5" x14ac:dyDescent="0.35">
      <c r="A2650" s="1"/>
      <c r="B2650" s="4"/>
      <c r="C2650" s="29"/>
      <c r="D2650" s="29"/>
      <c r="E2650" s="29"/>
      <c r="F2650" s="2"/>
      <c r="G2650" s="2"/>
      <c r="H2650" s="6"/>
      <c r="I2650" s="6"/>
      <c r="J2650" s="18"/>
      <c r="K2650" s="23"/>
      <c r="L2650" s="5"/>
      <c r="M2650" s="5"/>
      <c r="N2650" s="5"/>
      <c r="O2650" s="5"/>
      <c r="P2650" s="5"/>
      <c r="Q2650" s="5"/>
      <c r="R2650" s="5"/>
      <c r="S2650" s="5"/>
      <c r="T2650" s="5"/>
      <c r="U2650" s="5"/>
      <c r="V2650" s="5"/>
      <c r="W2650" s="5"/>
      <c r="X2650" s="23"/>
      <c r="Y2650" s="18"/>
      <c r="Z2650" s="23"/>
      <c r="AA2650" s="23"/>
      <c r="AB2650" s="5"/>
      <c r="AC2650" s="5"/>
      <c r="AD2650" s="5"/>
      <c r="AE2650" s="5"/>
      <c r="AF2650" s="5"/>
      <c r="AG2650" s="23"/>
      <c r="AH2650" s="5"/>
      <c r="AI2650" s="5"/>
      <c r="AJ2650" s="5"/>
      <c r="AK2650" s="5"/>
      <c r="AL2650" s="6"/>
      <c r="AM2650" s="5"/>
      <c r="AN2650" s="4"/>
      <c r="AO2650" s="4"/>
      <c r="AP2650" s="4"/>
      <c r="AQ2650" s="4"/>
      <c r="AR2650" s="4"/>
      <c r="AS2650" s="4"/>
      <c r="AT2650" s="4"/>
      <c r="AU2650" s="27"/>
      <c r="AV2650" s="39"/>
      <c r="AW2650" s="4"/>
    </row>
    <row r="2651" spans="1:49" ht="14.5" x14ac:dyDescent="0.35">
      <c r="A2651" s="1"/>
      <c r="B2651" s="4"/>
      <c r="C2651" s="29"/>
      <c r="D2651" s="29"/>
      <c r="E2651" s="29"/>
      <c r="F2651" s="2"/>
      <c r="G2651" s="2"/>
      <c r="H2651" s="6"/>
      <c r="I2651" s="6"/>
      <c r="J2651" s="18"/>
      <c r="K2651" s="23"/>
      <c r="L2651" s="5"/>
      <c r="M2651" s="5"/>
      <c r="N2651" s="5"/>
      <c r="O2651" s="5"/>
      <c r="P2651" s="5"/>
      <c r="Q2651" s="5"/>
      <c r="R2651" s="5"/>
      <c r="S2651" s="5"/>
      <c r="T2651" s="5"/>
      <c r="U2651" s="5"/>
      <c r="V2651" s="5"/>
      <c r="W2651" s="5"/>
      <c r="X2651" s="23"/>
      <c r="Y2651" s="18"/>
      <c r="Z2651" s="23"/>
      <c r="AA2651" s="23"/>
      <c r="AB2651" s="5"/>
      <c r="AC2651" s="5"/>
      <c r="AD2651" s="5"/>
      <c r="AE2651" s="5"/>
      <c r="AF2651" s="5"/>
      <c r="AG2651" s="23"/>
      <c r="AH2651" s="5"/>
      <c r="AI2651" s="5"/>
      <c r="AJ2651" s="5"/>
      <c r="AK2651" s="5"/>
      <c r="AL2651" s="6"/>
      <c r="AM2651" s="5"/>
      <c r="AN2651" s="4"/>
      <c r="AO2651" s="4"/>
      <c r="AP2651" s="4"/>
      <c r="AQ2651" s="4"/>
      <c r="AR2651" s="4"/>
      <c r="AS2651" s="4"/>
      <c r="AT2651" s="4"/>
      <c r="AU2651" s="27"/>
      <c r="AV2651" s="39"/>
      <c r="AW2651" s="4"/>
    </row>
    <row r="2652" spans="1:49" ht="14.5" x14ac:dyDescent="0.35">
      <c r="A2652" s="1"/>
      <c r="B2652" s="4"/>
      <c r="C2652" s="29"/>
      <c r="D2652" s="29"/>
      <c r="E2652" s="29"/>
      <c r="F2652" s="2"/>
      <c r="G2652" s="2"/>
      <c r="H2652" s="6"/>
      <c r="I2652" s="6"/>
      <c r="J2652" s="18"/>
      <c r="K2652" s="23"/>
      <c r="L2652" s="5"/>
      <c r="M2652" s="5"/>
      <c r="N2652" s="5"/>
      <c r="O2652" s="5"/>
      <c r="P2652" s="5"/>
      <c r="Q2652" s="5"/>
      <c r="R2652" s="5"/>
      <c r="S2652" s="5"/>
      <c r="T2652" s="5"/>
      <c r="U2652" s="5"/>
      <c r="V2652" s="5"/>
      <c r="W2652" s="5"/>
      <c r="X2652" s="23"/>
      <c r="Y2652" s="18"/>
      <c r="Z2652" s="23"/>
      <c r="AA2652" s="23"/>
      <c r="AB2652" s="5"/>
      <c r="AC2652" s="5"/>
      <c r="AD2652" s="5"/>
      <c r="AE2652" s="5"/>
      <c r="AF2652" s="5"/>
      <c r="AG2652" s="23"/>
      <c r="AH2652" s="5"/>
      <c r="AI2652" s="5"/>
      <c r="AJ2652" s="5"/>
      <c r="AK2652" s="5"/>
      <c r="AL2652" s="6"/>
      <c r="AM2652" s="5"/>
      <c r="AN2652" s="4"/>
      <c r="AO2652" s="4"/>
      <c r="AP2652" s="4"/>
      <c r="AQ2652" s="4"/>
      <c r="AR2652" s="4"/>
      <c r="AS2652" s="4"/>
      <c r="AT2652" s="4"/>
      <c r="AU2652" s="27"/>
      <c r="AV2652" s="39"/>
      <c r="AW2652" s="4"/>
    </row>
    <row r="2653" spans="1:49" ht="14.5" x14ac:dyDescent="0.35">
      <c r="A2653" s="1"/>
      <c r="B2653" s="4"/>
      <c r="C2653" s="29"/>
      <c r="D2653" s="29"/>
      <c r="E2653" s="29"/>
      <c r="F2653" s="2"/>
      <c r="G2653" s="2"/>
      <c r="H2653" s="6"/>
      <c r="I2653" s="6"/>
      <c r="J2653" s="18"/>
      <c r="K2653" s="23"/>
      <c r="L2653" s="5"/>
      <c r="M2653" s="5"/>
      <c r="N2653" s="5"/>
      <c r="O2653" s="5"/>
      <c r="P2653" s="5"/>
      <c r="Q2653" s="5"/>
      <c r="R2653" s="5"/>
      <c r="S2653" s="5"/>
      <c r="T2653" s="5"/>
      <c r="U2653" s="5"/>
      <c r="V2653" s="5"/>
      <c r="W2653" s="5"/>
      <c r="X2653" s="23"/>
      <c r="Y2653" s="18"/>
      <c r="Z2653" s="23"/>
      <c r="AA2653" s="23"/>
      <c r="AB2653" s="5"/>
      <c r="AC2653" s="5"/>
      <c r="AD2653" s="5"/>
      <c r="AE2653" s="5"/>
      <c r="AF2653" s="5"/>
      <c r="AG2653" s="23"/>
      <c r="AH2653" s="5"/>
      <c r="AI2653" s="5"/>
      <c r="AJ2653" s="5"/>
      <c r="AK2653" s="5"/>
      <c r="AL2653" s="6"/>
      <c r="AM2653" s="5"/>
      <c r="AN2653" s="4"/>
      <c r="AO2653" s="4"/>
      <c r="AP2653" s="4"/>
      <c r="AQ2653" s="4"/>
      <c r="AR2653" s="4"/>
      <c r="AS2653" s="4"/>
      <c r="AT2653" s="4"/>
      <c r="AU2653" s="27"/>
      <c r="AV2653" s="39"/>
      <c r="AW2653" s="4"/>
    </row>
    <row r="2654" spans="1:49" ht="14.5" x14ac:dyDescent="0.35">
      <c r="A2654" s="1"/>
      <c r="B2654" s="4"/>
      <c r="C2654" s="29"/>
      <c r="D2654" s="29"/>
      <c r="E2654" s="29"/>
      <c r="F2654" s="2"/>
      <c r="G2654" s="2"/>
      <c r="H2654" s="6"/>
      <c r="I2654" s="6"/>
      <c r="J2654" s="18"/>
      <c r="K2654" s="23"/>
      <c r="L2654" s="5"/>
      <c r="M2654" s="5"/>
      <c r="N2654" s="5"/>
      <c r="O2654" s="5"/>
      <c r="P2654" s="5"/>
      <c r="Q2654" s="5"/>
      <c r="R2654" s="5"/>
      <c r="S2654" s="5"/>
      <c r="T2654" s="5"/>
      <c r="U2654" s="5"/>
      <c r="V2654" s="5"/>
      <c r="W2654" s="5"/>
      <c r="X2654" s="23"/>
      <c r="Y2654" s="18"/>
      <c r="Z2654" s="23"/>
      <c r="AA2654" s="23"/>
      <c r="AB2654" s="5"/>
      <c r="AC2654" s="5"/>
      <c r="AD2654" s="5"/>
      <c r="AE2654" s="5"/>
      <c r="AF2654" s="5"/>
      <c r="AG2654" s="23"/>
      <c r="AH2654" s="5"/>
      <c r="AI2654" s="5"/>
      <c r="AJ2654" s="5"/>
      <c r="AK2654" s="5"/>
      <c r="AL2654" s="6"/>
      <c r="AM2654" s="5"/>
      <c r="AN2654" s="4"/>
      <c r="AO2654" s="4"/>
      <c r="AP2654" s="4"/>
      <c r="AQ2654" s="4"/>
      <c r="AR2654" s="4"/>
      <c r="AS2654" s="4"/>
      <c r="AT2654" s="4"/>
      <c r="AU2654" s="27"/>
      <c r="AV2654" s="39"/>
      <c r="AW2654" s="4"/>
    </row>
    <row r="2655" spans="1:49" ht="14.5" x14ac:dyDescent="0.35">
      <c r="A2655" s="1"/>
      <c r="B2655" s="4"/>
      <c r="C2655" s="29"/>
      <c r="D2655" s="29"/>
      <c r="E2655" s="29"/>
      <c r="F2655" s="2"/>
      <c r="G2655" s="2"/>
      <c r="H2655" s="6"/>
      <c r="I2655" s="6"/>
      <c r="J2655" s="18"/>
      <c r="K2655" s="23"/>
      <c r="L2655" s="5"/>
      <c r="M2655" s="5"/>
      <c r="N2655" s="5"/>
      <c r="O2655" s="5"/>
      <c r="P2655" s="5"/>
      <c r="Q2655" s="5"/>
      <c r="R2655" s="5"/>
      <c r="S2655" s="5"/>
      <c r="T2655" s="5"/>
      <c r="U2655" s="5"/>
      <c r="V2655" s="5"/>
      <c r="W2655" s="5"/>
      <c r="X2655" s="23"/>
      <c r="Y2655" s="18"/>
      <c r="Z2655" s="23"/>
      <c r="AA2655" s="23"/>
      <c r="AB2655" s="5"/>
      <c r="AC2655" s="5"/>
      <c r="AD2655" s="5"/>
      <c r="AE2655" s="5"/>
      <c r="AF2655" s="5"/>
      <c r="AG2655" s="23"/>
      <c r="AH2655" s="5"/>
      <c r="AI2655" s="5"/>
      <c r="AJ2655" s="5"/>
      <c r="AK2655" s="5"/>
      <c r="AL2655" s="6"/>
      <c r="AM2655" s="5"/>
      <c r="AN2655" s="4"/>
      <c r="AO2655" s="4"/>
      <c r="AP2655" s="4"/>
      <c r="AQ2655" s="4"/>
      <c r="AR2655" s="4"/>
      <c r="AS2655" s="4"/>
      <c r="AT2655" s="4"/>
      <c r="AU2655" s="27"/>
      <c r="AV2655" s="39"/>
      <c r="AW2655" s="4"/>
    </row>
    <row r="2656" spans="1:49" ht="14.5" x14ac:dyDescent="0.35">
      <c r="A2656" s="1"/>
      <c r="B2656" s="4"/>
      <c r="C2656" s="29"/>
      <c r="D2656" s="29"/>
      <c r="E2656" s="29"/>
      <c r="F2656" s="2"/>
      <c r="G2656" s="2"/>
      <c r="H2656" s="6"/>
      <c r="I2656" s="6"/>
      <c r="J2656" s="18"/>
      <c r="K2656" s="23"/>
      <c r="L2656" s="5"/>
      <c r="M2656" s="5"/>
      <c r="N2656" s="5"/>
      <c r="O2656" s="5"/>
      <c r="P2656" s="5"/>
      <c r="Q2656" s="5"/>
      <c r="R2656" s="5"/>
      <c r="S2656" s="5"/>
      <c r="T2656" s="5"/>
      <c r="U2656" s="5"/>
      <c r="V2656" s="5"/>
      <c r="W2656" s="5"/>
      <c r="X2656" s="23"/>
      <c r="Y2656" s="18"/>
      <c r="Z2656" s="23"/>
      <c r="AA2656" s="23"/>
      <c r="AB2656" s="5"/>
      <c r="AC2656" s="5"/>
      <c r="AD2656" s="5"/>
      <c r="AE2656" s="5"/>
      <c r="AF2656" s="5"/>
      <c r="AG2656" s="23"/>
      <c r="AH2656" s="5"/>
      <c r="AI2656" s="5"/>
      <c r="AJ2656" s="5"/>
      <c r="AK2656" s="5"/>
      <c r="AL2656" s="6"/>
      <c r="AM2656" s="5"/>
      <c r="AN2656" s="4"/>
      <c r="AO2656" s="4"/>
      <c r="AP2656" s="4"/>
      <c r="AQ2656" s="4"/>
      <c r="AR2656" s="4"/>
      <c r="AS2656" s="4"/>
      <c r="AT2656" s="4"/>
      <c r="AU2656" s="27"/>
      <c r="AV2656" s="39"/>
      <c r="AW2656" s="4"/>
    </row>
    <row r="2657" spans="1:49" ht="14.5" x14ac:dyDescent="0.35">
      <c r="A2657" s="1"/>
      <c r="B2657" s="4"/>
      <c r="C2657" s="29"/>
      <c r="D2657" s="29"/>
      <c r="E2657" s="29"/>
      <c r="F2657" s="2"/>
      <c r="G2657" s="2"/>
      <c r="H2657" s="6"/>
      <c r="I2657" s="6"/>
      <c r="J2657" s="18"/>
      <c r="K2657" s="23"/>
      <c r="L2657" s="5"/>
      <c r="M2657" s="5"/>
      <c r="N2657" s="5"/>
      <c r="O2657" s="5"/>
      <c r="P2657" s="5"/>
      <c r="Q2657" s="5"/>
      <c r="R2657" s="5"/>
      <c r="S2657" s="5"/>
      <c r="T2657" s="5"/>
      <c r="U2657" s="5"/>
      <c r="V2657" s="5"/>
      <c r="W2657" s="5"/>
      <c r="X2657" s="23"/>
      <c r="Y2657" s="18"/>
      <c r="Z2657" s="23"/>
      <c r="AA2657" s="23"/>
      <c r="AB2657" s="5"/>
      <c r="AC2657" s="5"/>
      <c r="AD2657" s="5"/>
      <c r="AE2657" s="5"/>
      <c r="AF2657" s="5"/>
      <c r="AG2657" s="23"/>
      <c r="AH2657" s="5"/>
      <c r="AI2657" s="5"/>
      <c r="AJ2657" s="5"/>
      <c r="AK2657" s="5"/>
      <c r="AL2657" s="6"/>
      <c r="AM2657" s="5"/>
      <c r="AN2657" s="4"/>
      <c r="AO2657" s="4"/>
      <c r="AP2657" s="4"/>
      <c r="AQ2657" s="4"/>
      <c r="AR2657" s="4"/>
      <c r="AS2657" s="4"/>
      <c r="AT2657" s="4"/>
      <c r="AU2657" s="27"/>
      <c r="AV2657" s="39"/>
      <c r="AW2657" s="4"/>
    </row>
    <row r="2658" spans="1:49" ht="14.5" x14ac:dyDescent="0.35">
      <c r="A2658" s="1"/>
      <c r="B2658" s="4"/>
      <c r="C2658" s="29"/>
      <c r="D2658" s="29"/>
      <c r="E2658" s="29"/>
      <c r="F2658" s="2"/>
      <c r="G2658" s="2"/>
      <c r="H2658" s="6"/>
      <c r="I2658" s="6"/>
      <c r="J2658" s="18"/>
      <c r="K2658" s="23"/>
      <c r="L2658" s="5"/>
      <c r="M2658" s="5"/>
      <c r="N2658" s="5"/>
      <c r="O2658" s="5"/>
      <c r="P2658" s="5"/>
      <c r="Q2658" s="5"/>
      <c r="R2658" s="5"/>
      <c r="S2658" s="5"/>
      <c r="T2658" s="5"/>
      <c r="U2658" s="5"/>
      <c r="V2658" s="5"/>
      <c r="W2658" s="5"/>
      <c r="X2658" s="23"/>
      <c r="Y2658" s="18"/>
      <c r="Z2658" s="23"/>
      <c r="AA2658" s="23"/>
      <c r="AB2658" s="5"/>
      <c r="AC2658" s="5"/>
      <c r="AD2658" s="5"/>
      <c r="AE2658" s="5"/>
      <c r="AF2658" s="5"/>
      <c r="AG2658" s="23"/>
      <c r="AH2658" s="5"/>
      <c r="AI2658" s="5"/>
      <c r="AJ2658" s="5"/>
      <c r="AK2658" s="5"/>
      <c r="AL2658" s="6"/>
      <c r="AM2658" s="5"/>
      <c r="AN2658" s="4"/>
      <c r="AO2658" s="4"/>
      <c r="AP2658" s="4"/>
      <c r="AQ2658" s="4"/>
      <c r="AR2658" s="4"/>
      <c r="AS2658" s="4"/>
      <c r="AT2658" s="4"/>
      <c r="AU2658" s="27"/>
      <c r="AV2658" s="39"/>
      <c r="AW2658" s="4"/>
    </row>
  </sheetData>
  <autoFilter ref="A1:AW2319" xr:uid="{00000000-0001-0000-0000-000000000000}"/>
  <sortState xmlns:xlrd2="http://schemas.microsoft.com/office/spreadsheetml/2017/richdata2" ref="A2:AW2658">
    <sortCondition ref="C2:C2658"/>
    <sortCondition ref="D2:D2658"/>
  </sortState>
  <phoneticPr fontId="16" type="noConversion"/>
  <conditionalFormatting sqref="O1:O931">
    <cfRule type="cellIs" dxfId="5" priority="8" operator="equal">
      <formula>"biomass"</formula>
    </cfRule>
  </conditionalFormatting>
  <conditionalFormatting sqref="O933:O2498">
    <cfRule type="cellIs" dxfId="4" priority="1" operator="equal">
      <formula>"biomass"</formula>
    </cfRule>
  </conditionalFormatting>
  <conditionalFormatting sqref="O932:P932">
    <cfRule type="cellIs" dxfId="3" priority="30" operator="equal">
      <formula>"biomass"</formula>
    </cfRule>
  </conditionalFormatting>
  <conditionalFormatting sqref="P931">
    <cfRule type="cellIs" dxfId="2" priority="26" operator="equal">
      <formula>"biomass"</formula>
    </cfRule>
  </conditionalFormatting>
  <conditionalFormatting sqref="AW1">
    <cfRule type="duplicateValues" dxfId="1" priority="7"/>
  </conditionalFormatting>
  <conditionalFormatting sqref="AW2:AW1048576">
    <cfRule type="duplicateValues" dxfId="0" priority="25"/>
  </conditionalFormatting>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zoomScale="85" zoomScaleNormal="85" workbookViewId="0">
      <pane ySplit="1" topLeftCell="A2" activePane="bottomLeft" state="frozen"/>
      <selection pane="bottomLeft" activeCell="C31" sqref="C31"/>
    </sheetView>
  </sheetViews>
  <sheetFormatPr defaultColWidth="12.6640625" defaultRowHeight="15" customHeight="1" x14ac:dyDescent="0.3"/>
  <cols>
    <col min="1" max="1" width="21.6640625" customWidth="1"/>
    <col min="2" max="2" width="7.6640625" customWidth="1"/>
    <col min="3" max="3" width="29.6640625" customWidth="1"/>
    <col min="4" max="4" width="80.5" customWidth="1"/>
    <col min="5" max="5" width="31.1640625" customWidth="1"/>
    <col min="6" max="6" width="14.1640625" customWidth="1"/>
    <col min="7" max="26" width="7.6640625" customWidth="1"/>
  </cols>
  <sheetData>
    <row r="1" spans="1:26" ht="14.25" customHeight="1" x14ac:dyDescent="0.35">
      <c r="A1" s="83" t="s">
        <v>2080</v>
      </c>
      <c r="B1" s="83" t="s">
        <v>2081</v>
      </c>
      <c r="C1" s="83" t="s">
        <v>2082</v>
      </c>
      <c r="D1" s="83" t="s">
        <v>2083</v>
      </c>
      <c r="E1" s="83" t="s">
        <v>2084</v>
      </c>
      <c r="F1" s="83" t="s">
        <v>2085</v>
      </c>
      <c r="G1" s="83"/>
      <c r="H1" s="83"/>
      <c r="I1" s="83"/>
      <c r="J1" s="9"/>
      <c r="K1" s="9"/>
      <c r="L1" s="9"/>
      <c r="M1" s="9"/>
      <c r="N1" s="9"/>
      <c r="O1" s="9"/>
      <c r="P1" s="9"/>
      <c r="Q1" s="9"/>
      <c r="R1" s="9"/>
      <c r="S1" s="9"/>
      <c r="T1" s="9"/>
      <c r="U1" s="9"/>
      <c r="V1" s="9"/>
      <c r="W1" s="9"/>
      <c r="X1" s="9"/>
      <c r="Y1" s="9"/>
      <c r="Z1" s="9"/>
    </row>
    <row r="2" spans="1:26" ht="14.25" customHeight="1" x14ac:dyDescent="0.35">
      <c r="A2" s="84" t="s">
        <v>2086</v>
      </c>
      <c r="B2" s="84"/>
      <c r="C2" s="84"/>
      <c r="D2" s="84" t="s">
        <v>2087</v>
      </c>
      <c r="E2" s="84"/>
      <c r="F2" s="84" t="s">
        <v>2088</v>
      </c>
      <c r="G2" s="84"/>
      <c r="H2" s="84"/>
      <c r="I2" s="84"/>
      <c r="J2" s="3"/>
      <c r="K2" s="3"/>
      <c r="L2" s="3"/>
      <c r="M2" s="3"/>
      <c r="N2" s="3"/>
      <c r="O2" s="3"/>
      <c r="P2" s="3"/>
      <c r="Q2" s="3"/>
      <c r="R2" s="3"/>
      <c r="S2" s="3"/>
      <c r="T2" s="3"/>
      <c r="U2" s="3"/>
      <c r="V2" s="3"/>
      <c r="W2" s="3"/>
      <c r="X2" s="3"/>
      <c r="Y2" s="3"/>
      <c r="Z2" s="3"/>
    </row>
    <row r="3" spans="1:26" ht="14.25" customHeight="1" x14ac:dyDescent="0.35">
      <c r="A3" s="84" t="s">
        <v>2089</v>
      </c>
      <c r="B3" s="84"/>
      <c r="C3" s="84"/>
      <c r="D3" s="84" t="s">
        <v>2090</v>
      </c>
      <c r="E3" s="84"/>
      <c r="F3" s="84" t="s">
        <v>2088</v>
      </c>
      <c r="G3" s="84"/>
      <c r="H3" s="84"/>
      <c r="I3" s="84"/>
      <c r="J3" s="3"/>
      <c r="K3" s="3"/>
      <c r="L3" s="3"/>
      <c r="M3" s="3"/>
      <c r="N3" s="3"/>
      <c r="O3" s="3"/>
      <c r="P3" s="3"/>
      <c r="Q3" s="3"/>
      <c r="R3" s="3"/>
      <c r="S3" s="3"/>
      <c r="T3" s="3"/>
      <c r="U3" s="3"/>
      <c r="V3" s="3"/>
      <c r="W3" s="3"/>
      <c r="X3" s="3"/>
      <c r="Y3" s="3"/>
      <c r="Z3" s="3"/>
    </row>
    <row r="4" spans="1:26" ht="14.25" customHeight="1" x14ac:dyDescent="0.35">
      <c r="A4" s="84" t="s">
        <v>2091</v>
      </c>
      <c r="B4" s="84"/>
      <c r="C4" s="84"/>
      <c r="D4" s="84" t="s">
        <v>2092</v>
      </c>
      <c r="E4" s="84"/>
      <c r="F4" s="84" t="s">
        <v>2088</v>
      </c>
      <c r="G4" s="84"/>
      <c r="H4" s="84"/>
      <c r="I4" s="84"/>
      <c r="J4" s="3"/>
      <c r="K4" s="3"/>
      <c r="L4" s="3"/>
      <c r="M4" s="3"/>
      <c r="N4" s="3"/>
      <c r="O4" s="3"/>
      <c r="P4" s="3"/>
      <c r="Q4" s="3"/>
      <c r="R4" s="3"/>
      <c r="S4" s="3"/>
      <c r="T4" s="3"/>
      <c r="U4" s="3"/>
      <c r="V4" s="3"/>
      <c r="W4" s="3"/>
      <c r="X4" s="3"/>
      <c r="Y4" s="3"/>
      <c r="Z4" s="3"/>
    </row>
    <row r="5" spans="1:26" ht="14.25" customHeight="1" x14ac:dyDescent="0.35">
      <c r="A5" s="84" t="s">
        <v>2093</v>
      </c>
      <c r="B5" s="84"/>
      <c r="C5" s="84"/>
      <c r="D5" s="84" t="s">
        <v>2094</v>
      </c>
      <c r="E5" s="84"/>
      <c r="F5" s="84" t="s">
        <v>2088</v>
      </c>
      <c r="G5" s="84"/>
      <c r="H5" s="84"/>
      <c r="I5" s="84"/>
      <c r="J5" s="3"/>
      <c r="K5" s="3"/>
      <c r="L5" s="3"/>
      <c r="M5" s="3"/>
      <c r="N5" s="3"/>
      <c r="O5" s="3"/>
      <c r="P5" s="3"/>
      <c r="Q5" s="3"/>
      <c r="R5" s="3"/>
      <c r="S5" s="3"/>
      <c r="T5" s="3"/>
      <c r="U5" s="3"/>
      <c r="V5" s="3"/>
      <c r="W5" s="3"/>
      <c r="X5" s="3"/>
      <c r="Y5" s="3"/>
      <c r="Z5" s="3"/>
    </row>
    <row r="6" spans="1:26" ht="14.25" customHeight="1" x14ac:dyDescent="0.35">
      <c r="A6" s="84" t="s">
        <v>2095</v>
      </c>
      <c r="B6" s="84"/>
      <c r="C6" s="84"/>
      <c r="D6" s="84" t="s">
        <v>2096</v>
      </c>
      <c r="E6" s="84" t="s">
        <v>2097</v>
      </c>
      <c r="F6" s="84" t="s">
        <v>2088</v>
      </c>
      <c r="G6" s="84"/>
      <c r="H6" s="84"/>
      <c r="I6" s="84"/>
      <c r="J6" s="3"/>
      <c r="K6" s="3"/>
      <c r="L6" s="3"/>
      <c r="M6" s="3"/>
      <c r="N6" s="3"/>
      <c r="O6" s="3"/>
      <c r="P6" s="3"/>
      <c r="Q6" s="3"/>
      <c r="R6" s="3"/>
      <c r="S6" s="3"/>
      <c r="T6" s="3"/>
      <c r="U6" s="3"/>
      <c r="V6" s="3"/>
      <c r="W6" s="3"/>
      <c r="X6" s="3"/>
      <c r="Y6" s="3"/>
      <c r="Z6" s="3"/>
    </row>
    <row r="7" spans="1:26" ht="14.25" customHeight="1" x14ac:dyDescent="0.35">
      <c r="A7" s="84" t="s">
        <v>2098</v>
      </c>
      <c r="B7" s="84"/>
      <c r="C7" s="84"/>
      <c r="D7" s="84" t="s">
        <v>2099</v>
      </c>
      <c r="E7" s="84"/>
      <c r="F7" s="84" t="s">
        <v>2088</v>
      </c>
      <c r="G7" s="84"/>
      <c r="H7" s="84"/>
      <c r="I7" s="84"/>
      <c r="J7" s="3"/>
      <c r="K7" s="3"/>
      <c r="L7" s="3"/>
      <c r="M7" s="3"/>
      <c r="N7" s="3"/>
      <c r="O7" s="3"/>
      <c r="P7" s="3"/>
      <c r="Q7" s="3"/>
      <c r="R7" s="3"/>
      <c r="S7" s="3"/>
      <c r="T7" s="3"/>
      <c r="U7" s="3"/>
      <c r="V7" s="3"/>
      <c r="W7" s="3"/>
      <c r="X7" s="3"/>
      <c r="Y7" s="3"/>
      <c r="Z7" s="3"/>
    </row>
    <row r="8" spans="1:26" ht="14.25" customHeight="1" x14ac:dyDescent="0.35">
      <c r="A8" s="85" t="s">
        <v>2100</v>
      </c>
      <c r="B8" s="85"/>
      <c r="C8" s="85"/>
      <c r="D8" s="84" t="s">
        <v>2101</v>
      </c>
      <c r="E8" s="84"/>
      <c r="F8" s="84" t="s">
        <v>2088</v>
      </c>
      <c r="G8" s="84"/>
      <c r="H8" s="84"/>
      <c r="I8" s="84"/>
      <c r="J8" s="3"/>
      <c r="K8" s="3"/>
      <c r="L8" s="3"/>
      <c r="M8" s="3"/>
      <c r="N8" s="3"/>
      <c r="O8" s="3"/>
      <c r="P8" s="3"/>
      <c r="Q8" s="3"/>
      <c r="R8" s="3"/>
      <c r="S8" s="3"/>
      <c r="T8" s="3"/>
      <c r="U8" s="3"/>
      <c r="V8" s="3"/>
      <c r="W8" s="3"/>
      <c r="X8" s="3"/>
      <c r="Y8" s="3"/>
      <c r="Z8" s="3"/>
    </row>
    <row r="9" spans="1:26" ht="14.25" customHeight="1" x14ac:dyDescent="0.35">
      <c r="A9" s="84" t="s">
        <v>2102</v>
      </c>
      <c r="B9" s="84"/>
      <c r="C9" s="84"/>
      <c r="D9" s="84" t="s">
        <v>2103</v>
      </c>
      <c r="E9" s="84"/>
      <c r="F9" s="84" t="s">
        <v>2088</v>
      </c>
      <c r="G9" s="84"/>
      <c r="H9" s="84"/>
      <c r="I9" s="84"/>
      <c r="J9" s="3"/>
      <c r="K9" s="3"/>
      <c r="L9" s="3"/>
      <c r="M9" s="3"/>
      <c r="N9" s="3"/>
      <c r="O9" s="3"/>
      <c r="P9" s="3"/>
      <c r="Q9" s="3"/>
      <c r="R9" s="3"/>
      <c r="S9" s="3"/>
      <c r="T9" s="3"/>
      <c r="U9" s="3"/>
      <c r="V9" s="3"/>
      <c r="W9" s="3"/>
      <c r="X9" s="3"/>
      <c r="Y9" s="3"/>
      <c r="Z9" s="3"/>
    </row>
    <row r="10" spans="1:26" ht="14.25" customHeight="1" x14ac:dyDescent="0.35">
      <c r="A10" s="84" t="s">
        <v>2104</v>
      </c>
      <c r="B10" s="84"/>
      <c r="C10" s="84"/>
      <c r="D10" s="84" t="s">
        <v>2105</v>
      </c>
      <c r="E10" s="84"/>
      <c r="F10" s="84" t="s">
        <v>2088</v>
      </c>
      <c r="G10" s="84"/>
      <c r="H10" s="84"/>
      <c r="I10" s="84"/>
      <c r="J10" s="3"/>
      <c r="K10" s="3"/>
      <c r="L10" s="3"/>
      <c r="M10" s="3"/>
      <c r="N10" s="3"/>
      <c r="O10" s="3"/>
      <c r="P10" s="3"/>
      <c r="Q10" s="3"/>
      <c r="R10" s="3"/>
      <c r="S10" s="3"/>
      <c r="T10" s="3"/>
      <c r="U10" s="3"/>
      <c r="V10" s="3"/>
      <c r="W10" s="3"/>
      <c r="X10" s="3"/>
      <c r="Y10" s="3"/>
      <c r="Z10" s="3"/>
    </row>
    <row r="11" spans="1:26" ht="14.25" customHeight="1" x14ac:dyDescent="0.35">
      <c r="A11" s="84" t="s">
        <v>2106</v>
      </c>
      <c r="B11" s="84"/>
      <c r="C11" s="84"/>
      <c r="D11" s="84" t="s">
        <v>2107</v>
      </c>
      <c r="E11" s="84"/>
      <c r="F11" s="84" t="s">
        <v>2088</v>
      </c>
      <c r="G11" s="84"/>
      <c r="H11" s="84"/>
      <c r="I11" s="84"/>
      <c r="J11" s="3"/>
      <c r="K11" s="3"/>
      <c r="L11" s="3"/>
      <c r="M11" s="3"/>
      <c r="N11" s="3"/>
      <c r="O11" s="3"/>
      <c r="P11" s="3"/>
      <c r="Q11" s="3"/>
      <c r="R11" s="3"/>
      <c r="S11" s="3"/>
      <c r="T11" s="3"/>
      <c r="U11" s="3"/>
      <c r="V11" s="3"/>
      <c r="W11" s="3"/>
      <c r="X11" s="3"/>
      <c r="Y11" s="3"/>
      <c r="Z11" s="3"/>
    </row>
    <row r="12" spans="1:26" ht="14.25" customHeight="1" x14ac:dyDescent="0.35">
      <c r="A12" s="86" t="s">
        <v>2108</v>
      </c>
      <c r="B12" s="86"/>
      <c r="C12" s="86"/>
      <c r="D12" s="86" t="s">
        <v>2109</v>
      </c>
      <c r="E12" s="86"/>
      <c r="F12" s="86" t="s">
        <v>2088</v>
      </c>
      <c r="G12" s="86"/>
      <c r="H12" s="86"/>
      <c r="I12" s="86"/>
      <c r="J12" s="7"/>
      <c r="K12" s="7"/>
      <c r="L12" s="7"/>
      <c r="M12" s="7"/>
      <c r="N12" s="7"/>
      <c r="O12" s="7"/>
      <c r="P12" s="7"/>
      <c r="Q12" s="7"/>
      <c r="R12" s="7"/>
      <c r="S12" s="7"/>
      <c r="T12" s="7"/>
      <c r="U12" s="7"/>
      <c r="V12" s="7"/>
      <c r="W12" s="7"/>
      <c r="X12" s="7"/>
      <c r="Y12" s="7"/>
      <c r="Z12" s="7"/>
    </row>
    <row r="13" spans="1:26" ht="14.25" customHeight="1" x14ac:dyDescent="0.35">
      <c r="A13" s="84" t="s">
        <v>1886</v>
      </c>
      <c r="B13" s="84">
        <v>2010</v>
      </c>
      <c r="C13" s="84" t="s">
        <v>2110</v>
      </c>
      <c r="D13" s="84" t="s">
        <v>2111</v>
      </c>
      <c r="E13" s="84" t="s">
        <v>2112</v>
      </c>
      <c r="F13" s="84" t="s">
        <v>163</v>
      </c>
      <c r="G13" s="84"/>
      <c r="H13" s="84"/>
      <c r="I13" s="84"/>
      <c r="J13" s="3"/>
      <c r="K13" s="3"/>
      <c r="L13" s="3"/>
      <c r="M13" s="3"/>
      <c r="N13" s="3"/>
      <c r="O13" s="3"/>
      <c r="P13" s="3"/>
      <c r="Q13" s="3"/>
      <c r="R13" s="3"/>
      <c r="S13" s="3"/>
      <c r="T13" s="3"/>
      <c r="U13" s="3"/>
      <c r="V13" s="3"/>
      <c r="W13" s="3"/>
      <c r="X13" s="3"/>
      <c r="Y13" s="3"/>
      <c r="Z13" s="3"/>
    </row>
    <row r="14" spans="1:26" ht="14.25" customHeight="1" x14ac:dyDescent="0.35">
      <c r="A14" s="84" t="s">
        <v>2113</v>
      </c>
      <c r="B14" s="84">
        <v>2013</v>
      </c>
      <c r="C14" s="84" t="s">
        <v>2114</v>
      </c>
      <c r="D14" s="84" t="s">
        <v>2115</v>
      </c>
      <c r="E14" s="84" t="s">
        <v>2112</v>
      </c>
      <c r="F14" s="84" t="s">
        <v>163</v>
      </c>
      <c r="G14" s="84"/>
      <c r="H14" s="84"/>
      <c r="I14" s="84"/>
      <c r="J14" s="3"/>
      <c r="K14" s="3"/>
      <c r="L14" s="3"/>
      <c r="M14" s="3"/>
      <c r="N14" s="3"/>
      <c r="O14" s="3"/>
      <c r="P14" s="3"/>
      <c r="Q14" s="3"/>
      <c r="R14" s="3"/>
      <c r="S14" s="3"/>
      <c r="T14" s="3"/>
      <c r="U14" s="3"/>
      <c r="V14" s="3"/>
      <c r="W14" s="3"/>
      <c r="X14" s="3"/>
      <c r="Y14" s="3"/>
      <c r="Z14" s="3"/>
    </row>
    <row r="15" spans="1:26" ht="14.25" customHeight="1" x14ac:dyDescent="0.35">
      <c r="A15" s="84" t="s">
        <v>569</v>
      </c>
      <c r="B15" s="84">
        <v>2012</v>
      </c>
      <c r="C15" s="84" t="s">
        <v>2116</v>
      </c>
      <c r="D15" s="84" t="s">
        <v>2117</v>
      </c>
      <c r="E15" s="84" t="s">
        <v>2118</v>
      </c>
      <c r="F15" s="84" t="s">
        <v>163</v>
      </c>
      <c r="G15" s="84"/>
      <c r="H15" s="84"/>
      <c r="I15" s="84"/>
      <c r="J15" s="3"/>
      <c r="K15" s="3"/>
      <c r="L15" s="3"/>
      <c r="M15" s="3"/>
      <c r="N15" s="3"/>
      <c r="O15" s="3"/>
      <c r="P15" s="3"/>
      <c r="Q15" s="3"/>
      <c r="R15" s="3"/>
      <c r="S15" s="3"/>
      <c r="T15" s="3"/>
      <c r="U15" s="3"/>
      <c r="V15" s="3"/>
      <c r="W15" s="3"/>
      <c r="X15" s="3"/>
      <c r="Y15" s="3"/>
      <c r="Z15" s="3"/>
    </row>
    <row r="16" spans="1:26" ht="14.25" customHeight="1" x14ac:dyDescent="0.35">
      <c r="A16" s="84" t="s">
        <v>2119</v>
      </c>
      <c r="B16" s="84">
        <v>2012</v>
      </c>
      <c r="C16" s="84" t="s">
        <v>183</v>
      </c>
      <c r="D16" s="84" t="s">
        <v>2120</v>
      </c>
      <c r="E16" s="84" t="s">
        <v>2121</v>
      </c>
      <c r="F16" s="84" t="s">
        <v>163</v>
      </c>
      <c r="G16" s="84"/>
      <c r="H16" s="84"/>
      <c r="I16" s="84"/>
      <c r="J16" s="3"/>
      <c r="K16" s="3"/>
      <c r="L16" s="3"/>
      <c r="M16" s="3"/>
      <c r="N16" s="3"/>
      <c r="O16" s="3"/>
      <c r="P16" s="3"/>
      <c r="Q16" s="3"/>
      <c r="R16" s="3"/>
      <c r="S16" s="3"/>
      <c r="T16" s="3"/>
      <c r="U16" s="3"/>
      <c r="V16" s="3"/>
      <c r="W16" s="3"/>
      <c r="X16" s="3"/>
      <c r="Y16" s="3"/>
      <c r="Z16" s="3"/>
    </row>
    <row r="17" spans="1:26" ht="14.25" customHeight="1" x14ac:dyDescent="0.35">
      <c r="A17" s="85" t="s">
        <v>2122</v>
      </c>
      <c r="B17" s="85">
        <v>2019</v>
      </c>
      <c r="C17" s="85" t="s">
        <v>2123</v>
      </c>
      <c r="D17" s="84" t="s">
        <v>2124</v>
      </c>
      <c r="E17" s="84" t="s">
        <v>2125</v>
      </c>
      <c r="F17" s="84" t="s">
        <v>163</v>
      </c>
      <c r="G17" s="84"/>
      <c r="H17" s="84"/>
      <c r="I17" s="84"/>
      <c r="J17" s="3"/>
      <c r="K17" s="3"/>
      <c r="L17" s="3"/>
      <c r="M17" s="3"/>
      <c r="N17" s="3"/>
      <c r="O17" s="3"/>
      <c r="P17" s="3"/>
      <c r="Q17" s="3"/>
      <c r="R17" s="3"/>
      <c r="S17" s="3"/>
      <c r="T17" s="3"/>
      <c r="U17" s="3"/>
      <c r="V17" s="3"/>
      <c r="W17" s="3"/>
      <c r="X17" s="3"/>
      <c r="Y17" s="3"/>
      <c r="Z17" s="3"/>
    </row>
    <row r="18" spans="1:26" ht="14.25" customHeight="1" x14ac:dyDescent="0.35">
      <c r="A18" s="84" t="s">
        <v>2126</v>
      </c>
      <c r="B18" s="84">
        <v>2017</v>
      </c>
      <c r="C18" s="84" t="s">
        <v>183</v>
      </c>
      <c r="D18" s="84" t="s">
        <v>2127</v>
      </c>
      <c r="E18" s="84" t="s">
        <v>2121</v>
      </c>
      <c r="F18" s="84" t="s">
        <v>94</v>
      </c>
      <c r="G18" s="84"/>
      <c r="H18" s="84"/>
      <c r="I18" s="84"/>
      <c r="J18" s="3"/>
      <c r="K18" s="3"/>
      <c r="L18" s="3"/>
      <c r="M18" s="3"/>
      <c r="N18" s="3"/>
      <c r="O18" s="3"/>
      <c r="P18" s="3"/>
      <c r="Q18" s="3"/>
      <c r="R18" s="3"/>
      <c r="S18" s="3"/>
      <c r="T18" s="3"/>
      <c r="U18" s="3"/>
      <c r="V18" s="3"/>
      <c r="W18" s="3"/>
      <c r="X18" s="3"/>
      <c r="Y18" s="3"/>
      <c r="Z18" s="3"/>
    </row>
    <row r="19" spans="1:26" ht="14.25" customHeight="1" x14ac:dyDescent="0.35">
      <c r="A19" s="84" t="s">
        <v>2128</v>
      </c>
      <c r="B19" s="84">
        <v>2018</v>
      </c>
      <c r="C19" s="84" t="s">
        <v>764</v>
      </c>
      <c r="D19" s="84" t="s">
        <v>2127</v>
      </c>
      <c r="E19" s="84" t="s">
        <v>2121</v>
      </c>
      <c r="F19" s="84" t="s">
        <v>94</v>
      </c>
      <c r="G19" s="84"/>
      <c r="H19" s="84"/>
      <c r="I19" s="84"/>
      <c r="J19" s="3"/>
      <c r="K19" s="3"/>
      <c r="L19" s="3"/>
      <c r="M19" s="3"/>
      <c r="N19" s="3"/>
      <c r="O19" s="3"/>
      <c r="P19" s="3"/>
      <c r="Q19" s="3"/>
      <c r="R19" s="3"/>
      <c r="S19" s="3"/>
      <c r="T19" s="3"/>
      <c r="U19" s="3"/>
      <c r="V19" s="3"/>
      <c r="W19" s="3"/>
      <c r="X19" s="3"/>
      <c r="Y19" s="3"/>
      <c r="Z19" s="3"/>
    </row>
    <row r="20" spans="1:26" ht="14.25" customHeight="1" x14ac:dyDescent="0.35">
      <c r="A20" s="84" t="s">
        <v>2129</v>
      </c>
      <c r="B20" s="84">
        <v>2019</v>
      </c>
      <c r="C20" s="84" t="s">
        <v>82</v>
      </c>
      <c r="D20" s="84" t="s">
        <v>2130</v>
      </c>
      <c r="E20" s="84" t="s">
        <v>2121</v>
      </c>
      <c r="F20" s="84" t="s">
        <v>163</v>
      </c>
      <c r="G20" s="84"/>
      <c r="H20" s="84"/>
      <c r="I20" s="84"/>
      <c r="J20" s="3"/>
      <c r="K20" s="3"/>
      <c r="L20" s="3"/>
      <c r="M20" s="3"/>
      <c r="N20" s="3"/>
      <c r="O20" s="3"/>
      <c r="P20" s="3"/>
      <c r="Q20" s="3"/>
      <c r="R20" s="3"/>
      <c r="S20" s="3"/>
      <c r="T20" s="3"/>
      <c r="U20" s="3"/>
      <c r="V20" s="3"/>
      <c r="W20" s="3"/>
      <c r="X20" s="3"/>
      <c r="Y20" s="3"/>
      <c r="Z20" s="3"/>
    </row>
    <row r="21" spans="1:26" ht="14.25" customHeight="1" x14ac:dyDescent="0.35">
      <c r="A21" s="85" t="s">
        <v>92</v>
      </c>
      <c r="B21" s="85">
        <v>2015</v>
      </c>
      <c r="C21" s="85" t="s">
        <v>2131</v>
      </c>
      <c r="D21" s="84" t="s">
        <v>2132</v>
      </c>
      <c r="E21" s="84" t="s">
        <v>2125</v>
      </c>
      <c r="F21" s="84" t="s">
        <v>94</v>
      </c>
      <c r="G21" s="84"/>
      <c r="H21" s="84"/>
      <c r="I21" s="84"/>
      <c r="J21" s="3"/>
      <c r="K21" s="3"/>
      <c r="L21" s="3"/>
      <c r="M21" s="3"/>
      <c r="N21" s="3"/>
      <c r="O21" s="3"/>
      <c r="P21" s="3"/>
      <c r="Q21" s="3"/>
      <c r="R21" s="3"/>
      <c r="S21" s="3"/>
      <c r="T21" s="3"/>
      <c r="U21" s="3"/>
      <c r="V21" s="3"/>
      <c r="W21" s="3"/>
      <c r="X21" s="3"/>
      <c r="Y21" s="3"/>
      <c r="Z21" s="3"/>
    </row>
    <row r="22" spans="1:26" ht="14.25" customHeight="1" x14ac:dyDescent="0.35">
      <c r="A22" s="84" t="s">
        <v>2133</v>
      </c>
      <c r="B22" s="84">
        <v>2018</v>
      </c>
      <c r="C22" s="84" t="s">
        <v>2134</v>
      </c>
      <c r="D22" s="84" t="s">
        <v>2135</v>
      </c>
      <c r="E22" s="84" t="s">
        <v>2112</v>
      </c>
      <c r="F22" s="84" t="s">
        <v>94</v>
      </c>
      <c r="G22" s="84"/>
      <c r="H22" s="84"/>
      <c r="I22" s="84"/>
      <c r="J22" s="3"/>
      <c r="K22" s="3"/>
      <c r="L22" s="3"/>
      <c r="M22" s="3"/>
      <c r="N22" s="3"/>
      <c r="O22" s="3"/>
      <c r="P22" s="3"/>
      <c r="Q22" s="3"/>
      <c r="R22" s="3"/>
      <c r="S22" s="3"/>
      <c r="T22" s="3"/>
      <c r="U22" s="3"/>
      <c r="V22" s="3"/>
      <c r="W22" s="3"/>
      <c r="X22" s="3"/>
      <c r="Y22" s="3"/>
      <c r="Z22" s="3"/>
    </row>
    <row r="23" spans="1:26" ht="15.75" customHeight="1" x14ac:dyDescent="0.35">
      <c r="A23" s="84" t="s">
        <v>615</v>
      </c>
      <c r="B23" s="84">
        <v>2000</v>
      </c>
      <c r="C23" s="84" t="s">
        <v>263</v>
      </c>
      <c r="D23" s="84" t="s">
        <v>2136</v>
      </c>
      <c r="E23" s="84" t="s">
        <v>2137</v>
      </c>
      <c r="F23" s="84" t="s">
        <v>94</v>
      </c>
      <c r="G23" s="84"/>
      <c r="H23" s="84"/>
      <c r="I23" s="84"/>
      <c r="J23" s="3"/>
      <c r="K23" s="3"/>
      <c r="L23" s="3"/>
      <c r="M23" s="3"/>
      <c r="N23" s="3"/>
      <c r="O23" s="3"/>
      <c r="P23" s="3"/>
      <c r="Q23" s="3"/>
      <c r="R23" s="3"/>
      <c r="S23" s="3"/>
      <c r="T23" s="3"/>
      <c r="U23" s="3"/>
      <c r="V23" s="3"/>
      <c r="W23" s="3"/>
      <c r="X23" s="3"/>
      <c r="Y23" s="3"/>
      <c r="Z23" s="3"/>
    </row>
    <row r="24" spans="1:26" ht="14.25" customHeight="1" x14ac:dyDescent="0.35">
      <c r="A24" s="85" t="s">
        <v>615</v>
      </c>
      <c r="B24" s="85">
        <v>2008</v>
      </c>
      <c r="C24" s="85" t="s">
        <v>1083</v>
      </c>
      <c r="D24" s="84" t="s">
        <v>2138</v>
      </c>
      <c r="E24" s="84" t="s">
        <v>2125</v>
      </c>
      <c r="F24" s="84" t="s">
        <v>94</v>
      </c>
      <c r="G24" s="84"/>
      <c r="H24" s="84"/>
      <c r="I24" s="84"/>
      <c r="J24" s="3"/>
      <c r="K24" s="3"/>
      <c r="L24" s="3"/>
      <c r="M24" s="3"/>
      <c r="N24" s="3"/>
      <c r="O24" s="3"/>
      <c r="P24" s="3"/>
      <c r="Q24" s="3"/>
      <c r="R24" s="3"/>
      <c r="S24" s="3"/>
      <c r="T24" s="3"/>
      <c r="U24" s="3"/>
      <c r="V24" s="3"/>
      <c r="W24" s="3"/>
      <c r="X24" s="3"/>
      <c r="Y24" s="3"/>
      <c r="Z24" s="3"/>
    </row>
    <row r="25" spans="1:26" ht="14.25" customHeight="1" x14ac:dyDescent="0.35">
      <c r="A25" s="84" t="s">
        <v>615</v>
      </c>
      <c r="B25" s="84">
        <v>1998</v>
      </c>
      <c r="C25" s="84" t="s">
        <v>860</v>
      </c>
      <c r="D25" s="84" t="s">
        <v>2139</v>
      </c>
      <c r="E25" s="84" t="s">
        <v>2121</v>
      </c>
      <c r="F25" s="84" t="s">
        <v>94</v>
      </c>
      <c r="G25" s="84"/>
      <c r="H25" s="84"/>
      <c r="I25" s="84"/>
      <c r="J25" s="3"/>
      <c r="K25" s="3"/>
      <c r="L25" s="3"/>
      <c r="M25" s="3"/>
      <c r="N25" s="3"/>
      <c r="O25" s="3"/>
      <c r="P25" s="3"/>
      <c r="Q25" s="3"/>
      <c r="R25" s="3"/>
      <c r="S25" s="3"/>
      <c r="T25" s="3"/>
      <c r="U25" s="3"/>
      <c r="V25" s="3"/>
      <c r="W25" s="3"/>
      <c r="X25" s="3"/>
      <c r="Y25" s="3"/>
      <c r="Z25" s="3"/>
    </row>
    <row r="26" spans="1:26" ht="14.25" customHeight="1" x14ac:dyDescent="0.35">
      <c r="A26" s="84" t="s">
        <v>615</v>
      </c>
      <c r="B26" s="84">
        <v>1995</v>
      </c>
      <c r="C26" s="84" t="s">
        <v>2140</v>
      </c>
      <c r="D26" s="84" t="s">
        <v>2141</v>
      </c>
      <c r="E26" s="84" t="s">
        <v>2121</v>
      </c>
      <c r="F26" s="84" t="s">
        <v>94</v>
      </c>
      <c r="G26" s="84"/>
      <c r="H26" s="84"/>
      <c r="I26" s="84"/>
      <c r="J26" s="3"/>
      <c r="K26" s="3"/>
      <c r="L26" s="3"/>
      <c r="M26" s="3"/>
      <c r="N26" s="3"/>
      <c r="O26" s="3"/>
      <c r="P26" s="3"/>
      <c r="Q26" s="3"/>
      <c r="R26" s="3"/>
      <c r="S26" s="3"/>
      <c r="T26" s="3"/>
      <c r="U26" s="3"/>
      <c r="V26" s="3"/>
      <c r="W26" s="3"/>
      <c r="X26" s="3"/>
      <c r="Y26" s="3"/>
      <c r="Z26" s="3"/>
    </row>
    <row r="27" spans="1:26" ht="14.25" customHeight="1" x14ac:dyDescent="0.35">
      <c r="A27" s="84" t="s">
        <v>596</v>
      </c>
      <c r="B27" s="84">
        <v>2012</v>
      </c>
      <c r="C27" s="84" t="s">
        <v>140</v>
      </c>
      <c r="D27" s="84" t="s">
        <v>2142</v>
      </c>
      <c r="E27" s="84" t="s">
        <v>2121</v>
      </c>
      <c r="F27" s="84" t="s">
        <v>83</v>
      </c>
      <c r="G27" s="84"/>
      <c r="H27" s="84"/>
      <c r="I27" s="84"/>
      <c r="J27" s="3"/>
      <c r="K27" s="3"/>
      <c r="L27" s="3"/>
      <c r="M27" s="3"/>
      <c r="N27" s="3"/>
      <c r="O27" s="3"/>
      <c r="P27" s="3"/>
      <c r="Q27" s="3"/>
      <c r="R27" s="3"/>
      <c r="S27" s="3"/>
      <c r="T27" s="3"/>
      <c r="U27" s="3"/>
      <c r="V27" s="3"/>
      <c r="W27" s="3"/>
      <c r="X27" s="3"/>
      <c r="Y27" s="3"/>
      <c r="Z27" s="3"/>
    </row>
    <row r="28" spans="1:26" ht="14.25" customHeight="1" x14ac:dyDescent="0.35">
      <c r="A28" s="84" t="s">
        <v>2143</v>
      </c>
      <c r="B28" s="84">
        <v>2017</v>
      </c>
      <c r="C28" s="84" t="s">
        <v>2144</v>
      </c>
      <c r="D28" s="84" t="s">
        <v>2145</v>
      </c>
      <c r="E28" s="84" t="s">
        <v>2121</v>
      </c>
      <c r="F28" s="84" t="s">
        <v>83</v>
      </c>
      <c r="G28" s="84"/>
      <c r="H28" s="84"/>
      <c r="I28" s="84"/>
      <c r="J28" s="3"/>
      <c r="K28" s="3"/>
      <c r="L28" s="3"/>
      <c r="M28" s="3"/>
      <c r="N28" s="3"/>
      <c r="O28" s="3"/>
      <c r="P28" s="3"/>
      <c r="Q28" s="3"/>
      <c r="R28" s="3"/>
      <c r="S28" s="3"/>
      <c r="T28" s="3"/>
      <c r="U28" s="3"/>
      <c r="V28" s="3"/>
      <c r="W28" s="3"/>
      <c r="X28" s="3"/>
      <c r="Y28" s="3"/>
      <c r="Z28" s="3"/>
    </row>
    <row r="29" spans="1:26" ht="14.25" customHeight="1" x14ac:dyDescent="0.35">
      <c r="A29" s="84" t="s">
        <v>2146</v>
      </c>
      <c r="B29" s="84">
        <v>2020</v>
      </c>
      <c r="C29" s="84" t="s">
        <v>848</v>
      </c>
      <c r="D29" s="84" t="s">
        <v>2147</v>
      </c>
      <c r="E29" s="84" t="s">
        <v>2148</v>
      </c>
      <c r="F29" s="84" t="s">
        <v>163</v>
      </c>
      <c r="G29" s="84"/>
      <c r="H29" s="84"/>
      <c r="I29" s="84"/>
      <c r="J29" s="3"/>
      <c r="K29" s="3"/>
      <c r="L29" s="3"/>
      <c r="M29" s="3"/>
      <c r="N29" s="3"/>
      <c r="O29" s="3"/>
      <c r="P29" s="3"/>
      <c r="Q29" s="3"/>
      <c r="R29" s="3"/>
      <c r="S29" s="3"/>
      <c r="T29" s="3"/>
      <c r="U29" s="3"/>
      <c r="V29" s="3"/>
      <c r="W29" s="3"/>
      <c r="X29" s="3"/>
      <c r="Y29" s="3"/>
      <c r="Z29" s="3"/>
    </row>
    <row r="30" spans="1:26" ht="14.25" customHeight="1" x14ac:dyDescent="0.35">
      <c r="A30" s="84" t="s">
        <v>2149</v>
      </c>
      <c r="B30" s="84">
        <v>2005</v>
      </c>
      <c r="C30" s="84" t="s">
        <v>2150</v>
      </c>
      <c r="D30" s="84" t="s">
        <v>2151</v>
      </c>
      <c r="E30" s="84" t="s">
        <v>2112</v>
      </c>
      <c r="F30" s="84" t="s">
        <v>94</v>
      </c>
      <c r="G30" s="84"/>
      <c r="H30" s="84"/>
      <c r="I30" s="84"/>
      <c r="J30" s="3"/>
      <c r="K30" s="3"/>
      <c r="L30" s="3"/>
      <c r="M30" s="3"/>
      <c r="N30" s="3"/>
      <c r="O30" s="3"/>
      <c r="P30" s="3"/>
      <c r="Q30" s="3"/>
      <c r="R30" s="3"/>
      <c r="S30" s="3"/>
      <c r="T30" s="3"/>
      <c r="U30" s="3"/>
      <c r="V30" s="3"/>
      <c r="W30" s="3"/>
      <c r="X30" s="3"/>
      <c r="Y30" s="3"/>
      <c r="Z30" s="3"/>
    </row>
    <row r="31" spans="1:26" ht="14.25" customHeight="1" x14ac:dyDescent="0.35">
      <c r="A31" s="84" t="s">
        <v>2152</v>
      </c>
      <c r="B31" s="84">
        <v>2006</v>
      </c>
      <c r="C31" s="84" t="s">
        <v>685</v>
      </c>
      <c r="D31" s="84" t="s">
        <v>2153</v>
      </c>
      <c r="E31" s="84" t="s">
        <v>2112</v>
      </c>
      <c r="F31" s="84" t="s">
        <v>94</v>
      </c>
      <c r="G31" s="84"/>
      <c r="H31" s="84"/>
      <c r="I31" s="84"/>
      <c r="J31" s="3"/>
      <c r="K31" s="3"/>
      <c r="L31" s="3"/>
      <c r="M31" s="3"/>
      <c r="N31" s="3"/>
      <c r="O31" s="3"/>
      <c r="P31" s="3"/>
      <c r="Q31" s="3"/>
      <c r="R31" s="3"/>
      <c r="S31" s="3"/>
      <c r="T31" s="3"/>
      <c r="U31" s="3"/>
      <c r="V31" s="3"/>
      <c r="W31" s="3"/>
      <c r="X31" s="3"/>
      <c r="Y31" s="3"/>
      <c r="Z31" s="3"/>
    </row>
    <row r="32" spans="1:26" ht="14.25" customHeight="1" x14ac:dyDescent="0.35">
      <c r="A32" s="85" t="s">
        <v>71</v>
      </c>
      <c r="B32" s="85">
        <v>2012</v>
      </c>
      <c r="C32" s="85" t="s">
        <v>140</v>
      </c>
      <c r="D32" s="84" t="s">
        <v>2154</v>
      </c>
      <c r="E32" s="84" t="s">
        <v>2155</v>
      </c>
      <c r="F32" s="84" t="s">
        <v>83</v>
      </c>
      <c r="G32" s="84"/>
      <c r="H32" s="84"/>
      <c r="I32" s="84"/>
      <c r="J32" s="3"/>
      <c r="K32" s="3"/>
      <c r="L32" s="3"/>
      <c r="M32" s="3"/>
      <c r="N32" s="3"/>
      <c r="O32" s="3"/>
      <c r="P32" s="3"/>
      <c r="Q32" s="3"/>
      <c r="R32" s="3"/>
      <c r="S32" s="3"/>
      <c r="T32" s="3"/>
      <c r="U32" s="3"/>
      <c r="V32" s="3"/>
      <c r="W32" s="3"/>
      <c r="X32" s="3"/>
      <c r="Y32" s="3"/>
      <c r="Z32" s="3"/>
    </row>
    <row r="33" spans="1:26" ht="14.25" customHeight="1" x14ac:dyDescent="0.35">
      <c r="A33" s="85" t="s">
        <v>2156</v>
      </c>
      <c r="B33" s="85">
        <v>2015</v>
      </c>
      <c r="C33" s="85" t="s">
        <v>2157</v>
      </c>
      <c r="D33" s="84" t="s">
        <v>2158</v>
      </c>
      <c r="E33" s="84" t="s">
        <v>2125</v>
      </c>
      <c r="F33" s="84" t="s">
        <v>83</v>
      </c>
      <c r="G33" s="84"/>
      <c r="H33" s="84"/>
      <c r="I33" s="84"/>
      <c r="J33" s="3"/>
      <c r="K33" s="3"/>
      <c r="L33" s="3"/>
      <c r="M33" s="3"/>
      <c r="N33" s="3"/>
      <c r="O33" s="3"/>
      <c r="P33" s="3"/>
      <c r="Q33" s="3"/>
      <c r="R33" s="3"/>
      <c r="S33" s="3"/>
      <c r="T33" s="3"/>
      <c r="U33" s="3"/>
      <c r="V33" s="3"/>
      <c r="W33" s="3"/>
      <c r="X33" s="3"/>
      <c r="Y33" s="3"/>
      <c r="Z33" s="3"/>
    </row>
    <row r="34" spans="1:26" ht="14.25" customHeight="1" x14ac:dyDescent="0.35">
      <c r="A34" s="84" t="s">
        <v>437</v>
      </c>
      <c r="B34" s="84">
        <v>2015</v>
      </c>
      <c r="C34" s="84" t="s">
        <v>2123</v>
      </c>
      <c r="D34" s="84" t="s">
        <v>2159</v>
      </c>
      <c r="E34" s="84" t="s">
        <v>2121</v>
      </c>
      <c r="F34" s="84" t="s">
        <v>83</v>
      </c>
      <c r="G34" s="84"/>
      <c r="H34" s="84"/>
      <c r="I34" s="84"/>
      <c r="J34" s="3"/>
      <c r="K34" s="3"/>
      <c r="L34" s="3"/>
      <c r="M34" s="3"/>
      <c r="N34" s="3"/>
      <c r="O34" s="3"/>
      <c r="P34" s="3"/>
      <c r="Q34" s="3"/>
      <c r="R34" s="3"/>
      <c r="S34" s="3"/>
      <c r="T34" s="3"/>
      <c r="U34" s="3"/>
      <c r="V34" s="3"/>
      <c r="W34" s="3"/>
      <c r="X34" s="3"/>
      <c r="Y34" s="3"/>
      <c r="Z34" s="3"/>
    </row>
    <row r="35" spans="1:26" ht="14.25" customHeight="1" x14ac:dyDescent="0.35">
      <c r="A35" s="84" t="s">
        <v>2160</v>
      </c>
      <c r="B35" s="84">
        <v>2020</v>
      </c>
      <c r="C35" s="84" t="s">
        <v>2161</v>
      </c>
      <c r="D35" s="84" t="s">
        <v>2162</v>
      </c>
      <c r="E35" s="84" t="s">
        <v>2121</v>
      </c>
      <c r="F35" s="84" t="s">
        <v>94</v>
      </c>
      <c r="G35" s="84"/>
      <c r="H35" s="84"/>
      <c r="I35" s="84"/>
      <c r="J35" s="3"/>
      <c r="K35" s="3"/>
      <c r="L35" s="3"/>
      <c r="M35" s="3"/>
      <c r="N35" s="3"/>
      <c r="O35" s="3"/>
      <c r="P35" s="3"/>
      <c r="Q35" s="3"/>
      <c r="R35" s="3"/>
      <c r="S35" s="3"/>
      <c r="T35" s="3"/>
      <c r="U35" s="3"/>
      <c r="V35" s="3"/>
      <c r="W35" s="3"/>
      <c r="X35" s="3"/>
      <c r="Y35" s="3"/>
      <c r="Z35" s="3"/>
    </row>
    <row r="36" spans="1:26" ht="14.25" customHeight="1" x14ac:dyDescent="0.35">
      <c r="A36" s="84" t="s">
        <v>2163</v>
      </c>
      <c r="B36" s="84">
        <v>2019</v>
      </c>
      <c r="C36" s="84" t="s">
        <v>183</v>
      </c>
      <c r="D36" s="84" t="s">
        <v>2164</v>
      </c>
      <c r="E36" s="84" t="s">
        <v>2112</v>
      </c>
      <c r="F36" s="84" t="s">
        <v>83</v>
      </c>
      <c r="G36" s="84"/>
      <c r="H36" s="84"/>
      <c r="I36" s="84"/>
      <c r="J36" s="3"/>
      <c r="K36" s="3"/>
      <c r="L36" s="3"/>
      <c r="M36" s="3"/>
      <c r="N36" s="3"/>
      <c r="O36" s="3"/>
      <c r="P36" s="3"/>
      <c r="Q36" s="3"/>
      <c r="R36" s="3"/>
      <c r="S36" s="3"/>
      <c r="T36" s="3"/>
      <c r="U36" s="3"/>
      <c r="V36" s="3"/>
      <c r="W36" s="3"/>
      <c r="X36" s="3"/>
      <c r="Y36" s="3"/>
      <c r="Z36" s="3"/>
    </row>
    <row r="37" spans="1:26" ht="14.25" customHeight="1" x14ac:dyDescent="0.35">
      <c r="A37" s="84" t="s">
        <v>2165</v>
      </c>
      <c r="B37" s="84">
        <v>2019</v>
      </c>
      <c r="C37" s="84" t="s">
        <v>1193</v>
      </c>
      <c r="D37" s="84" t="s">
        <v>2166</v>
      </c>
      <c r="E37" s="84" t="s">
        <v>2112</v>
      </c>
      <c r="F37" s="84" t="s">
        <v>94</v>
      </c>
      <c r="G37" s="84"/>
      <c r="H37" s="84"/>
      <c r="I37" s="84"/>
      <c r="J37" s="3"/>
      <c r="K37" s="3"/>
      <c r="L37" s="3"/>
      <c r="M37" s="3"/>
      <c r="N37" s="3"/>
      <c r="O37" s="3"/>
      <c r="P37" s="3"/>
      <c r="Q37" s="3"/>
      <c r="R37" s="3"/>
      <c r="S37" s="3"/>
      <c r="T37" s="3"/>
      <c r="U37" s="3"/>
      <c r="V37" s="3"/>
      <c r="W37" s="3"/>
      <c r="X37" s="3"/>
      <c r="Y37" s="3"/>
      <c r="Z37" s="3"/>
    </row>
    <row r="38" spans="1:26" ht="14.25" customHeight="1" x14ac:dyDescent="0.35">
      <c r="A38" s="84" t="s">
        <v>2167</v>
      </c>
      <c r="B38" s="84">
        <v>2013</v>
      </c>
      <c r="C38" s="84" t="s">
        <v>2168</v>
      </c>
      <c r="D38" s="84" t="s">
        <v>2169</v>
      </c>
      <c r="E38" s="84" t="s">
        <v>2121</v>
      </c>
      <c r="F38" s="84" t="s">
        <v>94</v>
      </c>
      <c r="G38" s="84"/>
      <c r="H38" s="84"/>
      <c r="I38" s="84"/>
      <c r="J38" s="3"/>
      <c r="K38" s="3"/>
      <c r="L38" s="3"/>
      <c r="M38" s="3"/>
      <c r="N38" s="3"/>
      <c r="O38" s="3"/>
      <c r="P38" s="3"/>
      <c r="Q38" s="3"/>
      <c r="R38" s="3"/>
      <c r="S38" s="3"/>
      <c r="T38" s="3"/>
      <c r="U38" s="3"/>
      <c r="V38" s="3"/>
      <c r="W38" s="3"/>
      <c r="X38" s="3"/>
      <c r="Y38" s="3"/>
      <c r="Z38" s="3"/>
    </row>
    <row r="39" spans="1:26" ht="14.25" customHeight="1" x14ac:dyDescent="0.35">
      <c r="A39" s="84" t="s">
        <v>2170</v>
      </c>
      <c r="B39" s="84">
        <v>2019</v>
      </c>
      <c r="C39" s="84" t="s">
        <v>88</v>
      </c>
      <c r="D39" s="84" t="s">
        <v>2164</v>
      </c>
      <c r="E39" s="84" t="s">
        <v>2112</v>
      </c>
      <c r="F39" s="84" t="s">
        <v>94</v>
      </c>
      <c r="G39" s="84"/>
      <c r="H39" s="84"/>
      <c r="I39" s="84"/>
      <c r="J39" s="3"/>
      <c r="K39" s="3"/>
      <c r="L39" s="3"/>
      <c r="M39" s="3"/>
      <c r="N39" s="3"/>
      <c r="O39" s="3"/>
      <c r="P39" s="3"/>
      <c r="Q39" s="3"/>
      <c r="R39" s="3"/>
      <c r="S39" s="3"/>
      <c r="T39" s="3"/>
      <c r="U39" s="3"/>
      <c r="V39" s="3"/>
      <c r="W39" s="3"/>
      <c r="X39" s="3"/>
      <c r="Y39" s="3"/>
      <c r="Z39" s="3"/>
    </row>
    <row r="40" spans="1:26" ht="14.25" customHeight="1" x14ac:dyDescent="0.35">
      <c r="A40" s="84" t="s">
        <v>615</v>
      </c>
      <c r="B40" s="84">
        <v>2020</v>
      </c>
      <c r="C40" s="84" t="s">
        <v>183</v>
      </c>
      <c r="D40" s="84" t="s">
        <v>2171</v>
      </c>
      <c r="E40" s="84" t="s">
        <v>2148</v>
      </c>
      <c r="F40" s="84" t="s">
        <v>94</v>
      </c>
      <c r="G40" s="84"/>
      <c r="H40" s="84"/>
      <c r="I40" s="84"/>
      <c r="J40" s="3"/>
      <c r="K40" s="3"/>
      <c r="L40" s="3"/>
      <c r="M40" s="3"/>
      <c r="N40" s="3"/>
      <c r="O40" s="3"/>
      <c r="P40" s="3"/>
      <c r="Q40" s="3"/>
      <c r="R40" s="3"/>
      <c r="S40" s="3"/>
      <c r="T40" s="3"/>
      <c r="U40" s="3"/>
      <c r="V40" s="3"/>
      <c r="W40" s="3"/>
      <c r="X40" s="3"/>
      <c r="Y40" s="3"/>
      <c r="Z40" s="3"/>
    </row>
    <row r="41" spans="1:26" ht="14.25" customHeight="1" x14ac:dyDescent="0.35">
      <c r="A41" s="3" t="s">
        <v>847</v>
      </c>
      <c r="B41" s="3">
        <v>2013</v>
      </c>
      <c r="C41" s="3" t="s">
        <v>848</v>
      </c>
      <c r="D41" s="3" t="s">
        <v>2172</v>
      </c>
      <c r="E41" s="3" t="s">
        <v>2121</v>
      </c>
      <c r="F41" s="3" t="s">
        <v>94</v>
      </c>
      <c r="G41" s="3"/>
      <c r="H41" s="3"/>
      <c r="I41" s="3"/>
      <c r="J41" s="3"/>
      <c r="K41" s="3"/>
      <c r="L41" s="3"/>
      <c r="M41" s="3"/>
      <c r="N41" s="3"/>
      <c r="O41" s="3"/>
      <c r="P41" s="3"/>
      <c r="Q41" s="3"/>
      <c r="R41" s="3"/>
      <c r="S41" s="3"/>
      <c r="T41" s="3"/>
      <c r="U41" s="3"/>
      <c r="V41" s="3"/>
      <c r="W41" s="3"/>
      <c r="X41" s="3"/>
      <c r="Y41" s="3"/>
      <c r="Z41" s="3"/>
    </row>
    <row r="42" spans="1:26" ht="14.25" customHeight="1" x14ac:dyDescent="0.35">
      <c r="A42" s="3" t="s">
        <v>2173</v>
      </c>
      <c r="B42" s="3">
        <v>2006</v>
      </c>
      <c r="C42" s="3" t="s">
        <v>2174</v>
      </c>
      <c r="D42" s="3" t="s">
        <v>2175</v>
      </c>
      <c r="E42" s="3" t="s">
        <v>2112</v>
      </c>
      <c r="F42" s="3" t="s">
        <v>163</v>
      </c>
      <c r="G42" s="3"/>
      <c r="H42" s="3"/>
      <c r="I42" s="3"/>
      <c r="J42" s="3"/>
      <c r="K42" s="3"/>
      <c r="L42" s="3"/>
      <c r="M42" s="3"/>
      <c r="N42" s="3"/>
      <c r="O42" s="3"/>
      <c r="P42" s="3"/>
      <c r="Q42" s="3"/>
      <c r="R42" s="3"/>
      <c r="S42" s="3"/>
      <c r="T42" s="3"/>
      <c r="U42" s="3"/>
      <c r="V42" s="3"/>
      <c r="W42" s="3"/>
      <c r="X42" s="3"/>
      <c r="Y42" s="3"/>
      <c r="Z42" s="3"/>
    </row>
    <row r="43" spans="1:26" ht="14.25" customHeight="1" x14ac:dyDescent="0.35">
      <c r="A43" s="3" t="s">
        <v>2176</v>
      </c>
      <c r="B43" s="3">
        <v>2017</v>
      </c>
      <c r="C43" s="3" t="s">
        <v>160</v>
      </c>
      <c r="D43" s="3" t="s">
        <v>2177</v>
      </c>
      <c r="E43" s="3" t="s">
        <v>2112</v>
      </c>
      <c r="F43" s="3" t="s">
        <v>163</v>
      </c>
      <c r="G43" s="3"/>
      <c r="H43" s="3"/>
      <c r="I43" s="3"/>
      <c r="J43" s="3"/>
      <c r="K43" s="3"/>
      <c r="L43" s="3"/>
      <c r="M43" s="3"/>
      <c r="N43" s="3"/>
      <c r="O43" s="3"/>
      <c r="P43" s="3"/>
      <c r="Q43" s="3"/>
      <c r="R43" s="3"/>
      <c r="S43" s="3"/>
      <c r="T43" s="3"/>
      <c r="U43" s="3"/>
      <c r="V43" s="3"/>
      <c r="W43" s="3"/>
      <c r="X43" s="3"/>
      <c r="Y43" s="3"/>
      <c r="Z43" s="3"/>
    </row>
    <row r="44" spans="1:26" ht="14.25" customHeight="1" x14ac:dyDescent="0.35">
      <c r="A44" s="3" t="s">
        <v>1399</v>
      </c>
      <c r="B44" s="3">
        <v>2015</v>
      </c>
      <c r="C44" s="3" t="s">
        <v>470</v>
      </c>
      <c r="D44" s="3" t="s">
        <v>2178</v>
      </c>
      <c r="E44" s="3" t="s">
        <v>2179</v>
      </c>
      <c r="F44" s="3" t="s">
        <v>163</v>
      </c>
      <c r="G44" s="3"/>
      <c r="H44" s="3"/>
      <c r="I44" s="3"/>
      <c r="J44" s="3"/>
      <c r="K44" s="3"/>
      <c r="L44" s="3"/>
      <c r="M44" s="3"/>
      <c r="N44" s="3"/>
      <c r="O44" s="3"/>
      <c r="P44" s="3"/>
      <c r="Q44" s="3"/>
      <c r="R44" s="3"/>
      <c r="S44" s="3"/>
      <c r="T44" s="3"/>
      <c r="U44" s="3"/>
      <c r="V44" s="3"/>
      <c r="W44" s="3"/>
      <c r="X44" s="3"/>
      <c r="Y44" s="3"/>
      <c r="Z44" s="3"/>
    </row>
    <row r="45" spans="1:26" ht="14.25" customHeight="1" x14ac:dyDescent="0.35">
      <c r="A45" s="3" t="s">
        <v>1261</v>
      </c>
      <c r="B45" s="3">
        <v>2014</v>
      </c>
      <c r="C45" s="3" t="s">
        <v>2180</v>
      </c>
      <c r="D45" s="3" t="s">
        <v>2181</v>
      </c>
      <c r="E45" s="3" t="s">
        <v>2182</v>
      </c>
      <c r="F45" s="3" t="s">
        <v>258</v>
      </c>
      <c r="G45" s="3"/>
      <c r="H45" s="3"/>
      <c r="I45" s="3"/>
      <c r="J45" s="3"/>
      <c r="K45" s="3"/>
      <c r="L45" s="3"/>
      <c r="M45" s="3"/>
      <c r="N45" s="3"/>
      <c r="O45" s="3"/>
      <c r="P45" s="3"/>
      <c r="Q45" s="3"/>
      <c r="R45" s="3"/>
      <c r="S45" s="3"/>
      <c r="T45" s="3"/>
      <c r="U45" s="3"/>
      <c r="V45" s="3"/>
      <c r="W45" s="3"/>
      <c r="X45" s="3"/>
      <c r="Y45" s="3"/>
      <c r="Z45" s="3"/>
    </row>
    <row r="46" spans="1:26" ht="14.25" customHeight="1" x14ac:dyDescent="0.35">
      <c r="A46" s="3" t="s">
        <v>1261</v>
      </c>
      <c r="B46" s="3">
        <v>2013</v>
      </c>
      <c r="C46" s="3" t="s">
        <v>706</v>
      </c>
      <c r="D46" s="3" t="s">
        <v>2183</v>
      </c>
      <c r="E46" s="3" t="s">
        <v>2184</v>
      </c>
      <c r="F46" s="3" t="s">
        <v>258</v>
      </c>
      <c r="G46" s="3"/>
      <c r="H46" s="3"/>
      <c r="I46" s="3"/>
      <c r="J46" s="3"/>
      <c r="K46" s="3"/>
      <c r="L46" s="3"/>
      <c r="M46" s="3"/>
      <c r="N46" s="3"/>
      <c r="O46" s="3"/>
      <c r="P46" s="3"/>
      <c r="Q46" s="3"/>
      <c r="R46" s="3"/>
      <c r="S46" s="3"/>
      <c r="T46" s="3"/>
      <c r="U46" s="3"/>
      <c r="V46" s="3"/>
      <c r="W46" s="3"/>
      <c r="X46" s="3"/>
      <c r="Y46" s="3"/>
      <c r="Z46" s="3"/>
    </row>
    <row r="47" spans="1:26" ht="14.25" customHeight="1" x14ac:dyDescent="0.35">
      <c r="A47" s="3" t="s">
        <v>2185</v>
      </c>
      <c r="B47" s="3">
        <v>2008</v>
      </c>
      <c r="C47" s="3" t="s">
        <v>93</v>
      </c>
      <c r="D47" s="3" t="s">
        <v>2186</v>
      </c>
      <c r="E47" s="3" t="s">
        <v>2187</v>
      </c>
      <c r="F47" s="3" t="s">
        <v>83</v>
      </c>
      <c r="G47" s="3"/>
      <c r="H47" s="3"/>
      <c r="I47" s="3"/>
      <c r="J47" s="3"/>
      <c r="K47" s="3"/>
      <c r="L47" s="3"/>
      <c r="M47" s="3"/>
      <c r="N47" s="3"/>
      <c r="O47" s="3"/>
      <c r="P47" s="3"/>
      <c r="Q47" s="3"/>
      <c r="R47" s="3"/>
      <c r="S47" s="3"/>
      <c r="T47" s="3"/>
      <c r="U47" s="3"/>
      <c r="V47" s="3"/>
      <c r="W47" s="3"/>
      <c r="X47" s="3"/>
      <c r="Y47" s="3"/>
      <c r="Z47" s="3"/>
    </row>
    <row r="48" spans="1:26" ht="14.25" customHeight="1" x14ac:dyDescent="0.35">
      <c r="A48" s="3" t="s">
        <v>2188</v>
      </c>
      <c r="B48" s="3">
        <v>2014</v>
      </c>
      <c r="C48" s="3" t="s">
        <v>2189</v>
      </c>
      <c r="D48" s="3" t="s">
        <v>2190</v>
      </c>
      <c r="E48" s="3" t="s">
        <v>2187</v>
      </c>
      <c r="F48" s="3" t="s">
        <v>163</v>
      </c>
      <c r="G48" s="3"/>
      <c r="H48" s="3"/>
      <c r="I48" s="3"/>
      <c r="J48" s="3"/>
      <c r="K48" s="3"/>
      <c r="L48" s="3"/>
      <c r="M48" s="3"/>
      <c r="N48" s="3"/>
      <c r="O48" s="3"/>
      <c r="P48" s="3"/>
      <c r="Q48" s="3"/>
      <c r="R48" s="3"/>
      <c r="S48" s="3"/>
      <c r="T48" s="3"/>
      <c r="U48" s="3"/>
      <c r="V48" s="3"/>
      <c r="W48" s="3"/>
      <c r="X48" s="3"/>
      <c r="Y48" s="3"/>
      <c r="Z48" s="3"/>
    </row>
    <row r="49" spans="1:26" ht="14.25" customHeight="1" x14ac:dyDescent="0.35">
      <c r="A49" s="3" t="s">
        <v>2191</v>
      </c>
      <c r="B49" s="3">
        <v>2018</v>
      </c>
      <c r="C49" s="3" t="s">
        <v>2192</v>
      </c>
      <c r="D49" s="3" t="s">
        <v>2193</v>
      </c>
      <c r="E49" s="3" t="s">
        <v>2187</v>
      </c>
      <c r="F49" s="3" t="s">
        <v>163</v>
      </c>
      <c r="G49" s="3"/>
      <c r="H49" s="3"/>
      <c r="I49" s="3"/>
      <c r="J49" s="3"/>
      <c r="K49" s="3"/>
      <c r="L49" s="3"/>
      <c r="M49" s="3"/>
      <c r="N49" s="3"/>
      <c r="O49" s="3"/>
      <c r="P49" s="3"/>
      <c r="Q49" s="3"/>
      <c r="R49" s="3"/>
      <c r="S49" s="3"/>
      <c r="T49" s="3"/>
      <c r="U49" s="3"/>
      <c r="V49" s="3"/>
      <c r="W49" s="3"/>
      <c r="X49" s="3"/>
      <c r="Y49" s="3"/>
      <c r="Z49" s="3"/>
    </row>
    <row r="50" spans="1:26" ht="14.25" customHeight="1" x14ac:dyDescent="0.35">
      <c r="A50" s="3" t="s">
        <v>2194</v>
      </c>
      <c r="B50" s="3">
        <v>2011</v>
      </c>
      <c r="C50" s="3" t="s">
        <v>2195</v>
      </c>
      <c r="D50" s="3" t="s">
        <v>2196</v>
      </c>
      <c r="E50" s="3" t="s">
        <v>2112</v>
      </c>
      <c r="F50" s="3" t="s">
        <v>83</v>
      </c>
      <c r="G50" s="3"/>
      <c r="H50" s="3"/>
      <c r="I50" s="3"/>
      <c r="J50" s="3"/>
      <c r="K50" s="3"/>
      <c r="L50" s="3"/>
      <c r="M50" s="3"/>
      <c r="N50" s="3"/>
      <c r="O50" s="3"/>
      <c r="P50" s="3"/>
      <c r="Q50" s="3"/>
      <c r="R50" s="3"/>
      <c r="S50" s="3"/>
      <c r="T50" s="3"/>
      <c r="U50" s="3"/>
      <c r="V50" s="3"/>
      <c r="W50" s="3"/>
      <c r="X50" s="3"/>
      <c r="Y50" s="3"/>
      <c r="Z50" s="3"/>
    </row>
    <row r="51" spans="1:26" ht="14.25" customHeight="1" x14ac:dyDescent="0.35">
      <c r="A51" s="3" t="s">
        <v>790</v>
      </c>
      <c r="B51" s="3">
        <v>2007</v>
      </c>
      <c r="C51" s="3" t="s">
        <v>332</v>
      </c>
      <c r="D51" s="3" t="s">
        <v>2197</v>
      </c>
      <c r="E51" s="3" t="s">
        <v>2187</v>
      </c>
      <c r="F51" s="3" t="s">
        <v>83</v>
      </c>
      <c r="G51" s="3"/>
      <c r="H51" s="3"/>
      <c r="I51" s="3"/>
      <c r="J51" s="3"/>
      <c r="K51" s="3"/>
      <c r="L51" s="3"/>
      <c r="M51" s="3"/>
      <c r="N51" s="3"/>
      <c r="O51" s="3"/>
      <c r="P51" s="3"/>
      <c r="Q51" s="3"/>
      <c r="R51" s="3"/>
      <c r="S51" s="3"/>
      <c r="T51" s="3"/>
      <c r="U51" s="3"/>
      <c r="V51" s="3"/>
      <c r="W51" s="3"/>
      <c r="X51" s="3"/>
      <c r="Y51" s="3"/>
      <c r="Z51" s="3"/>
    </row>
    <row r="52" spans="1:26" ht="14.25" customHeight="1" x14ac:dyDescent="0.35">
      <c r="A52" s="3" t="s">
        <v>2198</v>
      </c>
      <c r="B52" s="3">
        <v>2019</v>
      </c>
      <c r="C52" s="3" t="s">
        <v>343</v>
      </c>
      <c r="D52" s="3" t="s">
        <v>2199</v>
      </c>
      <c r="E52" s="3" t="s">
        <v>2121</v>
      </c>
      <c r="F52" s="3" t="s">
        <v>83</v>
      </c>
      <c r="G52" s="3"/>
      <c r="H52" s="3"/>
      <c r="I52" s="3"/>
      <c r="J52" s="3"/>
      <c r="K52" s="3"/>
      <c r="L52" s="3"/>
      <c r="M52" s="3"/>
      <c r="N52" s="3"/>
      <c r="O52" s="3"/>
      <c r="P52" s="3"/>
      <c r="Q52" s="3"/>
      <c r="R52" s="3"/>
      <c r="S52" s="3"/>
      <c r="T52" s="3"/>
      <c r="U52" s="3"/>
      <c r="V52" s="3"/>
      <c r="W52" s="3"/>
      <c r="X52" s="3"/>
      <c r="Y52" s="3"/>
      <c r="Z52" s="3"/>
    </row>
    <row r="53" spans="1:26" ht="14.25" customHeight="1" x14ac:dyDescent="0.35">
      <c r="A53" s="3" t="s">
        <v>2185</v>
      </c>
      <c r="B53" s="3">
        <v>2010</v>
      </c>
      <c r="C53" s="3" t="s">
        <v>72</v>
      </c>
      <c r="D53" s="3" t="s">
        <v>2200</v>
      </c>
      <c r="E53" s="3" t="s">
        <v>2121</v>
      </c>
      <c r="F53" s="3" t="s">
        <v>83</v>
      </c>
      <c r="G53" s="3"/>
      <c r="H53" s="3"/>
      <c r="I53" s="3"/>
      <c r="J53" s="3"/>
      <c r="K53" s="3"/>
      <c r="L53" s="3"/>
      <c r="M53" s="3"/>
      <c r="N53" s="3"/>
      <c r="O53" s="3"/>
      <c r="P53" s="3"/>
      <c r="Q53" s="3"/>
      <c r="R53" s="3"/>
      <c r="S53" s="3"/>
      <c r="T53" s="3"/>
      <c r="U53" s="3"/>
      <c r="V53" s="3"/>
      <c r="W53" s="3"/>
      <c r="X53" s="3"/>
      <c r="Y53" s="3"/>
      <c r="Z53" s="3"/>
    </row>
    <row r="54" spans="1:26" ht="14.25" customHeight="1" x14ac:dyDescent="0.35">
      <c r="A54" s="3" t="s">
        <v>2201</v>
      </c>
      <c r="B54" s="3">
        <v>2019</v>
      </c>
      <c r="C54" s="3" t="s">
        <v>2161</v>
      </c>
      <c r="D54" s="3" t="s">
        <v>2202</v>
      </c>
      <c r="E54" s="3" t="s">
        <v>2187</v>
      </c>
      <c r="F54" s="3" t="s">
        <v>258</v>
      </c>
      <c r="G54" s="3"/>
      <c r="H54" s="3"/>
      <c r="I54" s="3"/>
      <c r="J54" s="3"/>
      <c r="K54" s="3"/>
      <c r="L54" s="3"/>
      <c r="M54" s="3"/>
      <c r="N54" s="3"/>
      <c r="O54" s="3"/>
      <c r="P54" s="3"/>
      <c r="Q54" s="3"/>
      <c r="R54" s="3"/>
      <c r="S54" s="3"/>
      <c r="T54" s="3"/>
      <c r="U54" s="3"/>
      <c r="V54" s="3"/>
      <c r="W54" s="3"/>
      <c r="X54" s="3"/>
      <c r="Y54" s="3"/>
      <c r="Z54" s="3"/>
    </row>
    <row r="55" spans="1:26" ht="14.25" customHeight="1" x14ac:dyDescent="0.35">
      <c r="A55" s="3" t="s">
        <v>2203</v>
      </c>
      <c r="B55" s="3">
        <v>2008</v>
      </c>
      <c r="C55" s="3" t="s">
        <v>2204</v>
      </c>
      <c r="D55" s="3" t="s">
        <v>2205</v>
      </c>
      <c r="E55" s="3" t="s">
        <v>2187</v>
      </c>
      <c r="F55" s="3" t="s">
        <v>163</v>
      </c>
      <c r="G55" s="3"/>
      <c r="H55" s="3"/>
      <c r="I55" s="3"/>
      <c r="J55" s="3"/>
      <c r="K55" s="3"/>
      <c r="L55" s="3"/>
      <c r="M55" s="3"/>
      <c r="N55" s="3"/>
      <c r="O55" s="3"/>
      <c r="P55" s="3"/>
      <c r="Q55" s="3"/>
      <c r="R55" s="3"/>
      <c r="S55" s="3"/>
      <c r="T55" s="3"/>
      <c r="U55" s="3"/>
      <c r="V55" s="3"/>
      <c r="W55" s="3"/>
      <c r="X55" s="3"/>
      <c r="Y55" s="3"/>
      <c r="Z55" s="3"/>
    </row>
    <row r="56" spans="1:26" ht="14.25" customHeight="1" x14ac:dyDescent="0.35">
      <c r="A56" s="3" t="s">
        <v>2206</v>
      </c>
      <c r="B56" s="3">
        <v>2019</v>
      </c>
      <c r="C56" s="3" t="s">
        <v>685</v>
      </c>
      <c r="D56" s="3" t="s">
        <v>2207</v>
      </c>
      <c r="E56" s="3" t="s">
        <v>2112</v>
      </c>
      <c r="F56" s="3" t="s">
        <v>163</v>
      </c>
      <c r="G56" s="3"/>
      <c r="H56" s="3"/>
      <c r="I56" s="3"/>
      <c r="J56" s="3"/>
      <c r="K56" s="3"/>
      <c r="L56" s="3"/>
      <c r="M56" s="3"/>
      <c r="N56" s="3"/>
      <c r="O56" s="3"/>
      <c r="P56" s="3"/>
      <c r="Q56" s="3"/>
      <c r="R56" s="3"/>
      <c r="S56" s="3"/>
      <c r="T56" s="3"/>
      <c r="U56" s="3"/>
      <c r="V56" s="3"/>
      <c r="W56" s="3"/>
      <c r="X56" s="3"/>
      <c r="Y56" s="3"/>
      <c r="Z56" s="3"/>
    </row>
    <row r="57" spans="1:26" ht="14.25" customHeight="1" x14ac:dyDescent="0.35">
      <c r="A57" s="3" t="s">
        <v>2208</v>
      </c>
      <c r="B57" s="3">
        <v>2017</v>
      </c>
      <c r="C57" s="3" t="s">
        <v>2209</v>
      </c>
      <c r="D57" s="3" t="s">
        <v>2210</v>
      </c>
      <c r="E57" s="3" t="s">
        <v>2187</v>
      </c>
      <c r="F57" s="3" t="s">
        <v>163</v>
      </c>
      <c r="G57" s="3"/>
      <c r="H57" s="3"/>
      <c r="I57" s="3"/>
      <c r="J57" s="3"/>
      <c r="K57" s="3"/>
      <c r="L57" s="3"/>
      <c r="M57" s="3"/>
      <c r="N57" s="3"/>
      <c r="O57" s="3"/>
      <c r="P57" s="3"/>
      <c r="Q57" s="3"/>
      <c r="R57" s="3"/>
      <c r="S57" s="3"/>
      <c r="T57" s="3"/>
      <c r="U57" s="3"/>
      <c r="V57" s="3"/>
      <c r="W57" s="3"/>
      <c r="X57" s="3"/>
      <c r="Y57" s="3"/>
      <c r="Z57" s="3"/>
    </row>
    <row r="58" spans="1:26" ht="14.25" customHeight="1" x14ac:dyDescent="0.35">
      <c r="A58" s="3" t="s">
        <v>2211</v>
      </c>
      <c r="B58" s="3">
        <v>2016</v>
      </c>
      <c r="C58" s="3" t="s">
        <v>2212</v>
      </c>
      <c r="D58" s="3" t="s">
        <v>2213</v>
      </c>
      <c r="E58" s="3" t="s">
        <v>2187</v>
      </c>
      <c r="F58" s="3" t="s">
        <v>83</v>
      </c>
      <c r="G58" s="3"/>
      <c r="H58" s="3"/>
      <c r="I58" s="3"/>
      <c r="J58" s="3"/>
      <c r="K58" s="3"/>
      <c r="L58" s="3"/>
      <c r="M58" s="3"/>
      <c r="N58" s="3"/>
      <c r="O58" s="3"/>
      <c r="P58" s="3"/>
      <c r="Q58" s="3"/>
      <c r="R58" s="3"/>
      <c r="S58" s="3"/>
      <c r="T58" s="3"/>
      <c r="U58" s="3"/>
      <c r="V58" s="3"/>
      <c r="W58" s="3"/>
      <c r="X58" s="3"/>
      <c r="Y58" s="3"/>
      <c r="Z58" s="3"/>
    </row>
    <row r="59" spans="1:26" ht="14.25" customHeight="1" x14ac:dyDescent="0.35">
      <c r="A59" s="3" t="s">
        <v>2214</v>
      </c>
      <c r="B59" s="3">
        <v>2019</v>
      </c>
      <c r="C59" s="3" t="s">
        <v>459</v>
      </c>
      <c r="D59" s="3" t="s">
        <v>2215</v>
      </c>
      <c r="E59" s="3" t="s">
        <v>2187</v>
      </c>
      <c r="F59" s="3" t="s">
        <v>163</v>
      </c>
      <c r="G59" s="3"/>
      <c r="H59" s="3"/>
      <c r="I59" s="3"/>
      <c r="J59" s="3"/>
      <c r="K59" s="3"/>
      <c r="L59" s="3"/>
      <c r="M59" s="3"/>
      <c r="N59" s="3"/>
      <c r="O59" s="3"/>
      <c r="P59" s="3"/>
      <c r="Q59" s="3"/>
      <c r="R59" s="3"/>
      <c r="S59" s="3"/>
      <c r="T59" s="3"/>
      <c r="U59" s="3"/>
      <c r="V59" s="3"/>
      <c r="W59" s="3"/>
      <c r="X59" s="3"/>
      <c r="Y59" s="3"/>
      <c r="Z59" s="3"/>
    </row>
    <row r="60" spans="1:26" ht="14.25" customHeight="1" x14ac:dyDescent="0.35">
      <c r="A60" s="3" t="s">
        <v>2216</v>
      </c>
      <c r="B60" s="3">
        <v>2017</v>
      </c>
      <c r="C60" s="3" t="s">
        <v>2217</v>
      </c>
      <c r="D60" s="3" t="s">
        <v>2215</v>
      </c>
      <c r="E60" s="3" t="s">
        <v>2187</v>
      </c>
      <c r="F60" s="3" t="s">
        <v>163</v>
      </c>
      <c r="G60" s="3"/>
      <c r="H60" s="3"/>
      <c r="I60" s="3"/>
      <c r="J60" s="3"/>
      <c r="K60" s="3"/>
      <c r="L60" s="3"/>
      <c r="M60" s="3"/>
      <c r="N60" s="3"/>
      <c r="O60" s="3"/>
      <c r="P60" s="3"/>
      <c r="Q60" s="3"/>
      <c r="R60" s="3"/>
      <c r="S60" s="3"/>
      <c r="T60" s="3"/>
      <c r="U60" s="3"/>
      <c r="V60" s="3"/>
      <c r="W60" s="3"/>
      <c r="X60" s="3"/>
      <c r="Y60" s="3"/>
      <c r="Z60" s="3"/>
    </row>
    <row r="61" spans="1:26" ht="14.25" customHeight="1" x14ac:dyDescent="0.35">
      <c r="A61" s="3" t="s">
        <v>2218</v>
      </c>
      <c r="B61" s="3">
        <v>2019</v>
      </c>
      <c r="C61" s="3" t="s">
        <v>459</v>
      </c>
      <c r="D61" s="3" t="s">
        <v>2215</v>
      </c>
      <c r="E61" s="3" t="s">
        <v>2187</v>
      </c>
      <c r="F61" s="3" t="s">
        <v>163</v>
      </c>
      <c r="G61" s="3"/>
      <c r="H61" s="3"/>
      <c r="I61" s="3"/>
      <c r="J61" s="3"/>
      <c r="K61" s="3"/>
      <c r="L61" s="3"/>
      <c r="M61" s="3"/>
      <c r="N61" s="3"/>
      <c r="O61" s="3"/>
      <c r="P61" s="3"/>
      <c r="Q61" s="3"/>
      <c r="R61" s="3"/>
      <c r="S61" s="3"/>
      <c r="T61" s="3"/>
      <c r="U61" s="3"/>
      <c r="V61" s="3"/>
      <c r="W61" s="3"/>
      <c r="X61" s="3"/>
      <c r="Y61" s="3"/>
      <c r="Z61" s="3"/>
    </row>
    <row r="62" spans="1:26" ht="14.25" customHeight="1" x14ac:dyDescent="0.35">
      <c r="A62" s="3" t="s">
        <v>2219</v>
      </c>
      <c r="B62" s="3">
        <v>2006</v>
      </c>
      <c r="C62" s="3" t="s">
        <v>332</v>
      </c>
      <c r="D62" s="3" t="s">
        <v>2220</v>
      </c>
      <c r="E62" s="3" t="s">
        <v>2112</v>
      </c>
      <c r="F62" s="3" t="s">
        <v>83</v>
      </c>
      <c r="G62" s="3"/>
      <c r="H62" s="3"/>
      <c r="I62" s="3"/>
      <c r="J62" s="3"/>
      <c r="K62" s="3"/>
      <c r="L62" s="3"/>
      <c r="M62" s="3"/>
      <c r="N62" s="3"/>
      <c r="O62" s="3"/>
      <c r="P62" s="3"/>
      <c r="Q62" s="3"/>
      <c r="R62" s="3"/>
      <c r="S62" s="3"/>
      <c r="T62" s="3"/>
      <c r="U62" s="3"/>
      <c r="V62" s="3"/>
      <c r="W62" s="3"/>
      <c r="X62" s="3"/>
      <c r="Y62" s="3"/>
      <c r="Z62" s="3"/>
    </row>
    <row r="63" spans="1:26" ht="14.25" customHeight="1" x14ac:dyDescent="0.35">
      <c r="A63" s="3" t="s">
        <v>615</v>
      </c>
      <c r="B63" s="3">
        <v>2006</v>
      </c>
      <c r="C63" s="3" t="s">
        <v>2157</v>
      </c>
      <c r="D63" s="3" t="s">
        <v>2193</v>
      </c>
      <c r="E63" s="3" t="s">
        <v>2187</v>
      </c>
      <c r="F63" s="3" t="s">
        <v>83</v>
      </c>
      <c r="G63" s="3"/>
      <c r="H63" s="3"/>
      <c r="I63" s="3"/>
      <c r="J63" s="3"/>
      <c r="K63" s="3"/>
      <c r="L63" s="3"/>
      <c r="M63" s="3"/>
      <c r="N63" s="3"/>
      <c r="O63" s="3"/>
      <c r="P63" s="3"/>
      <c r="Q63" s="3"/>
      <c r="R63" s="3"/>
      <c r="S63" s="3"/>
      <c r="T63" s="3"/>
      <c r="U63" s="3"/>
      <c r="V63" s="3"/>
      <c r="W63" s="3"/>
      <c r="X63" s="3"/>
      <c r="Y63" s="3"/>
      <c r="Z63" s="3"/>
    </row>
    <row r="64" spans="1:26" ht="14.25" customHeight="1" x14ac:dyDescent="0.35">
      <c r="A64" s="3" t="s">
        <v>2221</v>
      </c>
      <c r="B64" s="3">
        <v>2020</v>
      </c>
      <c r="C64" s="3" t="s">
        <v>263</v>
      </c>
      <c r="D64" s="3" t="s">
        <v>2222</v>
      </c>
      <c r="E64" s="3" t="s">
        <v>2187</v>
      </c>
      <c r="F64" s="3" t="s">
        <v>83</v>
      </c>
      <c r="G64" s="3"/>
      <c r="H64" s="3"/>
      <c r="I64" s="3"/>
      <c r="J64" s="3"/>
      <c r="K64" s="3"/>
      <c r="L64" s="3"/>
      <c r="M64" s="3"/>
      <c r="N64" s="3"/>
      <c r="O64" s="3"/>
      <c r="P64" s="3"/>
      <c r="Q64" s="3"/>
      <c r="R64" s="3"/>
      <c r="S64" s="3"/>
      <c r="T64" s="3"/>
      <c r="U64" s="3"/>
      <c r="V64" s="3"/>
      <c r="W64" s="3"/>
      <c r="X64" s="3"/>
      <c r="Y64" s="3"/>
      <c r="Z64" s="3"/>
    </row>
    <row r="65" spans="1:26" ht="14.25" customHeight="1" x14ac:dyDescent="0.35">
      <c r="A65" s="3" t="s">
        <v>2223</v>
      </c>
      <c r="B65" s="3">
        <v>2017</v>
      </c>
      <c r="C65" s="3" t="s">
        <v>183</v>
      </c>
      <c r="D65" s="3" t="s">
        <v>2112</v>
      </c>
      <c r="E65" s="3" t="s">
        <v>2112</v>
      </c>
      <c r="F65" s="3" t="s">
        <v>83</v>
      </c>
      <c r="G65" s="3"/>
      <c r="H65" s="3"/>
      <c r="I65" s="3"/>
      <c r="J65" s="3"/>
      <c r="K65" s="3"/>
      <c r="L65" s="3"/>
      <c r="M65" s="3"/>
      <c r="N65" s="3"/>
      <c r="O65" s="3"/>
      <c r="P65" s="3"/>
      <c r="Q65" s="3"/>
      <c r="R65" s="3"/>
      <c r="S65" s="3"/>
      <c r="T65" s="3"/>
      <c r="U65" s="3"/>
      <c r="V65" s="3"/>
      <c r="W65" s="3"/>
      <c r="X65" s="3"/>
      <c r="Y65" s="3"/>
      <c r="Z65" s="3"/>
    </row>
    <row r="66" spans="1:26" ht="14.25" customHeight="1" x14ac:dyDescent="0.35">
      <c r="A66" s="3" t="s">
        <v>2224</v>
      </c>
      <c r="B66" s="3">
        <v>2014</v>
      </c>
      <c r="C66" s="3" t="s">
        <v>88</v>
      </c>
      <c r="D66" s="3" t="s">
        <v>2193</v>
      </c>
      <c r="E66" s="3" t="s">
        <v>2187</v>
      </c>
      <c r="F66" s="3" t="s">
        <v>83</v>
      </c>
      <c r="G66" s="3"/>
      <c r="H66" s="3"/>
      <c r="I66" s="3"/>
      <c r="J66" s="3"/>
      <c r="K66" s="3"/>
      <c r="L66" s="3"/>
      <c r="M66" s="3"/>
      <c r="N66" s="3"/>
      <c r="O66" s="3"/>
      <c r="P66" s="3"/>
      <c r="Q66" s="3"/>
      <c r="R66" s="3"/>
      <c r="S66" s="3"/>
      <c r="T66" s="3"/>
      <c r="U66" s="3"/>
      <c r="V66" s="3"/>
      <c r="W66" s="3"/>
      <c r="X66" s="3"/>
      <c r="Y66" s="3"/>
      <c r="Z66" s="3"/>
    </row>
    <row r="67" spans="1:26" ht="14.25" customHeight="1" x14ac:dyDescent="0.35">
      <c r="A67" s="3" t="s">
        <v>2225</v>
      </c>
      <c r="B67" s="3">
        <v>2015</v>
      </c>
      <c r="C67" s="3" t="s">
        <v>764</v>
      </c>
      <c r="D67" s="3" t="s">
        <v>2226</v>
      </c>
      <c r="E67" s="3" t="s">
        <v>2187</v>
      </c>
      <c r="F67" s="3" t="s">
        <v>83</v>
      </c>
      <c r="G67" s="3"/>
      <c r="H67" s="3"/>
      <c r="I67" s="3"/>
      <c r="J67" s="3"/>
      <c r="K67" s="3"/>
      <c r="L67" s="3"/>
      <c r="M67" s="3"/>
      <c r="N67" s="3"/>
      <c r="O67" s="3"/>
      <c r="P67" s="3"/>
      <c r="Q67" s="3"/>
      <c r="R67" s="3"/>
      <c r="S67" s="3"/>
      <c r="T67" s="3"/>
      <c r="U67" s="3"/>
      <c r="V67" s="3"/>
      <c r="W67" s="3"/>
      <c r="X67" s="3"/>
      <c r="Y67" s="3"/>
      <c r="Z67" s="3"/>
    </row>
    <row r="68" spans="1:26" ht="14.25" customHeight="1" x14ac:dyDescent="0.35">
      <c r="A68" s="3" t="s">
        <v>2227</v>
      </c>
      <c r="B68" s="3">
        <v>2010</v>
      </c>
      <c r="C68" s="3" t="s">
        <v>685</v>
      </c>
      <c r="D68" s="3" t="s">
        <v>2228</v>
      </c>
      <c r="E68" s="3" t="s">
        <v>2184</v>
      </c>
      <c r="F68" s="3" t="s">
        <v>83</v>
      </c>
      <c r="G68" s="3"/>
      <c r="H68" s="3"/>
      <c r="I68" s="3"/>
      <c r="J68" s="3"/>
      <c r="K68" s="3"/>
      <c r="L68" s="3"/>
      <c r="M68" s="3"/>
      <c r="N68" s="3"/>
      <c r="O68" s="3"/>
      <c r="P68" s="3"/>
      <c r="Q68" s="3"/>
      <c r="R68" s="3"/>
      <c r="S68" s="3"/>
      <c r="T68" s="3"/>
      <c r="U68" s="3"/>
      <c r="V68" s="3"/>
      <c r="W68" s="3"/>
      <c r="X68" s="3"/>
      <c r="Y68" s="3"/>
      <c r="Z68" s="3"/>
    </row>
    <row r="69" spans="1:26" ht="14.25" customHeight="1" x14ac:dyDescent="0.35">
      <c r="A69" s="3" t="s">
        <v>2229</v>
      </c>
      <c r="B69" s="3">
        <v>2018</v>
      </c>
      <c r="C69" s="3" t="s">
        <v>2230</v>
      </c>
      <c r="D69" s="3" t="s">
        <v>2231</v>
      </c>
      <c r="E69" s="3" t="s">
        <v>2184</v>
      </c>
      <c r="F69" s="3" t="s">
        <v>83</v>
      </c>
      <c r="G69" s="3"/>
      <c r="H69" s="3"/>
      <c r="I69" s="3"/>
      <c r="J69" s="3"/>
      <c r="K69" s="3"/>
      <c r="L69" s="3"/>
      <c r="M69" s="3"/>
      <c r="N69" s="3"/>
      <c r="O69" s="3"/>
      <c r="P69" s="3"/>
      <c r="Q69" s="3"/>
      <c r="R69" s="3"/>
      <c r="S69" s="3"/>
      <c r="T69" s="3"/>
      <c r="U69" s="3"/>
      <c r="V69" s="3"/>
      <c r="W69" s="3"/>
      <c r="X69" s="3"/>
      <c r="Y69" s="3"/>
      <c r="Z69" s="3"/>
    </row>
    <row r="70" spans="1:26" ht="14.25" customHeight="1" x14ac:dyDescent="0.35">
      <c r="A70" s="3" t="s">
        <v>2232</v>
      </c>
      <c r="B70" s="3">
        <v>2018</v>
      </c>
      <c r="C70" s="3" t="s">
        <v>2233</v>
      </c>
      <c r="D70" s="3" t="s">
        <v>2234</v>
      </c>
      <c r="E70" s="3" t="s">
        <v>2184</v>
      </c>
      <c r="F70" s="3" t="s">
        <v>83</v>
      </c>
      <c r="G70" s="3"/>
      <c r="H70" s="3"/>
      <c r="I70" s="3"/>
      <c r="J70" s="3"/>
      <c r="K70" s="3"/>
      <c r="L70" s="3"/>
      <c r="M70" s="3"/>
      <c r="N70" s="3"/>
      <c r="O70" s="3"/>
      <c r="P70" s="3"/>
      <c r="Q70" s="3"/>
      <c r="R70" s="3"/>
      <c r="S70" s="3"/>
      <c r="T70" s="3"/>
      <c r="U70" s="3"/>
      <c r="V70" s="3"/>
      <c r="W70" s="3"/>
      <c r="X70" s="3"/>
      <c r="Y70" s="3"/>
      <c r="Z70" s="3"/>
    </row>
    <row r="71" spans="1:26" ht="14.25" customHeight="1" x14ac:dyDescent="0.35">
      <c r="A71" s="3" t="s">
        <v>2235</v>
      </c>
      <c r="B71" s="3">
        <v>2018</v>
      </c>
      <c r="C71" s="3" t="s">
        <v>2236</v>
      </c>
      <c r="D71" s="3" t="s">
        <v>2237</v>
      </c>
      <c r="E71" s="3" t="s">
        <v>2187</v>
      </c>
      <c r="F71" s="3" t="s">
        <v>258</v>
      </c>
      <c r="G71" s="3"/>
      <c r="H71" s="3"/>
      <c r="I71" s="3"/>
      <c r="J71" s="3"/>
      <c r="K71" s="3"/>
      <c r="L71" s="3"/>
      <c r="M71" s="3"/>
      <c r="N71" s="3"/>
      <c r="O71" s="3"/>
      <c r="P71" s="3"/>
      <c r="Q71" s="3"/>
      <c r="R71" s="3"/>
      <c r="S71" s="3"/>
      <c r="T71" s="3"/>
      <c r="U71" s="3"/>
      <c r="V71" s="3"/>
      <c r="W71" s="3"/>
      <c r="X71" s="3"/>
      <c r="Y71" s="3"/>
      <c r="Z71" s="3"/>
    </row>
    <row r="72" spans="1:26" ht="14.25" customHeight="1" x14ac:dyDescent="0.35">
      <c r="A72" s="3" t="s">
        <v>2238</v>
      </c>
      <c r="B72" s="3">
        <v>2020</v>
      </c>
      <c r="C72" s="3" t="s">
        <v>2239</v>
      </c>
      <c r="D72" s="3" t="s">
        <v>2240</v>
      </c>
      <c r="E72" s="3" t="s">
        <v>2187</v>
      </c>
      <c r="F72" s="3" t="s">
        <v>258</v>
      </c>
      <c r="G72" s="3"/>
      <c r="H72" s="3"/>
      <c r="I72" s="3"/>
      <c r="J72" s="3"/>
      <c r="K72" s="3"/>
      <c r="L72" s="3"/>
      <c r="M72" s="3"/>
      <c r="N72" s="3"/>
      <c r="O72" s="3"/>
      <c r="P72" s="3"/>
      <c r="Q72" s="3"/>
      <c r="R72" s="3"/>
      <c r="S72" s="3"/>
      <c r="T72" s="3"/>
      <c r="U72" s="3"/>
      <c r="V72" s="3"/>
      <c r="W72" s="3"/>
      <c r="X72" s="3"/>
      <c r="Y72" s="3"/>
      <c r="Z72" s="3"/>
    </row>
    <row r="73" spans="1:26" ht="14.25" customHeight="1" x14ac:dyDescent="0.35">
      <c r="A73" s="3" t="s">
        <v>2241</v>
      </c>
      <c r="B73" s="3">
        <v>2020</v>
      </c>
      <c r="C73" s="3" t="s">
        <v>2242</v>
      </c>
      <c r="D73" s="3" t="s">
        <v>2243</v>
      </c>
      <c r="E73" s="3" t="s">
        <v>2187</v>
      </c>
      <c r="F73" s="3" t="s">
        <v>163</v>
      </c>
      <c r="G73" s="3"/>
      <c r="H73" s="3"/>
      <c r="I73" s="3"/>
      <c r="J73" s="3"/>
      <c r="K73" s="3"/>
      <c r="L73" s="3"/>
      <c r="M73" s="3"/>
      <c r="N73" s="3"/>
      <c r="O73" s="3"/>
      <c r="P73" s="3"/>
      <c r="Q73" s="3"/>
      <c r="R73" s="3"/>
      <c r="S73" s="3"/>
      <c r="T73" s="3"/>
      <c r="U73" s="3"/>
      <c r="V73" s="3"/>
      <c r="W73" s="3"/>
      <c r="X73" s="3"/>
      <c r="Y73" s="3"/>
      <c r="Z73" s="3"/>
    </row>
    <row r="74" spans="1:26" ht="14.25" customHeight="1" x14ac:dyDescent="0.35">
      <c r="A74" s="3" t="s">
        <v>2244</v>
      </c>
      <c r="B74" s="3">
        <v>2008</v>
      </c>
      <c r="C74" s="3" t="s">
        <v>2245</v>
      </c>
      <c r="D74" s="3" t="s">
        <v>2246</v>
      </c>
      <c r="E74" s="3" t="s">
        <v>2187</v>
      </c>
      <c r="F74" s="3" t="s">
        <v>94</v>
      </c>
      <c r="G74" s="3"/>
      <c r="H74" s="3"/>
      <c r="I74" s="3"/>
      <c r="J74" s="3"/>
      <c r="K74" s="3"/>
      <c r="L74" s="3"/>
      <c r="M74" s="3"/>
      <c r="N74" s="3"/>
      <c r="O74" s="3"/>
      <c r="P74" s="3"/>
      <c r="Q74" s="3"/>
      <c r="R74" s="3"/>
      <c r="S74" s="3"/>
      <c r="T74" s="3"/>
      <c r="U74" s="3"/>
      <c r="V74" s="3"/>
      <c r="W74" s="3"/>
      <c r="X74" s="3"/>
      <c r="Y74" s="3"/>
      <c r="Z74" s="3"/>
    </row>
    <row r="75" spans="1:26" ht="14.25" customHeight="1" x14ac:dyDescent="0.35">
      <c r="A75" s="3" t="s">
        <v>2247</v>
      </c>
      <c r="B75" s="3">
        <v>2019</v>
      </c>
      <c r="C75" s="3" t="s">
        <v>706</v>
      </c>
      <c r="D75" s="4" t="s">
        <v>2248</v>
      </c>
      <c r="E75" s="4" t="s">
        <v>2112</v>
      </c>
      <c r="F75" s="3" t="s">
        <v>62</v>
      </c>
      <c r="G75" s="3"/>
      <c r="H75" s="3"/>
      <c r="I75" s="3"/>
      <c r="J75" s="3"/>
      <c r="K75" s="3"/>
      <c r="L75" s="3"/>
      <c r="M75" s="3"/>
      <c r="N75" s="3"/>
      <c r="O75" s="3"/>
      <c r="P75" s="3"/>
      <c r="Q75" s="3"/>
      <c r="R75" s="3"/>
      <c r="S75" s="3"/>
      <c r="T75" s="3"/>
      <c r="U75" s="3"/>
      <c r="V75" s="3"/>
      <c r="W75" s="3"/>
      <c r="X75" s="3"/>
      <c r="Y75" s="3"/>
      <c r="Z75" s="3"/>
    </row>
    <row r="76" spans="1:26" ht="14.25" customHeight="1" x14ac:dyDescent="0.35">
      <c r="A76" s="3" t="s">
        <v>2249</v>
      </c>
      <c r="B76" s="3">
        <v>2016</v>
      </c>
      <c r="C76" s="3" t="s">
        <v>1193</v>
      </c>
      <c r="D76" s="4" t="s">
        <v>2250</v>
      </c>
      <c r="E76" s="4" t="s">
        <v>2112</v>
      </c>
      <c r="F76" s="3" t="s">
        <v>62</v>
      </c>
      <c r="G76" s="3"/>
      <c r="H76" s="3"/>
      <c r="I76" s="3"/>
      <c r="J76" s="3"/>
      <c r="K76" s="3"/>
      <c r="L76" s="3"/>
      <c r="M76" s="3"/>
      <c r="N76" s="3"/>
      <c r="O76" s="3"/>
      <c r="P76" s="3"/>
      <c r="Q76" s="3"/>
      <c r="R76" s="3"/>
      <c r="S76" s="3"/>
      <c r="T76" s="3"/>
      <c r="U76" s="3"/>
      <c r="V76" s="3"/>
      <c r="W76" s="3"/>
      <c r="X76" s="3"/>
      <c r="Y76" s="3"/>
      <c r="Z76" s="3"/>
    </row>
    <row r="77" spans="1:26" ht="14.25" customHeight="1" x14ac:dyDescent="0.35">
      <c r="A77" s="3" t="s">
        <v>1557</v>
      </c>
      <c r="B77" s="3">
        <v>2007</v>
      </c>
      <c r="C77" s="3" t="s">
        <v>1558</v>
      </c>
      <c r="D77" s="4" t="s">
        <v>2251</v>
      </c>
      <c r="E77" s="4" t="s">
        <v>2112</v>
      </c>
      <c r="F77" s="3" t="s">
        <v>62</v>
      </c>
      <c r="G77" s="3"/>
      <c r="H77" s="3"/>
      <c r="I77" s="3"/>
      <c r="J77" s="3"/>
      <c r="K77" s="3"/>
      <c r="L77" s="3"/>
      <c r="M77" s="3"/>
      <c r="N77" s="3"/>
      <c r="O77" s="3"/>
      <c r="P77" s="3"/>
      <c r="Q77" s="3"/>
      <c r="R77" s="3"/>
      <c r="S77" s="3"/>
      <c r="T77" s="3"/>
      <c r="U77" s="3"/>
      <c r="V77" s="3"/>
      <c r="W77" s="3"/>
      <c r="X77" s="3"/>
      <c r="Y77" s="3"/>
      <c r="Z77" s="3"/>
    </row>
    <row r="78" spans="1:26" ht="14.25" customHeight="1" x14ac:dyDescent="0.35">
      <c r="A78" s="3" t="s">
        <v>2252</v>
      </c>
      <c r="B78" s="3">
        <v>2007</v>
      </c>
      <c r="C78" s="3" t="s">
        <v>2253</v>
      </c>
      <c r="D78" s="4" t="s">
        <v>2254</v>
      </c>
      <c r="E78" s="4" t="s">
        <v>2187</v>
      </c>
      <c r="F78" s="3" t="s">
        <v>62</v>
      </c>
      <c r="G78" s="3"/>
      <c r="H78" s="3"/>
      <c r="I78" s="3"/>
      <c r="J78" s="3"/>
      <c r="K78" s="3"/>
      <c r="L78" s="3"/>
      <c r="M78" s="3"/>
      <c r="N78" s="3"/>
      <c r="O78" s="3"/>
      <c r="P78" s="3"/>
      <c r="Q78" s="3"/>
      <c r="R78" s="3"/>
      <c r="S78" s="3"/>
      <c r="T78" s="3"/>
      <c r="U78" s="3"/>
      <c r="V78" s="3"/>
      <c r="W78" s="3"/>
      <c r="X78" s="3"/>
      <c r="Y78" s="3"/>
      <c r="Z78" s="3"/>
    </row>
    <row r="79" spans="1:26" ht="14.25" customHeight="1" x14ac:dyDescent="0.35">
      <c r="A79" s="3" t="s">
        <v>2255</v>
      </c>
      <c r="B79" s="3">
        <v>2018</v>
      </c>
      <c r="C79" s="3" t="s">
        <v>2256</v>
      </c>
      <c r="D79" s="4" t="s">
        <v>2257</v>
      </c>
      <c r="E79" s="4" t="s">
        <v>2187</v>
      </c>
      <c r="F79" s="3" t="s">
        <v>62</v>
      </c>
      <c r="G79" s="3"/>
      <c r="H79" s="3"/>
      <c r="I79" s="3"/>
      <c r="J79" s="3"/>
      <c r="K79" s="3"/>
      <c r="L79" s="3"/>
      <c r="M79" s="3"/>
      <c r="N79" s="3"/>
      <c r="O79" s="3"/>
      <c r="P79" s="3"/>
      <c r="Q79" s="3"/>
      <c r="R79" s="3"/>
      <c r="S79" s="3"/>
      <c r="T79" s="3"/>
      <c r="U79" s="3"/>
      <c r="V79" s="3"/>
      <c r="W79" s="3"/>
      <c r="X79" s="3"/>
      <c r="Y79" s="3"/>
      <c r="Z79" s="3"/>
    </row>
    <row r="80" spans="1:26" ht="14.25" customHeight="1" x14ac:dyDescent="0.35">
      <c r="A80" s="3" t="s">
        <v>2258</v>
      </c>
      <c r="B80" s="3">
        <v>2018</v>
      </c>
      <c r="C80" s="3" t="s">
        <v>2259</v>
      </c>
      <c r="D80" s="4" t="s">
        <v>2260</v>
      </c>
      <c r="E80" s="4" t="s">
        <v>2187</v>
      </c>
      <c r="F80" s="3" t="s">
        <v>62</v>
      </c>
      <c r="G80" s="3"/>
      <c r="H80" s="3"/>
      <c r="I80" s="3"/>
      <c r="J80" s="3"/>
      <c r="K80" s="3"/>
      <c r="L80" s="3"/>
      <c r="M80" s="3"/>
      <c r="N80" s="3"/>
      <c r="O80" s="3"/>
      <c r="P80" s="3"/>
      <c r="Q80" s="3"/>
      <c r="R80" s="3"/>
      <c r="S80" s="3"/>
      <c r="T80" s="3"/>
      <c r="U80" s="3"/>
      <c r="V80" s="3"/>
      <c r="W80" s="3"/>
      <c r="X80" s="3"/>
      <c r="Y80" s="3"/>
      <c r="Z80" s="3"/>
    </row>
    <row r="81" spans="1:26" ht="14.25" customHeight="1" x14ac:dyDescent="0.35">
      <c r="A81" s="3" t="s">
        <v>2261</v>
      </c>
      <c r="B81" s="3">
        <v>2019</v>
      </c>
      <c r="C81" s="3" t="s">
        <v>2262</v>
      </c>
      <c r="D81" s="4" t="s">
        <v>2263</v>
      </c>
      <c r="E81" s="4" t="s">
        <v>2264</v>
      </c>
      <c r="F81" s="3" t="s">
        <v>62</v>
      </c>
      <c r="G81" s="3"/>
      <c r="H81" s="3"/>
      <c r="I81" s="3"/>
      <c r="J81" s="3"/>
      <c r="K81" s="3"/>
      <c r="L81" s="3"/>
      <c r="M81" s="3"/>
      <c r="N81" s="3"/>
      <c r="O81" s="3"/>
      <c r="P81" s="3"/>
      <c r="Q81" s="3"/>
      <c r="R81" s="3"/>
      <c r="S81" s="3"/>
      <c r="T81" s="3"/>
      <c r="U81" s="3"/>
      <c r="V81" s="3"/>
      <c r="W81" s="3"/>
      <c r="X81" s="3"/>
      <c r="Y81" s="3"/>
      <c r="Z81" s="3"/>
    </row>
    <row r="82" spans="1:26" ht="14.25" customHeight="1" x14ac:dyDescent="0.35">
      <c r="A82" s="3" t="s">
        <v>2265</v>
      </c>
      <c r="B82" s="3">
        <v>2017</v>
      </c>
      <c r="C82" s="3" t="s">
        <v>2266</v>
      </c>
      <c r="D82" s="4" t="s">
        <v>2267</v>
      </c>
      <c r="E82" s="4" t="s">
        <v>2187</v>
      </c>
      <c r="F82" s="3" t="s">
        <v>62</v>
      </c>
      <c r="G82" s="3"/>
      <c r="H82" s="3"/>
      <c r="I82" s="3"/>
      <c r="J82" s="3"/>
      <c r="K82" s="3"/>
      <c r="L82" s="3"/>
      <c r="M82" s="3"/>
      <c r="N82" s="3"/>
      <c r="O82" s="3"/>
      <c r="P82" s="3"/>
      <c r="Q82" s="3"/>
      <c r="R82" s="3"/>
      <c r="S82" s="3"/>
      <c r="T82" s="3"/>
      <c r="U82" s="3"/>
      <c r="V82" s="3"/>
      <c r="W82" s="3"/>
      <c r="X82" s="3"/>
      <c r="Y82" s="3"/>
      <c r="Z82" s="3"/>
    </row>
    <row r="83" spans="1:26" ht="14.25" customHeight="1" x14ac:dyDescent="0.35">
      <c r="A83" s="3" t="s">
        <v>123</v>
      </c>
      <c r="B83" s="3">
        <v>2007</v>
      </c>
      <c r="C83" s="3" t="s">
        <v>72</v>
      </c>
      <c r="D83" s="4" t="s">
        <v>2268</v>
      </c>
      <c r="E83" s="4" t="s">
        <v>2269</v>
      </c>
      <c r="F83" s="3" t="s">
        <v>62</v>
      </c>
      <c r="G83" s="3"/>
      <c r="H83" s="3"/>
      <c r="I83" s="3"/>
      <c r="J83" s="3"/>
      <c r="K83" s="3"/>
      <c r="L83" s="3"/>
      <c r="M83" s="3"/>
      <c r="N83" s="3"/>
      <c r="O83" s="3"/>
      <c r="P83" s="3"/>
      <c r="Q83" s="3"/>
      <c r="R83" s="3"/>
      <c r="S83" s="3"/>
      <c r="T83" s="3"/>
      <c r="U83" s="3"/>
      <c r="V83" s="3"/>
      <c r="W83" s="3"/>
      <c r="X83" s="3"/>
      <c r="Y83" s="3"/>
      <c r="Z83" s="3"/>
    </row>
    <row r="84" spans="1:26" ht="14.25" customHeight="1" x14ac:dyDescent="0.35">
      <c r="A84" s="3" t="s">
        <v>2270</v>
      </c>
      <c r="B84" s="3">
        <v>2018</v>
      </c>
      <c r="C84" s="3" t="s">
        <v>2271</v>
      </c>
      <c r="D84" s="4" t="s">
        <v>2272</v>
      </c>
      <c r="E84" s="4" t="s">
        <v>2187</v>
      </c>
      <c r="F84" s="3" t="s">
        <v>62</v>
      </c>
      <c r="G84" s="3"/>
      <c r="H84" s="3"/>
      <c r="I84" s="3"/>
      <c r="J84" s="3"/>
      <c r="K84" s="3"/>
      <c r="L84" s="3"/>
      <c r="M84" s="3"/>
      <c r="N84" s="3"/>
      <c r="O84" s="3"/>
      <c r="P84" s="3"/>
      <c r="Q84" s="3"/>
      <c r="R84" s="3"/>
      <c r="S84" s="3"/>
      <c r="T84" s="3"/>
      <c r="U84" s="3"/>
      <c r="V84" s="3"/>
      <c r="W84" s="3"/>
      <c r="X84" s="3"/>
      <c r="Y84" s="3"/>
      <c r="Z84" s="3"/>
    </row>
    <row r="85" spans="1:26" ht="14.25" customHeight="1" x14ac:dyDescent="0.35">
      <c r="A85" s="3" t="s">
        <v>2273</v>
      </c>
      <c r="B85" s="3">
        <v>2017</v>
      </c>
      <c r="C85" s="3" t="s">
        <v>263</v>
      </c>
      <c r="D85" s="4" t="s">
        <v>2274</v>
      </c>
      <c r="E85" s="4" t="s">
        <v>2112</v>
      </c>
      <c r="F85" s="3" t="s">
        <v>62</v>
      </c>
      <c r="G85" s="3"/>
      <c r="H85" s="3"/>
      <c r="I85" s="3"/>
      <c r="J85" s="3"/>
      <c r="K85" s="3"/>
      <c r="L85" s="3"/>
      <c r="M85" s="3"/>
      <c r="N85" s="3"/>
      <c r="O85" s="3"/>
      <c r="P85" s="3"/>
      <c r="Q85" s="3"/>
      <c r="R85" s="3"/>
      <c r="S85" s="3"/>
      <c r="T85" s="3"/>
      <c r="U85" s="3"/>
      <c r="V85" s="3"/>
      <c r="W85" s="3"/>
      <c r="X85" s="3"/>
      <c r="Y85" s="3"/>
      <c r="Z85" s="3"/>
    </row>
    <row r="86" spans="1:26" ht="14.25" customHeight="1" x14ac:dyDescent="0.35">
      <c r="A86" s="3" t="s">
        <v>2275</v>
      </c>
      <c r="B86" s="3">
        <v>2012</v>
      </c>
      <c r="C86" s="3" t="s">
        <v>2276</v>
      </c>
      <c r="D86" s="4" t="s">
        <v>2277</v>
      </c>
      <c r="E86" s="4" t="s">
        <v>2112</v>
      </c>
      <c r="F86" s="3" t="s">
        <v>62</v>
      </c>
      <c r="G86" s="3"/>
      <c r="H86" s="3"/>
      <c r="I86" s="3"/>
      <c r="J86" s="3"/>
      <c r="K86" s="3"/>
      <c r="L86" s="3"/>
      <c r="M86" s="3"/>
      <c r="N86" s="3"/>
      <c r="O86" s="3"/>
      <c r="P86" s="3"/>
      <c r="Q86" s="3"/>
      <c r="R86" s="3"/>
      <c r="S86" s="3"/>
      <c r="T86" s="3"/>
      <c r="U86" s="3"/>
      <c r="V86" s="3"/>
      <c r="W86" s="3"/>
      <c r="X86" s="3"/>
      <c r="Y86" s="3"/>
      <c r="Z86" s="3"/>
    </row>
    <row r="87" spans="1:26" ht="14.25" customHeight="1" x14ac:dyDescent="0.35">
      <c r="A87" s="3" t="s">
        <v>2275</v>
      </c>
      <c r="B87" s="3">
        <v>2010</v>
      </c>
      <c r="C87" s="3" t="s">
        <v>183</v>
      </c>
      <c r="D87" s="4" t="s">
        <v>2277</v>
      </c>
      <c r="E87" s="4" t="s">
        <v>2112</v>
      </c>
      <c r="F87" s="3" t="s">
        <v>62</v>
      </c>
      <c r="G87" s="3"/>
      <c r="H87" s="3"/>
      <c r="I87" s="3"/>
      <c r="J87" s="3"/>
      <c r="K87" s="3"/>
      <c r="L87" s="3"/>
      <c r="M87" s="3"/>
      <c r="N87" s="3"/>
      <c r="O87" s="3"/>
      <c r="P87" s="3"/>
      <c r="Q87" s="3"/>
      <c r="R87" s="3"/>
      <c r="S87" s="3"/>
      <c r="T87" s="3"/>
      <c r="U87" s="3"/>
      <c r="V87" s="3"/>
      <c r="W87" s="3"/>
      <c r="X87" s="3"/>
      <c r="Y87" s="3"/>
      <c r="Z87" s="3"/>
    </row>
    <row r="88" spans="1:26" ht="14.25" customHeight="1" x14ac:dyDescent="0.35">
      <c r="A88" s="3" t="s">
        <v>2278</v>
      </c>
      <c r="B88" s="3">
        <v>2013</v>
      </c>
      <c r="C88" s="3"/>
      <c r="D88" s="4" t="s">
        <v>2279</v>
      </c>
      <c r="E88" s="4" t="s">
        <v>2187</v>
      </c>
      <c r="F88" s="3" t="s">
        <v>62</v>
      </c>
      <c r="G88" s="3"/>
      <c r="H88" s="3"/>
      <c r="I88" s="3"/>
      <c r="J88" s="3"/>
      <c r="K88" s="3"/>
      <c r="L88" s="3"/>
      <c r="M88" s="3"/>
      <c r="N88" s="3"/>
      <c r="O88" s="3"/>
      <c r="P88" s="3"/>
      <c r="Q88" s="3"/>
      <c r="R88" s="3"/>
      <c r="S88" s="3"/>
      <c r="T88" s="3"/>
      <c r="U88" s="3"/>
      <c r="V88" s="3"/>
      <c r="W88" s="3"/>
      <c r="X88" s="3"/>
      <c r="Y88" s="3"/>
      <c r="Z88" s="3"/>
    </row>
    <row r="89" spans="1:26" ht="14.25" customHeight="1" x14ac:dyDescent="0.35">
      <c r="A89" s="3" t="s">
        <v>2280</v>
      </c>
      <c r="B89" s="3">
        <v>2007</v>
      </c>
      <c r="C89" s="3" t="s">
        <v>183</v>
      </c>
      <c r="D89" s="4" t="s">
        <v>2281</v>
      </c>
      <c r="E89" s="4" t="s">
        <v>2112</v>
      </c>
      <c r="F89" s="3" t="s">
        <v>62</v>
      </c>
      <c r="G89" s="3"/>
      <c r="H89" s="3"/>
      <c r="I89" s="3"/>
      <c r="J89" s="3"/>
      <c r="K89" s="3"/>
      <c r="L89" s="3"/>
      <c r="M89" s="3"/>
      <c r="N89" s="3"/>
      <c r="O89" s="3"/>
      <c r="P89" s="3"/>
      <c r="Q89" s="3"/>
      <c r="R89" s="3"/>
      <c r="S89" s="3"/>
      <c r="T89" s="3"/>
      <c r="U89" s="3"/>
      <c r="V89" s="3"/>
      <c r="W89" s="3"/>
      <c r="X89" s="3"/>
      <c r="Y89" s="3"/>
      <c r="Z89" s="3"/>
    </row>
    <row r="90" spans="1:26" ht="14.25" customHeight="1" x14ac:dyDescent="0.35">
      <c r="A90" s="3" t="s">
        <v>2282</v>
      </c>
      <c r="B90" s="3">
        <v>2009</v>
      </c>
      <c r="C90" s="3" t="s">
        <v>2259</v>
      </c>
      <c r="D90" s="4" t="s">
        <v>2283</v>
      </c>
      <c r="E90" s="4" t="s">
        <v>2112</v>
      </c>
      <c r="F90" s="3" t="s">
        <v>62</v>
      </c>
      <c r="G90" s="3"/>
      <c r="H90" s="3"/>
      <c r="I90" s="3"/>
      <c r="J90" s="3"/>
      <c r="K90" s="3"/>
      <c r="L90" s="3"/>
      <c r="M90" s="3"/>
      <c r="N90" s="3"/>
      <c r="O90" s="3"/>
      <c r="P90" s="3"/>
      <c r="Q90" s="3"/>
      <c r="R90" s="3"/>
      <c r="S90" s="3"/>
      <c r="T90" s="3"/>
      <c r="U90" s="3"/>
      <c r="V90" s="3"/>
      <c r="W90" s="3"/>
      <c r="X90" s="3"/>
      <c r="Y90" s="3"/>
      <c r="Z90" s="3"/>
    </row>
    <row r="91" spans="1:26" ht="14.25" customHeight="1" x14ac:dyDescent="0.35">
      <c r="A91" s="3" t="s">
        <v>2284</v>
      </c>
      <c r="B91" s="3">
        <v>2018</v>
      </c>
      <c r="C91" s="3" t="s">
        <v>263</v>
      </c>
      <c r="D91" s="4" t="s">
        <v>767</v>
      </c>
      <c r="E91" s="4" t="s">
        <v>767</v>
      </c>
      <c r="F91" s="3" t="s">
        <v>62</v>
      </c>
      <c r="G91" s="3"/>
      <c r="H91" s="3"/>
      <c r="I91" s="3"/>
      <c r="J91" s="3"/>
      <c r="K91" s="3"/>
      <c r="L91" s="3"/>
      <c r="M91" s="3"/>
      <c r="N91" s="3"/>
      <c r="O91" s="3"/>
      <c r="P91" s="3"/>
      <c r="Q91" s="3"/>
      <c r="R91" s="3"/>
      <c r="S91" s="3"/>
      <c r="T91" s="3"/>
      <c r="U91" s="3"/>
      <c r="V91" s="3"/>
      <c r="W91" s="3"/>
      <c r="X91" s="3"/>
      <c r="Y91" s="3"/>
      <c r="Z91" s="3"/>
    </row>
    <row r="92" spans="1:26" ht="14.25" customHeight="1" x14ac:dyDescent="0.35">
      <c r="A92" s="3" t="s">
        <v>2285</v>
      </c>
      <c r="B92" s="3">
        <v>2015</v>
      </c>
      <c r="C92" s="3" t="s">
        <v>332</v>
      </c>
      <c r="D92" s="4" t="s">
        <v>2286</v>
      </c>
      <c r="E92" s="4" t="s">
        <v>2287</v>
      </c>
      <c r="F92" s="3" t="s">
        <v>62</v>
      </c>
      <c r="G92" s="3"/>
      <c r="H92" s="3"/>
      <c r="I92" s="3"/>
      <c r="J92" s="3"/>
      <c r="K92" s="3"/>
      <c r="L92" s="3"/>
      <c r="M92" s="3"/>
      <c r="N92" s="3"/>
      <c r="O92" s="3"/>
      <c r="P92" s="3"/>
      <c r="Q92" s="3"/>
      <c r="R92" s="3"/>
      <c r="S92" s="3"/>
      <c r="T92" s="3"/>
      <c r="U92" s="3"/>
      <c r="V92" s="3"/>
      <c r="W92" s="3"/>
      <c r="X92" s="3"/>
      <c r="Y92" s="3"/>
      <c r="Z92" s="3"/>
    </row>
    <row r="93" spans="1:26" ht="14.25" customHeight="1" x14ac:dyDescent="0.35">
      <c r="A93" s="3" t="s">
        <v>681</v>
      </c>
      <c r="B93" s="3">
        <v>2019</v>
      </c>
      <c r="C93" s="3" t="s">
        <v>2288</v>
      </c>
      <c r="D93" s="4" t="s">
        <v>2289</v>
      </c>
      <c r="E93" s="4" t="s">
        <v>2112</v>
      </c>
      <c r="F93" s="3" t="s">
        <v>62</v>
      </c>
      <c r="G93" s="3"/>
      <c r="H93" s="3"/>
      <c r="I93" s="3"/>
      <c r="J93" s="3"/>
      <c r="K93" s="3"/>
      <c r="L93" s="3"/>
      <c r="M93" s="3"/>
      <c r="N93" s="3"/>
      <c r="O93" s="3"/>
      <c r="P93" s="3"/>
      <c r="Q93" s="3"/>
      <c r="R93" s="3"/>
      <c r="S93" s="3"/>
      <c r="T93" s="3"/>
      <c r="U93" s="3"/>
      <c r="V93" s="3"/>
      <c r="W93" s="3"/>
      <c r="X93" s="3"/>
      <c r="Y93" s="3"/>
      <c r="Z93" s="3"/>
    </row>
    <row r="94" spans="1:26" ht="14.25" customHeight="1" x14ac:dyDescent="0.35">
      <c r="A94" s="3" t="s">
        <v>2290</v>
      </c>
      <c r="B94" s="3">
        <v>2015</v>
      </c>
      <c r="C94" s="3" t="s">
        <v>150</v>
      </c>
      <c r="D94" s="4" t="s">
        <v>2291</v>
      </c>
      <c r="E94" s="4" t="s">
        <v>2112</v>
      </c>
      <c r="F94" s="3" t="s">
        <v>62</v>
      </c>
      <c r="G94" s="3"/>
      <c r="H94" s="3"/>
      <c r="I94" s="3"/>
      <c r="J94" s="3"/>
      <c r="K94" s="3"/>
      <c r="L94" s="3"/>
      <c r="M94" s="3"/>
      <c r="N94" s="3"/>
      <c r="O94" s="3"/>
      <c r="P94" s="3"/>
      <c r="Q94" s="3"/>
      <c r="R94" s="3"/>
      <c r="S94" s="3"/>
      <c r="T94" s="3"/>
      <c r="U94" s="3"/>
      <c r="V94" s="3"/>
      <c r="W94" s="3"/>
      <c r="X94" s="3"/>
      <c r="Y94" s="3"/>
      <c r="Z94" s="3"/>
    </row>
    <row r="95" spans="1:26" ht="14.25" customHeight="1" x14ac:dyDescent="0.35">
      <c r="A95" s="3" t="s">
        <v>2292</v>
      </c>
      <c r="B95" s="3">
        <v>2012</v>
      </c>
      <c r="C95" s="3" t="s">
        <v>140</v>
      </c>
      <c r="D95" s="4" t="s">
        <v>2293</v>
      </c>
      <c r="E95" s="4" t="s">
        <v>2112</v>
      </c>
      <c r="F95" s="3" t="s">
        <v>62</v>
      </c>
      <c r="G95" s="3"/>
      <c r="H95" s="3"/>
      <c r="I95" s="3"/>
      <c r="J95" s="3"/>
      <c r="K95" s="3"/>
      <c r="L95" s="3"/>
      <c r="M95" s="3"/>
      <c r="N95" s="3"/>
      <c r="O95" s="3"/>
      <c r="P95" s="3"/>
      <c r="Q95" s="3"/>
      <c r="R95" s="3"/>
      <c r="S95" s="3"/>
      <c r="T95" s="3"/>
      <c r="U95" s="3"/>
      <c r="V95" s="3"/>
      <c r="W95" s="3"/>
      <c r="X95" s="3"/>
      <c r="Y95" s="3"/>
      <c r="Z95" s="3"/>
    </row>
    <row r="96" spans="1:26" ht="14.25" customHeight="1" x14ac:dyDescent="0.35">
      <c r="A96" s="3" t="s">
        <v>2294</v>
      </c>
      <c r="B96" s="3">
        <v>2015</v>
      </c>
      <c r="C96" s="3" t="s">
        <v>1072</v>
      </c>
      <c r="D96" s="4" t="s">
        <v>2295</v>
      </c>
      <c r="E96" s="4" t="s">
        <v>2187</v>
      </c>
      <c r="F96" s="3" t="s">
        <v>62</v>
      </c>
      <c r="G96" s="3"/>
      <c r="H96" s="3"/>
      <c r="I96" s="3"/>
      <c r="J96" s="3"/>
      <c r="K96" s="3"/>
      <c r="L96" s="3"/>
      <c r="M96" s="3"/>
      <c r="N96" s="3"/>
      <c r="O96" s="3"/>
      <c r="P96" s="3"/>
      <c r="Q96" s="3"/>
      <c r="R96" s="3"/>
      <c r="S96" s="3"/>
      <c r="T96" s="3"/>
      <c r="U96" s="3"/>
      <c r="V96" s="3"/>
      <c r="W96" s="3"/>
      <c r="X96" s="3"/>
      <c r="Y96" s="3"/>
      <c r="Z96" s="3"/>
    </row>
    <row r="97" spans="1:26" ht="14.25" customHeight="1" x14ac:dyDescent="0.35">
      <c r="A97" s="3" t="s">
        <v>2296</v>
      </c>
      <c r="B97" s="3">
        <v>2020</v>
      </c>
      <c r="C97" s="3" t="s">
        <v>309</v>
      </c>
      <c r="D97" s="4" t="s">
        <v>2297</v>
      </c>
      <c r="E97" s="4" t="s">
        <v>2187</v>
      </c>
      <c r="F97" s="3" t="s">
        <v>62</v>
      </c>
      <c r="G97" s="3"/>
      <c r="H97" s="3"/>
      <c r="I97" s="3"/>
      <c r="J97" s="3"/>
      <c r="K97" s="3"/>
      <c r="L97" s="3"/>
      <c r="M97" s="3"/>
      <c r="N97" s="3"/>
      <c r="O97" s="3"/>
      <c r="P97" s="3"/>
      <c r="Q97" s="3"/>
      <c r="R97" s="3"/>
      <c r="S97" s="3"/>
      <c r="T97" s="3"/>
      <c r="U97" s="3"/>
      <c r="V97" s="3"/>
      <c r="W97" s="3"/>
      <c r="X97" s="3"/>
      <c r="Y97" s="3"/>
      <c r="Z97" s="3"/>
    </row>
    <row r="98" spans="1:26" ht="14.25" customHeight="1" x14ac:dyDescent="0.35">
      <c r="A98" s="3" t="s">
        <v>2298</v>
      </c>
      <c r="B98" s="3">
        <v>2016</v>
      </c>
      <c r="C98" s="3" t="s">
        <v>1193</v>
      </c>
      <c r="D98" s="4" t="s">
        <v>2299</v>
      </c>
      <c r="E98" s="4" t="s">
        <v>2112</v>
      </c>
      <c r="F98" s="3" t="s">
        <v>62</v>
      </c>
      <c r="G98" s="3"/>
      <c r="H98" s="3"/>
      <c r="I98" s="3"/>
      <c r="J98" s="3"/>
      <c r="K98" s="3"/>
      <c r="L98" s="3"/>
      <c r="M98" s="3"/>
      <c r="N98" s="3"/>
      <c r="O98" s="3"/>
      <c r="P98" s="3"/>
      <c r="Q98" s="3"/>
      <c r="R98" s="3"/>
      <c r="S98" s="3"/>
      <c r="T98" s="3"/>
      <c r="U98" s="3"/>
      <c r="V98" s="3"/>
      <c r="W98" s="3"/>
      <c r="X98" s="3"/>
      <c r="Y98" s="3"/>
      <c r="Z98" s="3"/>
    </row>
    <row r="99" spans="1:26" ht="14.25" customHeight="1" x14ac:dyDescent="0.35">
      <c r="A99" s="3" t="s">
        <v>2022</v>
      </c>
      <c r="B99" s="3">
        <v>2018</v>
      </c>
      <c r="C99" s="3" t="s">
        <v>2300</v>
      </c>
      <c r="D99" s="4" t="s">
        <v>2301</v>
      </c>
      <c r="E99" s="4" t="s">
        <v>2112</v>
      </c>
      <c r="F99" s="3" t="s">
        <v>62</v>
      </c>
      <c r="G99" s="3"/>
      <c r="H99" s="3"/>
      <c r="I99" s="3"/>
      <c r="J99" s="3"/>
      <c r="K99" s="3"/>
      <c r="L99" s="3"/>
      <c r="M99" s="3"/>
      <c r="N99" s="3"/>
      <c r="O99" s="3"/>
      <c r="P99" s="3"/>
      <c r="Q99" s="3"/>
      <c r="R99" s="3"/>
      <c r="S99" s="3"/>
      <c r="T99" s="3"/>
      <c r="U99" s="3"/>
      <c r="V99" s="3"/>
      <c r="W99" s="3"/>
      <c r="X99" s="3"/>
      <c r="Y99" s="3"/>
      <c r="Z99" s="3"/>
    </row>
    <row r="100" spans="1:26" ht="14.25" customHeight="1" x14ac:dyDescent="0.35">
      <c r="A100" s="3" t="s">
        <v>2275</v>
      </c>
      <c r="B100" s="3">
        <v>2011</v>
      </c>
      <c r="C100" s="3" t="s">
        <v>263</v>
      </c>
      <c r="D100" s="4" t="s">
        <v>2302</v>
      </c>
      <c r="E100" s="4" t="s">
        <v>2187</v>
      </c>
      <c r="F100" s="3" t="s">
        <v>62</v>
      </c>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5">
      <c r="A101" s="3" t="s">
        <v>2303</v>
      </c>
      <c r="B101" s="3">
        <v>2012</v>
      </c>
      <c r="C101" s="3" t="s">
        <v>2304</v>
      </c>
      <c r="D101" s="4" t="s">
        <v>2305</v>
      </c>
      <c r="E101" s="4" t="s">
        <v>2187</v>
      </c>
      <c r="F101" s="3" t="s">
        <v>62</v>
      </c>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5">
      <c r="A102" s="3" t="s">
        <v>2306</v>
      </c>
      <c r="B102" s="3">
        <v>2015</v>
      </c>
      <c r="C102" s="3" t="s">
        <v>2307</v>
      </c>
      <c r="D102" s="4" t="s">
        <v>2305</v>
      </c>
      <c r="E102" s="4" t="s">
        <v>2308</v>
      </c>
      <c r="F102" s="3" t="s">
        <v>62</v>
      </c>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5">
      <c r="A103" s="3" t="s">
        <v>2309</v>
      </c>
      <c r="B103" s="3">
        <v>2019</v>
      </c>
      <c r="C103" s="3" t="s">
        <v>2310</v>
      </c>
      <c r="D103" s="4" t="s">
        <v>2311</v>
      </c>
      <c r="E103" s="4" t="s">
        <v>2312</v>
      </c>
      <c r="F103" s="3" t="s">
        <v>62</v>
      </c>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5">
      <c r="A104" s="3" t="s">
        <v>2313</v>
      </c>
      <c r="B104" s="3">
        <v>2018</v>
      </c>
      <c r="C104" s="3" t="s">
        <v>309</v>
      </c>
      <c r="D104" s="4" t="s">
        <v>2314</v>
      </c>
      <c r="E104" s="4" t="s">
        <v>2315</v>
      </c>
      <c r="F104" s="3" t="s">
        <v>62</v>
      </c>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5">
      <c r="A105" s="3" t="s">
        <v>2316</v>
      </c>
      <c r="B105" s="3">
        <v>2020</v>
      </c>
      <c r="C105" s="3" t="s">
        <v>2317</v>
      </c>
      <c r="D105" s="4" t="s">
        <v>767</v>
      </c>
      <c r="E105" s="4" t="s">
        <v>767</v>
      </c>
      <c r="F105" s="3" t="s">
        <v>62</v>
      </c>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5">
      <c r="A106" s="3" t="s">
        <v>2318</v>
      </c>
      <c r="B106" s="3">
        <v>2019</v>
      </c>
      <c r="C106" s="3" t="s">
        <v>1269</v>
      </c>
      <c r="D106" s="4" t="s">
        <v>2319</v>
      </c>
      <c r="E106" s="4" t="s">
        <v>2320</v>
      </c>
      <c r="F106" s="3" t="s">
        <v>62</v>
      </c>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5">
      <c r="A107" s="3" t="s">
        <v>2321</v>
      </c>
      <c r="B107" s="3">
        <v>2014</v>
      </c>
      <c r="C107" s="3" t="s">
        <v>190</v>
      </c>
      <c r="D107" s="4" t="s">
        <v>2322</v>
      </c>
      <c r="E107" s="4" t="s">
        <v>2112</v>
      </c>
      <c r="F107" s="3" t="s">
        <v>62</v>
      </c>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5">
      <c r="A108" s="3" t="s">
        <v>2232</v>
      </c>
      <c r="B108" s="3">
        <v>2015</v>
      </c>
      <c r="C108" s="3" t="s">
        <v>2323</v>
      </c>
      <c r="D108" s="4" t="s">
        <v>2324</v>
      </c>
      <c r="E108" s="4" t="s">
        <v>2325</v>
      </c>
      <c r="F108" s="3" t="s">
        <v>62</v>
      </c>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5">
      <c r="A109" s="3" t="s">
        <v>2326</v>
      </c>
      <c r="B109" s="3">
        <v>2018</v>
      </c>
      <c r="C109" s="3" t="s">
        <v>2327</v>
      </c>
      <c r="D109" s="4" t="s">
        <v>2328</v>
      </c>
      <c r="E109" s="4" t="s">
        <v>2112</v>
      </c>
      <c r="F109" s="3" t="s">
        <v>62</v>
      </c>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5">
      <c r="A110" s="3" t="s">
        <v>2329</v>
      </c>
      <c r="B110" s="3">
        <v>2019</v>
      </c>
      <c r="C110" s="3" t="s">
        <v>150</v>
      </c>
      <c r="D110" s="4" t="s">
        <v>767</v>
      </c>
      <c r="E110" s="4" t="s">
        <v>767</v>
      </c>
      <c r="F110" s="3" t="s">
        <v>62</v>
      </c>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5">
      <c r="A111" s="3" t="s">
        <v>2330</v>
      </c>
      <c r="B111" s="3">
        <v>2019</v>
      </c>
      <c r="C111" s="3" t="s">
        <v>738</v>
      </c>
      <c r="D111" s="4" t="s">
        <v>2257</v>
      </c>
      <c r="E111" s="4" t="s">
        <v>2331</v>
      </c>
      <c r="F111" s="3" t="s">
        <v>62</v>
      </c>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5">
      <c r="A112" s="3" t="s">
        <v>2332</v>
      </c>
      <c r="B112" s="3">
        <v>2018</v>
      </c>
      <c r="C112" s="3" t="s">
        <v>2333</v>
      </c>
      <c r="D112" s="4" t="s">
        <v>2334</v>
      </c>
      <c r="E112" s="4" t="s">
        <v>2335</v>
      </c>
      <c r="F112" s="3" t="s">
        <v>62</v>
      </c>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5">
      <c r="A113" s="3" t="s">
        <v>2336</v>
      </c>
      <c r="B113" s="3">
        <v>2015</v>
      </c>
      <c r="C113" s="3" t="s">
        <v>2337</v>
      </c>
      <c r="D113" s="4" t="s">
        <v>767</v>
      </c>
      <c r="E113" s="4" t="s">
        <v>767</v>
      </c>
      <c r="F113" s="3" t="s">
        <v>62</v>
      </c>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5">
      <c r="A114" s="3" t="s">
        <v>2338</v>
      </c>
      <c r="B114" s="3">
        <v>2018</v>
      </c>
      <c r="C114" s="3" t="s">
        <v>771</v>
      </c>
      <c r="D114" s="4" t="s">
        <v>2339</v>
      </c>
      <c r="E114" s="4" t="s">
        <v>2340</v>
      </c>
      <c r="F114" s="3" t="s">
        <v>62</v>
      </c>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5">
      <c r="A115" s="3" t="s">
        <v>2341</v>
      </c>
      <c r="B115" s="3">
        <v>2018</v>
      </c>
      <c r="C115" s="3" t="s">
        <v>2342</v>
      </c>
      <c r="D115" s="4" t="s">
        <v>767</v>
      </c>
      <c r="E115" s="4" t="s">
        <v>767</v>
      </c>
      <c r="F115" s="3" t="s">
        <v>62</v>
      </c>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5">
      <c r="A116" s="3" t="s">
        <v>2343</v>
      </c>
      <c r="B116" s="3">
        <v>2017</v>
      </c>
      <c r="C116" s="3" t="s">
        <v>2344</v>
      </c>
      <c r="D116" s="4" t="s">
        <v>2345</v>
      </c>
      <c r="E116" s="4" t="s">
        <v>2346</v>
      </c>
      <c r="F116" s="3" t="s">
        <v>62</v>
      </c>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5">
      <c r="A117" s="3" t="s">
        <v>2347</v>
      </c>
      <c r="B117" s="3">
        <v>2019</v>
      </c>
      <c r="C117" s="3" t="s">
        <v>2348</v>
      </c>
      <c r="D117" s="4" t="s">
        <v>767</v>
      </c>
      <c r="E117" s="4" t="s">
        <v>767</v>
      </c>
      <c r="F117" s="3" t="s">
        <v>62</v>
      </c>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5">
      <c r="A118" s="3" t="s">
        <v>2349</v>
      </c>
      <c r="B118" s="3">
        <v>2020</v>
      </c>
      <c r="C118" s="3" t="s">
        <v>343</v>
      </c>
      <c r="D118" s="4" t="s">
        <v>2350</v>
      </c>
      <c r="E118" s="4" t="s">
        <v>2112</v>
      </c>
      <c r="F118" s="3" t="s">
        <v>62</v>
      </c>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5">
      <c r="A119" s="3" t="s">
        <v>210</v>
      </c>
      <c r="B119" s="3">
        <v>2017</v>
      </c>
      <c r="C119" s="3" t="s">
        <v>738</v>
      </c>
      <c r="D119" s="4" t="s">
        <v>2351</v>
      </c>
      <c r="E119" s="4" t="s">
        <v>2112</v>
      </c>
      <c r="F119" s="3" t="s">
        <v>62</v>
      </c>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5">
      <c r="A120" s="3" t="s">
        <v>2352</v>
      </c>
      <c r="B120" s="3">
        <v>2016</v>
      </c>
      <c r="C120" s="3" t="s">
        <v>160</v>
      </c>
      <c r="D120" s="3" t="s">
        <v>2353</v>
      </c>
      <c r="E120" s="3" t="s">
        <v>2187</v>
      </c>
      <c r="F120" s="3" t="s">
        <v>258</v>
      </c>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5">
      <c r="A121" s="3" t="s">
        <v>2354</v>
      </c>
      <c r="B121" s="3">
        <v>2017</v>
      </c>
      <c r="C121" s="3" t="s">
        <v>2355</v>
      </c>
      <c r="D121" s="3" t="s">
        <v>2356</v>
      </c>
      <c r="E121" s="3" t="s">
        <v>2187</v>
      </c>
      <c r="F121" s="3" t="s">
        <v>258</v>
      </c>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5">
      <c r="A122" s="3" t="s">
        <v>2357</v>
      </c>
      <c r="B122" s="3">
        <v>2009</v>
      </c>
      <c r="C122" s="3" t="s">
        <v>183</v>
      </c>
      <c r="D122" s="3" t="s">
        <v>2177</v>
      </c>
      <c r="E122" s="4" t="s">
        <v>2112</v>
      </c>
      <c r="F122" s="3" t="s">
        <v>258</v>
      </c>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5">
      <c r="A123" s="3" t="s">
        <v>2358</v>
      </c>
      <c r="B123" s="3">
        <v>2008</v>
      </c>
      <c r="C123" s="3" t="s">
        <v>263</v>
      </c>
      <c r="D123" s="3" t="s">
        <v>2359</v>
      </c>
      <c r="E123" s="4" t="s">
        <v>2112</v>
      </c>
      <c r="F123" s="3" t="s">
        <v>258</v>
      </c>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5">
      <c r="A124" s="3" t="s">
        <v>2360</v>
      </c>
      <c r="B124" s="3">
        <v>2019</v>
      </c>
      <c r="C124" s="3" t="s">
        <v>2361</v>
      </c>
      <c r="D124" s="1" t="s">
        <v>2362</v>
      </c>
      <c r="E124" s="3" t="s">
        <v>2187</v>
      </c>
      <c r="F124" s="3" t="s">
        <v>258</v>
      </c>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5">
      <c r="A125" s="3" t="s">
        <v>2363</v>
      </c>
      <c r="B125" s="3">
        <v>2020</v>
      </c>
      <c r="C125" s="3" t="s">
        <v>1086</v>
      </c>
      <c r="D125" s="3" t="s">
        <v>2164</v>
      </c>
      <c r="E125" s="4" t="s">
        <v>2112</v>
      </c>
      <c r="F125" s="3" t="s">
        <v>258</v>
      </c>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5">
      <c r="A126" s="4" t="s">
        <v>2364</v>
      </c>
      <c r="B126" s="5">
        <v>2014</v>
      </c>
      <c r="C126" s="4" t="s">
        <v>1292</v>
      </c>
      <c r="D126" s="4" t="s">
        <v>2365</v>
      </c>
      <c r="E126" s="4" t="s">
        <v>2112</v>
      </c>
      <c r="F126" s="3" t="s">
        <v>62</v>
      </c>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5">
      <c r="A127" s="4" t="s">
        <v>2366</v>
      </c>
      <c r="B127" s="5">
        <v>2016</v>
      </c>
      <c r="C127" s="4" t="s">
        <v>764</v>
      </c>
      <c r="D127" s="4" t="s">
        <v>2367</v>
      </c>
      <c r="E127" s="4" t="s">
        <v>2368</v>
      </c>
      <c r="F127" s="3" t="s">
        <v>62</v>
      </c>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5">
      <c r="A128" s="4" t="s">
        <v>2369</v>
      </c>
      <c r="B128" s="5">
        <v>2017</v>
      </c>
      <c r="C128" s="4" t="s">
        <v>232</v>
      </c>
      <c r="D128" s="4" t="s">
        <v>2365</v>
      </c>
      <c r="E128" s="4" t="s">
        <v>2112</v>
      </c>
      <c r="F128" s="3" t="s">
        <v>62</v>
      </c>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5">
      <c r="A129" s="4" t="s">
        <v>2369</v>
      </c>
      <c r="B129" s="5">
        <v>2016</v>
      </c>
      <c r="C129" s="4" t="s">
        <v>2370</v>
      </c>
      <c r="D129" s="4" t="s">
        <v>2365</v>
      </c>
      <c r="E129" s="4" t="s">
        <v>2112</v>
      </c>
      <c r="F129" s="3" t="s">
        <v>62</v>
      </c>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5">
      <c r="A130" s="4" t="s">
        <v>576</v>
      </c>
      <c r="B130" s="5">
        <v>2017</v>
      </c>
      <c r="C130" s="4" t="s">
        <v>2370</v>
      </c>
      <c r="D130" s="4" t="s">
        <v>2371</v>
      </c>
      <c r="E130" s="4" t="s">
        <v>2372</v>
      </c>
      <c r="F130" s="3" t="s">
        <v>62</v>
      </c>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5">
      <c r="A131" s="4" t="s">
        <v>2373</v>
      </c>
      <c r="B131" s="5">
        <v>2013</v>
      </c>
      <c r="C131" s="4" t="s">
        <v>1269</v>
      </c>
      <c r="D131" s="4" t="s">
        <v>2374</v>
      </c>
      <c r="E131" s="4" t="s">
        <v>2112</v>
      </c>
      <c r="F131" s="3" t="s">
        <v>62</v>
      </c>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5">
      <c r="A132" s="4" t="s">
        <v>2375</v>
      </c>
      <c r="B132" s="5">
        <v>2013</v>
      </c>
      <c r="C132" s="4" t="s">
        <v>183</v>
      </c>
      <c r="D132" s="4" t="s">
        <v>2376</v>
      </c>
      <c r="E132" s="4" t="s">
        <v>2112</v>
      </c>
      <c r="F132" s="3" t="s">
        <v>62</v>
      </c>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5">
      <c r="A133" s="4" t="s">
        <v>2377</v>
      </c>
      <c r="B133" s="5">
        <v>2013</v>
      </c>
      <c r="C133" s="4" t="s">
        <v>150</v>
      </c>
      <c r="D133" s="4" t="s">
        <v>2378</v>
      </c>
      <c r="E133" s="4" t="s">
        <v>2112</v>
      </c>
      <c r="F133" s="3" t="s">
        <v>62</v>
      </c>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5">
      <c r="A134" s="4" t="s">
        <v>2379</v>
      </c>
      <c r="B134" s="5">
        <v>2016</v>
      </c>
      <c r="C134" s="4" t="s">
        <v>738</v>
      </c>
      <c r="D134" s="4" t="s">
        <v>2380</v>
      </c>
      <c r="E134" s="4" t="s">
        <v>2112</v>
      </c>
      <c r="F134" s="3" t="s">
        <v>62</v>
      </c>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5">
      <c r="A135" s="4" t="s">
        <v>2381</v>
      </c>
      <c r="B135" s="5">
        <v>2016</v>
      </c>
      <c r="C135" s="4" t="s">
        <v>1193</v>
      </c>
      <c r="D135" s="4" t="s">
        <v>2382</v>
      </c>
      <c r="E135" s="4" t="s">
        <v>2187</v>
      </c>
      <c r="F135" s="3" t="s">
        <v>62</v>
      </c>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5">
      <c r="A136" s="4" t="s">
        <v>2383</v>
      </c>
      <c r="B136" s="5">
        <v>2016</v>
      </c>
      <c r="C136" s="4" t="s">
        <v>1056</v>
      </c>
      <c r="D136" s="4" t="s">
        <v>2384</v>
      </c>
      <c r="E136" s="4" t="s">
        <v>2187</v>
      </c>
      <c r="F136" s="3" t="s">
        <v>62</v>
      </c>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5">
      <c r="A137" s="4" t="s">
        <v>2385</v>
      </c>
      <c r="B137" s="5">
        <v>2019</v>
      </c>
      <c r="C137" s="4" t="s">
        <v>2386</v>
      </c>
      <c r="D137" s="4" t="s">
        <v>2387</v>
      </c>
      <c r="E137" s="4" t="s">
        <v>2112</v>
      </c>
      <c r="F137" s="3" t="s">
        <v>62</v>
      </c>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5">
      <c r="A138" s="4" t="s">
        <v>2388</v>
      </c>
      <c r="B138" s="5">
        <v>2018</v>
      </c>
      <c r="C138" s="4" t="s">
        <v>2027</v>
      </c>
      <c r="D138" s="4" t="s">
        <v>2389</v>
      </c>
      <c r="E138" s="4" t="s">
        <v>2112</v>
      </c>
      <c r="F138" s="3" t="s">
        <v>62</v>
      </c>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5">
      <c r="A139" s="4" t="s">
        <v>2390</v>
      </c>
      <c r="B139" s="5">
        <v>2011</v>
      </c>
      <c r="C139" s="4" t="s">
        <v>2391</v>
      </c>
      <c r="D139" s="4" t="s">
        <v>2392</v>
      </c>
      <c r="E139" s="4" t="s">
        <v>2393</v>
      </c>
      <c r="F139" s="3" t="s">
        <v>62</v>
      </c>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5">
      <c r="A140" s="4" t="s">
        <v>2394</v>
      </c>
      <c r="B140" s="5">
        <v>2012</v>
      </c>
      <c r="C140" s="4" t="s">
        <v>183</v>
      </c>
      <c r="D140" s="4" t="s">
        <v>2395</v>
      </c>
      <c r="E140" s="4" t="s">
        <v>2187</v>
      </c>
      <c r="F140" s="3" t="s">
        <v>62</v>
      </c>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5">
      <c r="A141" s="4" t="s">
        <v>2396</v>
      </c>
      <c r="B141" s="5">
        <v>2011</v>
      </c>
      <c r="C141" s="4" t="s">
        <v>1086</v>
      </c>
      <c r="D141" s="4" t="s">
        <v>2397</v>
      </c>
      <c r="E141" s="4" t="s">
        <v>2398</v>
      </c>
      <c r="F141" s="3" t="s">
        <v>62</v>
      </c>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5">
      <c r="A142" s="4" t="s">
        <v>576</v>
      </c>
      <c r="B142" s="5">
        <v>2018</v>
      </c>
      <c r="C142" s="4" t="s">
        <v>2399</v>
      </c>
      <c r="D142" s="4" t="s">
        <v>2400</v>
      </c>
      <c r="E142" s="4" t="s">
        <v>2398</v>
      </c>
      <c r="F142" s="3" t="s">
        <v>62</v>
      </c>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5">
      <c r="A143" s="4" t="s">
        <v>2401</v>
      </c>
      <c r="B143" s="5">
        <v>2009</v>
      </c>
      <c r="C143" s="4" t="s">
        <v>2402</v>
      </c>
      <c r="D143" s="4" t="s">
        <v>2403</v>
      </c>
      <c r="E143" s="4" t="s">
        <v>2320</v>
      </c>
      <c r="F143" s="3" t="s">
        <v>62</v>
      </c>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5">
      <c r="A144" s="4" t="s">
        <v>2006</v>
      </c>
      <c r="B144" s="5">
        <v>2015</v>
      </c>
      <c r="C144" s="4" t="s">
        <v>304</v>
      </c>
      <c r="D144" s="4" t="s">
        <v>2404</v>
      </c>
      <c r="E144" s="4" t="s">
        <v>2112</v>
      </c>
      <c r="F144" s="3" t="s">
        <v>62</v>
      </c>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5">
      <c r="A145" s="4" t="s">
        <v>2405</v>
      </c>
      <c r="B145" s="5">
        <v>2019</v>
      </c>
      <c r="C145" s="4" t="s">
        <v>2406</v>
      </c>
      <c r="D145" s="4" t="s">
        <v>2407</v>
      </c>
      <c r="E145" s="4" t="s">
        <v>2187</v>
      </c>
      <c r="F145" s="3" t="s">
        <v>62</v>
      </c>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5">
      <c r="A146" s="4" t="s">
        <v>2408</v>
      </c>
      <c r="B146" s="5">
        <v>2009</v>
      </c>
      <c r="C146" s="4" t="s">
        <v>1269</v>
      </c>
      <c r="D146" s="4" t="s">
        <v>2409</v>
      </c>
      <c r="E146" s="4" t="s">
        <v>2187</v>
      </c>
      <c r="F146" s="3" t="s">
        <v>62</v>
      </c>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5">
      <c r="A147" s="4" t="s">
        <v>2410</v>
      </c>
      <c r="B147" s="5">
        <v>2009</v>
      </c>
      <c r="C147" s="4" t="s">
        <v>2027</v>
      </c>
      <c r="D147" s="4" t="s">
        <v>2411</v>
      </c>
      <c r="E147" s="4" t="s">
        <v>2112</v>
      </c>
      <c r="F147" s="3" t="s">
        <v>62</v>
      </c>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5">
      <c r="A148" s="4" t="s">
        <v>2410</v>
      </c>
      <c r="B148" s="5">
        <v>2007</v>
      </c>
      <c r="C148" s="4" t="s">
        <v>2412</v>
      </c>
      <c r="D148" s="4" t="s">
        <v>2411</v>
      </c>
      <c r="E148" s="4" t="s">
        <v>2112</v>
      </c>
      <c r="F148" s="3" t="s">
        <v>62</v>
      </c>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5">
      <c r="A149" s="4" t="s">
        <v>2401</v>
      </c>
      <c r="B149" s="5">
        <v>2010</v>
      </c>
      <c r="C149" s="8" t="s">
        <v>470</v>
      </c>
      <c r="D149" s="4" t="s">
        <v>2413</v>
      </c>
      <c r="E149" s="4" t="s">
        <v>2398</v>
      </c>
      <c r="F149" s="3" t="s">
        <v>62</v>
      </c>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5">
      <c r="A150" s="4" t="s">
        <v>2414</v>
      </c>
      <c r="B150" s="5">
        <v>2011</v>
      </c>
      <c r="C150" s="4" t="s">
        <v>2402</v>
      </c>
      <c r="D150" s="4" t="s">
        <v>2415</v>
      </c>
      <c r="E150" s="4" t="s">
        <v>2112</v>
      </c>
      <c r="F150" s="3" t="s">
        <v>62</v>
      </c>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5">
      <c r="A151" s="4" t="s">
        <v>615</v>
      </c>
      <c r="B151" s="5">
        <v>2019</v>
      </c>
      <c r="C151" s="4" t="s">
        <v>183</v>
      </c>
      <c r="D151" s="4" t="s">
        <v>2416</v>
      </c>
      <c r="E151" s="4" t="s">
        <v>2417</v>
      </c>
      <c r="F151" s="3" t="s">
        <v>62</v>
      </c>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5">
      <c r="A152" s="4" t="s">
        <v>615</v>
      </c>
      <c r="B152" s="5">
        <v>2014</v>
      </c>
      <c r="C152" s="4" t="s">
        <v>150</v>
      </c>
      <c r="D152" s="4" t="s">
        <v>2418</v>
      </c>
      <c r="E152" s="4" t="s">
        <v>2419</v>
      </c>
      <c r="F152" s="3" t="s">
        <v>62</v>
      </c>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5">
      <c r="A153" s="4" t="s">
        <v>615</v>
      </c>
      <c r="B153" s="5">
        <v>2011</v>
      </c>
      <c r="C153" s="4" t="s">
        <v>160</v>
      </c>
      <c r="D153" s="4" t="s">
        <v>2420</v>
      </c>
      <c r="E153" s="4" t="s">
        <v>2187</v>
      </c>
      <c r="F153" s="3" t="s">
        <v>62</v>
      </c>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5">
      <c r="A154" s="4" t="s">
        <v>2421</v>
      </c>
      <c r="B154" s="5">
        <v>2015</v>
      </c>
      <c r="C154" s="4" t="s">
        <v>1193</v>
      </c>
      <c r="D154" s="4" t="s">
        <v>2422</v>
      </c>
      <c r="E154" s="4" t="s">
        <v>2187</v>
      </c>
      <c r="F154" s="3" t="s">
        <v>62</v>
      </c>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5">
      <c r="A155" s="4" t="s">
        <v>2423</v>
      </c>
      <c r="B155" s="5">
        <v>2019</v>
      </c>
      <c r="C155" s="4" t="s">
        <v>150</v>
      </c>
      <c r="D155" s="4" t="s">
        <v>2424</v>
      </c>
      <c r="E155" s="4" t="s">
        <v>2398</v>
      </c>
      <c r="F155" s="3" t="s">
        <v>62</v>
      </c>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5">
      <c r="A156" s="4" t="s">
        <v>911</v>
      </c>
      <c r="B156" s="5">
        <v>2016</v>
      </c>
      <c r="C156" s="4" t="s">
        <v>459</v>
      </c>
      <c r="D156" s="4" t="s">
        <v>2425</v>
      </c>
      <c r="E156" s="4" t="s">
        <v>2426</v>
      </c>
      <c r="F156" s="3" t="s">
        <v>62</v>
      </c>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5">
      <c r="A157" s="4" t="s">
        <v>911</v>
      </c>
      <c r="B157" s="5">
        <v>2012</v>
      </c>
      <c r="C157" s="4" t="s">
        <v>1173</v>
      </c>
      <c r="D157" s="4" t="s">
        <v>2427</v>
      </c>
      <c r="E157" s="4" t="s">
        <v>2398</v>
      </c>
      <c r="F157" s="3" t="s">
        <v>62</v>
      </c>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5">
      <c r="A158" s="4" t="s">
        <v>2428</v>
      </c>
      <c r="B158" s="5">
        <v>2020</v>
      </c>
      <c r="C158" s="4" t="s">
        <v>2429</v>
      </c>
      <c r="D158" s="4" t="s">
        <v>2430</v>
      </c>
      <c r="E158" s="4" t="s">
        <v>2112</v>
      </c>
      <c r="F158" s="3" t="s">
        <v>62</v>
      </c>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5">
      <c r="A159" s="4" t="s">
        <v>2431</v>
      </c>
      <c r="B159" s="5">
        <v>2017</v>
      </c>
      <c r="C159" s="4" t="s">
        <v>2432</v>
      </c>
      <c r="D159" s="4" t="s">
        <v>2433</v>
      </c>
      <c r="E159" s="4" t="s">
        <v>2112</v>
      </c>
      <c r="F159" s="3" t="s">
        <v>62</v>
      </c>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5">
      <c r="A160" s="4" t="s">
        <v>2434</v>
      </c>
      <c r="B160" s="5">
        <v>2019</v>
      </c>
      <c r="C160" s="4" t="s">
        <v>2402</v>
      </c>
      <c r="D160" s="4" t="s">
        <v>2435</v>
      </c>
      <c r="E160" s="4" t="s">
        <v>2398</v>
      </c>
      <c r="F160" s="3" t="s">
        <v>62</v>
      </c>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5">
      <c r="A161" s="4" t="s">
        <v>615</v>
      </c>
      <c r="B161" s="5">
        <v>2015</v>
      </c>
      <c r="C161" s="4" t="s">
        <v>2436</v>
      </c>
      <c r="D161" s="4" t="s">
        <v>2437</v>
      </c>
      <c r="E161" s="4" t="s">
        <v>2419</v>
      </c>
      <c r="F161" s="3" t="s">
        <v>62</v>
      </c>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5">
      <c r="A162" s="4" t="s">
        <v>615</v>
      </c>
      <c r="B162" s="5">
        <v>2019</v>
      </c>
      <c r="C162" s="4" t="s">
        <v>742</v>
      </c>
      <c r="D162" s="4" t="s">
        <v>2438</v>
      </c>
      <c r="E162" s="4" t="s">
        <v>2187</v>
      </c>
      <c r="F162" s="3" t="s">
        <v>62</v>
      </c>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5">
      <c r="A163" s="4" t="s">
        <v>2439</v>
      </c>
      <c r="B163" s="5">
        <v>2014</v>
      </c>
      <c r="C163" s="4" t="s">
        <v>1001</v>
      </c>
      <c r="D163" s="4" t="s">
        <v>2440</v>
      </c>
      <c r="E163" s="4" t="s">
        <v>2112</v>
      </c>
      <c r="F163" s="3" t="s">
        <v>62</v>
      </c>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5">
      <c r="A164" s="4" t="s">
        <v>2441</v>
      </c>
      <c r="B164" s="5">
        <v>2020</v>
      </c>
      <c r="C164" s="4" t="s">
        <v>1072</v>
      </c>
      <c r="D164" s="4" t="s">
        <v>2442</v>
      </c>
      <c r="E164" s="4" t="s">
        <v>2187</v>
      </c>
      <c r="F164" s="3" t="s">
        <v>62</v>
      </c>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5">
      <c r="A165" s="4" t="s">
        <v>2241</v>
      </c>
      <c r="B165" s="5">
        <v>2020</v>
      </c>
      <c r="C165" s="4" t="s">
        <v>183</v>
      </c>
      <c r="D165" s="4" t="s">
        <v>2443</v>
      </c>
      <c r="E165" s="4" t="s">
        <v>2112</v>
      </c>
      <c r="F165" s="3" t="s">
        <v>62</v>
      </c>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5">
      <c r="A166" s="4" t="s">
        <v>1386</v>
      </c>
      <c r="B166" s="5">
        <v>2010</v>
      </c>
      <c r="C166" s="4" t="s">
        <v>183</v>
      </c>
      <c r="D166" s="4" t="s">
        <v>2444</v>
      </c>
      <c r="E166" s="4" t="s">
        <v>2398</v>
      </c>
      <c r="F166" s="3" t="s">
        <v>62</v>
      </c>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5">
      <c r="A167" s="4" t="s">
        <v>2445</v>
      </c>
      <c r="B167" s="5">
        <v>2020</v>
      </c>
      <c r="C167" s="4" t="s">
        <v>459</v>
      </c>
      <c r="D167" s="4" t="s">
        <v>2446</v>
      </c>
      <c r="E167" s="4" t="s">
        <v>2447</v>
      </c>
      <c r="F167" s="3" t="s">
        <v>62</v>
      </c>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5">
      <c r="A168" s="4" t="s">
        <v>2448</v>
      </c>
      <c r="B168" s="5">
        <v>2012</v>
      </c>
      <c r="C168" s="4" t="s">
        <v>88</v>
      </c>
      <c r="D168" s="4" t="s">
        <v>2449</v>
      </c>
      <c r="E168" s="4" t="s">
        <v>2450</v>
      </c>
      <c r="F168" s="3" t="s">
        <v>62</v>
      </c>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5">
      <c r="A169" s="3" t="s">
        <v>2451</v>
      </c>
      <c r="B169" s="3">
        <v>2020</v>
      </c>
      <c r="C169" s="3" t="s">
        <v>2256</v>
      </c>
      <c r="D169" s="3" t="s">
        <v>2452</v>
      </c>
      <c r="E169" s="3" t="s">
        <v>2187</v>
      </c>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5">
      <c r="A170" s="3" t="s">
        <v>2451</v>
      </c>
      <c r="B170" s="3">
        <v>2018</v>
      </c>
      <c r="C170" s="3" t="s">
        <v>332</v>
      </c>
      <c r="D170" s="3" t="s">
        <v>2453</v>
      </c>
      <c r="E170" s="3" t="s">
        <v>2187</v>
      </c>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5">
      <c r="A171" s="3" t="s">
        <v>2454</v>
      </c>
      <c r="B171" s="3">
        <v>2020</v>
      </c>
      <c r="C171" s="3" t="s">
        <v>72</v>
      </c>
      <c r="D171" s="3" t="s">
        <v>2455</v>
      </c>
      <c r="E171" s="3" t="s">
        <v>2187</v>
      </c>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5">
      <c r="A172" s="3" t="s">
        <v>2454</v>
      </c>
      <c r="B172" s="3">
        <v>2011</v>
      </c>
      <c r="C172" s="3" t="s">
        <v>190</v>
      </c>
      <c r="D172" s="3" t="s">
        <v>2456</v>
      </c>
      <c r="E172" s="3" t="s">
        <v>2112</v>
      </c>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5">
      <c r="A173" s="4" t="s">
        <v>2457</v>
      </c>
      <c r="B173" s="5">
        <v>2019</v>
      </c>
      <c r="C173" s="4" t="s">
        <v>190</v>
      </c>
      <c r="D173" s="4" t="s">
        <v>2458</v>
      </c>
      <c r="E173" s="4" t="s">
        <v>2398</v>
      </c>
      <c r="F173" s="3" t="s">
        <v>62</v>
      </c>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5">
      <c r="A174" s="4" t="s">
        <v>741</v>
      </c>
      <c r="B174" s="5">
        <v>2017</v>
      </c>
      <c r="C174" s="4" t="s">
        <v>183</v>
      </c>
      <c r="D174" s="4" t="s">
        <v>2458</v>
      </c>
      <c r="E174" s="4" t="s">
        <v>2398</v>
      </c>
      <c r="F174" s="3" t="s">
        <v>62</v>
      </c>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5">
      <c r="A175" s="4" t="s">
        <v>2459</v>
      </c>
      <c r="B175" s="5">
        <v>2019</v>
      </c>
      <c r="C175" s="4" t="s">
        <v>2460</v>
      </c>
      <c r="D175" s="4" t="s">
        <v>2461</v>
      </c>
      <c r="E175" s="4" t="s">
        <v>2462</v>
      </c>
      <c r="F175" s="3" t="s">
        <v>62</v>
      </c>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5">
      <c r="A176" s="4" t="s">
        <v>2463</v>
      </c>
      <c r="B176" s="5">
        <v>2009</v>
      </c>
      <c r="C176" s="4" t="s">
        <v>2464</v>
      </c>
      <c r="D176" s="4" t="s">
        <v>2465</v>
      </c>
      <c r="E176" s="4" t="s">
        <v>2462</v>
      </c>
      <c r="F176" s="3" t="s">
        <v>62</v>
      </c>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5">
      <c r="A177" s="4" t="s">
        <v>2466</v>
      </c>
      <c r="B177" s="5">
        <v>2011</v>
      </c>
      <c r="C177" s="4" t="s">
        <v>183</v>
      </c>
      <c r="D177" s="4" t="s">
        <v>2467</v>
      </c>
      <c r="E177" s="4" t="s">
        <v>2187</v>
      </c>
      <c r="F177" s="3" t="s">
        <v>62</v>
      </c>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5">
      <c r="A178" s="4" t="s">
        <v>2468</v>
      </c>
      <c r="B178" s="5">
        <v>2007</v>
      </c>
      <c r="C178" s="8" t="s">
        <v>2469</v>
      </c>
      <c r="D178" s="4" t="s">
        <v>2470</v>
      </c>
      <c r="E178" s="4" t="s">
        <v>2112</v>
      </c>
      <c r="F178" s="3" t="s">
        <v>62</v>
      </c>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5">
      <c r="A179" s="4" t="s">
        <v>2471</v>
      </c>
      <c r="B179" s="5">
        <v>2010</v>
      </c>
      <c r="C179" s="4" t="s">
        <v>2472</v>
      </c>
      <c r="D179" s="4" t="s">
        <v>2473</v>
      </c>
      <c r="E179" s="4" t="s">
        <v>2187</v>
      </c>
      <c r="F179" s="3" t="s">
        <v>62</v>
      </c>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5">
      <c r="A180" s="4" t="s">
        <v>2474</v>
      </c>
      <c r="B180" s="5">
        <v>2017</v>
      </c>
      <c r="C180" s="4" t="s">
        <v>150</v>
      </c>
      <c r="D180" s="4" t="s">
        <v>2475</v>
      </c>
      <c r="E180" s="4" t="s">
        <v>2187</v>
      </c>
      <c r="F180" s="3" t="s">
        <v>62</v>
      </c>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5">
      <c r="A181" s="4" t="s">
        <v>2476</v>
      </c>
      <c r="B181" s="5">
        <v>2018</v>
      </c>
      <c r="C181" s="4" t="s">
        <v>2406</v>
      </c>
      <c r="D181" s="4" t="s">
        <v>2477</v>
      </c>
      <c r="E181" s="4" t="s">
        <v>2398</v>
      </c>
      <c r="F181" s="3" t="s">
        <v>62</v>
      </c>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5">
      <c r="A182" s="4" t="s">
        <v>1394</v>
      </c>
      <c r="B182" s="5">
        <v>2017</v>
      </c>
      <c r="C182" s="4" t="s">
        <v>343</v>
      </c>
      <c r="D182" s="4" t="s">
        <v>2478</v>
      </c>
      <c r="E182" s="4" t="s">
        <v>2478</v>
      </c>
      <c r="F182" s="3" t="s">
        <v>62</v>
      </c>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5">
      <c r="A183" s="4" t="s">
        <v>2479</v>
      </c>
      <c r="B183" s="5">
        <v>2016</v>
      </c>
      <c r="C183" s="4" t="s">
        <v>1193</v>
      </c>
      <c r="D183" s="4" t="s">
        <v>2480</v>
      </c>
      <c r="E183" s="4" t="s">
        <v>2187</v>
      </c>
      <c r="F183" s="3" t="s">
        <v>62</v>
      </c>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5">
      <c r="A184" s="4" t="s">
        <v>2481</v>
      </c>
      <c r="B184" s="5">
        <v>2019</v>
      </c>
      <c r="C184" s="4" t="s">
        <v>2406</v>
      </c>
      <c r="D184" s="4" t="s">
        <v>2482</v>
      </c>
      <c r="E184" s="4" t="s">
        <v>2462</v>
      </c>
      <c r="F184" s="3" t="s">
        <v>62</v>
      </c>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5">
      <c r="A185" s="4" t="s">
        <v>2483</v>
      </c>
      <c r="B185" s="5">
        <v>2015</v>
      </c>
      <c r="C185" s="4" t="s">
        <v>2256</v>
      </c>
      <c r="D185" s="4" t="s">
        <v>2484</v>
      </c>
      <c r="E185" s="4" t="s">
        <v>2187</v>
      </c>
      <c r="F185" s="3" t="s">
        <v>62</v>
      </c>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5">
      <c r="A186" s="4" t="s">
        <v>2485</v>
      </c>
      <c r="B186" s="5">
        <v>2014</v>
      </c>
      <c r="C186" s="4" t="s">
        <v>150</v>
      </c>
      <c r="D186" s="4" t="s">
        <v>2486</v>
      </c>
      <c r="E186" s="4" t="s">
        <v>2112</v>
      </c>
      <c r="F186" s="3" t="s">
        <v>62</v>
      </c>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5">
      <c r="A187" s="4" t="s">
        <v>2485</v>
      </c>
      <c r="B187" s="5">
        <v>2018</v>
      </c>
      <c r="C187" s="4" t="s">
        <v>88</v>
      </c>
      <c r="D187" s="4" t="s">
        <v>2487</v>
      </c>
      <c r="E187" s="4" t="s">
        <v>2112</v>
      </c>
      <c r="F187" s="3" t="s">
        <v>62</v>
      </c>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5">
      <c r="A188" s="4" t="s">
        <v>2488</v>
      </c>
      <c r="B188" s="5">
        <v>2019</v>
      </c>
      <c r="C188" s="4" t="s">
        <v>183</v>
      </c>
      <c r="D188" s="4" t="s">
        <v>2489</v>
      </c>
      <c r="E188" s="4" t="s">
        <v>767</v>
      </c>
      <c r="F188" s="3" t="s">
        <v>62</v>
      </c>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5">
      <c r="A189" s="4" t="s">
        <v>2490</v>
      </c>
      <c r="B189" s="5">
        <v>2009</v>
      </c>
      <c r="C189" s="4" t="s">
        <v>706</v>
      </c>
      <c r="D189" s="4" t="s">
        <v>2491</v>
      </c>
      <c r="E189" s="4" t="s">
        <v>2478</v>
      </c>
      <c r="F189" s="3" t="s">
        <v>62</v>
      </c>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5">
      <c r="A190" s="4" t="s">
        <v>2492</v>
      </c>
      <c r="B190" s="5">
        <v>2018</v>
      </c>
      <c r="C190" s="4" t="s">
        <v>2493</v>
      </c>
      <c r="D190" s="4" t="s">
        <v>2494</v>
      </c>
      <c r="E190" s="4" t="s">
        <v>2112</v>
      </c>
      <c r="F190" s="3" t="s">
        <v>62</v>
      </c>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5">
      <c r="A191" s="4" t="s">
        <v>2495</v>
      </c>
      <c r="B191" s="5">
        <v>2012</v>
      </c>
      <c r="C191" s="4" t="s">
        <v>232</v>
      </c>
      <c r="D191" s="4" t="s">
        <v>2496</v>
      </c>
      <c r="E191" s="4" t="s">
        <v>2187</v>
      </c>
      <c r="F191" s="3" t="s">
        <v>62</v>
      </c>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5">
      <c r="A192" s="4" t="s">
        <v>2497</v>
      </c>
      <c r="B192" s="5">
        <v>2016</v>
      </c>
      <c r="C192" s="4" t="s">
        <v>263</v>
      </c>
      <c r="D192" s="4" t="s">
        <v>2498</v>
      </c>
      <c r="E192" s="4" t="s">
        <v>2187</v>
      </c>
      <c r="F192" s="3" t="s">
        <v>62</v>
      </c>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5">
      <c r="A193" s="4" t="s">
        <v>2499</v>
      </c>
      <c r="B193" s="5">
        <v>2016</v>
      </c>
      <c r="C193" s="4" t="s">
        <v>2500</v>
      </c>
      <c r="D193" s="4" t="s">
        <v>2501</v>
      </c>
      <c r="E193" s="4" t="s">
        <v>2187</v>
      </c>
      <c r="F193" s="3" t="s">
        <v>62</v>
      </c>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5">
      <c r="A194" s="4" t="s">
        <v>2502</v>
      </c>
      <c r="B194" s="5">
        <v>2017</v>
      </c>
      <c r="C194" s="4" t="s">
        <v>183</v>
      </c>
      <c r="D194" s="4" t="s">
        <v>2503</v>
      </c>
      <c r="E194" s="4" t="s">
        <v>2504</v>
      </c>
      <c r="F194" s="3" t="s">
        <v>62</v>
      </c>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5">
      <c r="A195" s="4" t="s">
        <v>458</v>
      </c>
      <c r="B195" s="5">
        <v>2014</v>
      </c>
      <c r="C195" s="4" t="s">
        <v>2161</v>
      </c>
      <c r="D195" s="4" t="s">
        <v>2505</v>
      </c>
      <c r="E195" s="4" t="s">
        <v>2187</v>
      </c>
      <c r="F195" s="3" t="s">
        <v>62</v>
      </c>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5">
      <c r="A196" s="4" t="s">
        <v>2506</v>
      </c>
      <c r="B196" s="5">
        <v>2017</v>
      </c>
      <c r="C196" s="4" t="s">
        <v>2507</v>
      </c>
      <c r="D196" s="4" t="s">
        <v>2508</v>
      </c>
      <c r="E196" s="4" t="s">
        <v>2478</v>
      </c>
      <c r="F196" s="3" t="s">
        <v>62</v>
      </c>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5">
      <c r="A197" s="4" t="s">
        <v>2509</v>
      </c>
      <c r="B197" s="5">
        <v>2016</v>
      </c>
      <c r="C197" s="4" t="s">
        <v>706</v>
      </c>
      <c r="D197" s="4" t="s">
        <v>2510</v>
      </c>
      <c r="E197" s="4" t="s">
        <v>2112</v>
      </c>
      <c r="F197" s="3" t="s">
        <v>62</v>
      </c>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5">
      <c r="A198" s="4" t="s">
        <v>790</v>
      </c>
      <c r="B198" s="5">
        <v>2007</v>
      </c>
      <c r="C198" s="4" t="s">
        <v>183</v>
      </c>
      <c r="D198" s="4" t="s">
        <v>2511</v>
      </c>
      <c r="E198" s="4" t="s">
        <v>2419</v>
      </c>
      <c r="F198" s="3" t="s">
        <v>62</v>
      </c>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5">
      <c r="A199" s="4" t="s">
        <v>2512</v>
      </c>
      <c r="B199" s="5">
        <v>2015</v>
      </c>
      <c r="C199" s="4" t="s">
        <v>1001</v>
      </c>
      <c r="D199" s="4" t="s">
        <v>2513</v>
      </c>
      <c r="E199" s="4" t="s">
        <v>2112</v>
      </c>
      <c r="F199" s="3" t="s">
        <v>62</v>
      </c>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5">
      <c r="A200" s="4" t="s">
        <v>2514</v>
      </c>
      <c r="B200" s="5">
        <v>2006</v>
      </c>
      <c r="C200" s="4" t="s">
        <v>183</v>
      </c>
      <c r="D200" s="4" t="s">
        <v>2478</v>
      </c>
      <c r="E200" s="4" t="s">
        <v>2478</v>
      </c>
      <c r="F200" s="3" t="s">
        <v>62</v>
      </c>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5">
      <c r="A201" s="4" t="s">
        <v>2515</v>
      </c>
      <c r="B201" s="5">
        <v>2010</v>
      </c>
      <c r="C201" s="4" t="s">
        <v>1269</v>
      </c>
      <c r="D201" s="4" t="s">
        <v>2516</v>
      </c>
      <c r="E201" s="4" t="s">
        <v>2112</v>
      </c>
      <c r="F201" s="3" t="s">
        <v>62</v>
      </c>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5">
      <c r="A202" s="4" t="s">
        <v>2160</v>
      </c>
      <c r="B202" s="5">
        <v>2019</v>
      </c>
      <c r="C202" s="4" t="s">
        <v>771</v>
      </c>
      <c r="D202" s="4" t="s">
        <v>2517</v>
      </c>
      <c r="E202" s="4" t="s">
        <v>2312</v>
      </c>
      <c r="F202" s="3" t="s">
        <v>62</v>
      </c>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5">
      <c r="A203" s="4" t="s">
        <v>2160</v>
      </c>
      <c r="B203" s="5">
        <v>2020</v>
      </c>
      <c r="C203" s="4" t="s">
        <v>2161</v>
      </c>
      <c r="D203" s="4" t="s">
        <v>2518</v>
      </c>
      <c r="E203" s="4" t="s">
        <v>2187</v>
      </c>
      <c r="F203" s="3" t="s">
        <v>62</v>
      </c>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5">
      <c r="A204" s="4" t="s">
        <v>2519</v>
      </c>
      <c r="B204" s="5">
        <v>2017</v>
      </c>
      <c r="C204" s="4" t="s">
        <v>2131</v>
      </c>
      <c r="D204" s="4" t="s">
        <v>2520</v>
      </c>
      <c r="E204" s="4" t="s">
        <v>2419</v>
      </c>
      <c r="F204" s="3" t="s">
        <v>62</v>
      </c>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5">
      <c r="A205" s="4" t="s">
        <v>2521</v>
      </c>
      <c r="B205" s="5">
        <v>2016</v>
      </c>
      <c r="C205" s="4" t="s">
        <v>738</v>
      </c>
      <c r="D205" s="4" t="s">
        <v>2522</v>
      </c>
      <c r="E205" s="4" t="s">
        <v>2112</v>
      </c>
      <c r="F205" s="3" t="s">
        <v>62</v>
      </c>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5">
      <c r="A206" s="4" t="s">
        <v>2523</v>
      </c>
      <c r="B206" s="5">
        <v>2013</v>
      </c>
      <c r="C206" s="4" t="s">
        <v>343</v>
      </c>
      <c r="D206" s="4" t="s">
        <v>2524</v>
      </c>
      <c r="E206" s="4" t="s">
        <v>2462</v>
      </c>
      <c r="F206" s="3" t="s">
        <v>62</v>
      </c>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5">
      <c r="A207" s="4" t="s">
        <v>2525</v>
      </c>
      <c r="B207" s="5">
        <v>2016</v>
      </c>
      <c r="C207" s="4" t="s">
        <v>1254</v>
      </c>
      <c r="D207" s="4" t="s">
        <v>2517</v>
      </c>
      <c r="E207" s="4" t="s">
        <v>2312</v>
      </c>
      <c r="F207" s="3" t="s">
        <v>62</v>
      </c>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5">
      <c r="A208" s="3" t="s">
        <v>2526</v>
      </c>
      <c r="B208" s="3">
        <v>2018</v>
      </c>
      <c r="C208" s="4" t="s">
        <v>2507</v>
      </c>
      <c r="D208" s="1" t="s">
        <v>2527</v>
      </c>
      <c r="E208" s="3" t="s">
        <v>2112</v>
      </c>
      <c r="F208" s="3" t="s">
        <v>258</v>
      </c>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5">
      <c r="A209" s="3" t="s">
        <v>2528</v>
      </c>
      <c r="B209" s="3">
        <v>2019</v>
      </c>
      <c r="C209" s="3" t="s">
        <v>2529</v>
      </c>
      <c r="D209" s="3" t="s">
        <v>2530</v>
      </c>
      <c r="E209" s="4" t="s">
        <v>2187</v>
      </c>
      <c r="F209" s="3" t="s">
        <v>163</v>
      </c>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5">
      <c r="A210" s="3" t="s">
        <v>2531</v>
      </c>
      <c r="B210" s="3">
        <v>2007</v>
      </c>
      <c r="C210" s="3" t="s">
        <v>2288</v>
      </c>
      <c r="D210" s="3" t="s">
        <v>2532</v>
      </c>
      <c r="E210" s="3" t="s">
        <v>2112</v>
      </c>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5">
      <c r="A211" s="3" t="s">
        <v>71</v>
      </c>
      <c r="B211" s="3">
        <v>2009</v>
      </c>
      <c r="C211" s="3" t="s">
        <v>183</v>
      </c>
      <c r="D211" s="3" t="s">
        <v>2533</v>
      </c>
      <c r="E211" s="3" t="s">
        <v>2419</v>
      </c>
      <c r="F211" s="3" t="s">
        <v>94</v>
      </c>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5">
      <c r="A212" s="3" t="s">
        <v>615</v>
      </c>
      <c r="B212" s="3">
        <v>2001</v>
      </c>
      <c r="C212" s="3" t="s">
        <v>72</v>
      </c>
      <c r="D212" s="3" t="s">
        <v>2533</v>
      </c>
      <c r="E212" s="3" t="s">
        <v>2419</v>
      </c>
      <c r="F212" s="3" t="s">
        <v>94</v>
      </c>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5">
      <c r="A213" s="3" t="s">
        <v>2431</v>
      </c>
      <c r="B213" s="3">
        <v>2016</v>
      </c>
      <c r="C213" s="3" t="s">
        <v>150</v>
      </c>
      <c r="D213" s="1" t="s">
        <v>2534</v>
      </c>
      <c r="E213" s="3" t="s">
        <v>2112</v>
      </c>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5">
      <c r="A214" s="11" t="s">
        <v>1876</v>
      </c>
      <c r="B214" s="11">
        <v>2018</v>
      </c>
      <c r="C214" s="11" t="s">
        <v>2535</v>
      </c>
      <c r="D214" s="11" t="s">
        <v>2536</v>
      </c>
      <c r="E214" s="11" t="s">
        <v>2272</v>
      </c>
      <c r="F214" s="11" t="s">
        <v>62</v>
      </c>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5">
      <c r="A215" s="3" t="s">
        <v>2537</v>
      </c>
      <c r="B215" s="3">
        <v>2007</v>
      </c>
      <c r="C215" s="3" t="s">
        <v>2538</v>
      </c>
      <c r="D215" s="3" t="s">
        <v>2539</v>
      </c>
      <c r="E215" s="11" t="s">
        <v>2272</v>
      </c>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5">
      <c r="A216" s="3" t="s">
        <v>2540</v>
      </c>
      <c r="B216" s="3">
        <v>2015</v>
      </c>
      <c r="C216" s="3" t="s">
        <v>2541</v>
      </c>
      <c r="D216" s="4" t="s">
        <v>2542</v>
      </c>
      <c r="E216" s="3" t="s">
        <v>2543</v>
      </c>
      <c r="F216" s="3" t="s">
        <v>2544</v>
      </c>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5">
      <c r="A217" s="3" t="s">
        <v>2545</v>
      </c>
      <c r="B217" s="3">
        <v>2012</v>
      </c>
      <c r="C217" s="3" t="s">
        <v>2546</v>
      </c>
      <c r="D217" s="3" t="s">
        <v>2547</v>
      </c>
      <c r="E217" s="11" t="s">
        <v>2272</v>
      </c>
      <c r="F217" s="3" t="s">
        <v>163</v>
      </c>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5">
      <c r="A218" s="26" t="s">
        <v>2548</v>
      </c>
      <c r="B218" s="3">
        <v>2014</v>
      </c>
      <c r="C218" s="26" t="s">
        <v>160</v>
      </c>
      <c r="D218" s="26" t="s">
        <v>2549</v>
      </c>
      <c r="E218" s="26" t="s">
        <v>2112</v>
      </c>
      <c r="F218" s="3" t="s">
        <v>163</v>
      </c>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5">
      <c r="A219" s="26" t="s">
        <v>2550</v>
      </c>
      <c r="B219" s="3">
        <v>2011</v>
      </c>
      <c r="C219" s="26" t="s">
        <v>860</v>
      </c>
      <c r="D219" s="26" t="s">
        <v>2549</v>
      </c>
      <c r="E219" s="26" t="s">
        <v>2112</v>
      </c>
      <c r="F219" s="3" t="s">
        <v>163</v>
      </c>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5">
      <c r="A220" s="3" t="s">
        <v>681</v>
      </c>
      <c r="B220" s="3">
        <v>2020</v>
      </c>
      <c r="C220" s="3" t="s">
        <v>685</v>
      </c>
      <c r="D220" s="3" t="s">
        <v>2551</v>
      </c>
      <c r="E220" s="3" t="s">
        <v>2112</v>
      </c>
      <c r="F220" s="3" t="s">
        <v>94</v>
      </c>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5">
      <c r="A221" s="3" t="s">
        <v>256</v>
      </c>
      <c r="B221" s="3">
        <v>2017</v>
      </c>
      <c r="C221" s="3" t="s">
        <v>257</v>
      </c>
      <c r="D221" s="3" t="s">
        <v>2564</v>
      </c>
      <c r="E221" s="3" t="s">
        <v>2187</v>
      </c>
      <c r="F221" s="3" t="s">
        <v>163</v>
      </c>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5">
      <c r="A222" s="3" t="s">
        <v>991</v>
      </c>
      <c r="B222" s="3">
        <v>2008</v>
      </c>
      <c r="C222" s="3" t="s">
        <v>263</v>
      </c>
      <c r="D222" s="3" t="s">
        <v>2592</v>
      </c>
      <c r="E222" s="11" t="s">
        <v>2272</v>
      </c>
      <c r="F222" s="3" t="s">
        <v>163</v>
      </c>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5">
      <c r="A223" s="3" t="s">
        <v>1004</v>
      </c>
      <c r="B223" s="3">
        <v>2008</v>
      </c>
      <c r="C223" s="3" t="s">
        <v>2402</v>
      </c>
      <c r="D223" s="26" t="s">
        <v>2595</v>
      </c>
      <c r="E223" s="26" t="s">
        <v>2596</v>
      </c>
      <c r="F223" s="26" t="s">
        <v>163</v>
      </c>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5">
      <c r="A224" s="26" t="s">
        <v>1004</v>
      </c>
      <c r="B224" s="3">
        <v>2008</v>
      </c>
      <c r="C224" s="26" t="s">
        <v>706</v>
      </c>
      <c r="D224" s="26" t="s">
        <v>2595</v>
      </c>
      <c r="E224" s="26" t="s">
        <v>2596</v>
      </c>
      <c r="F224" s="26" t="s">
        <v>163</v>
      </c>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5">
      <c r="A225" s="3" t="s">
        <v>681</v>
      </c>
      <c r="B225" s="3">
        <v>2013</v>
      </c>
      <c r="C225" s="3" t="s">
        <v>232</v>
      </c>
      <c r="D225" s="3" t="s">
        <v>2692</v>
      </c>
      <c r="E225" s="3" t="s">
        <v>2462</v>
      </c>
      <c r="F225" s="3" t="s">
        <v>163</v>
      </c>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5">
      <c r="A226" s="3" t="s">
        <v>1876</v>
      </c>
      <c r="B226" s="3">
        <v>2015</v>
      </c>
      <c r="C226" s="3" t="s">
        <v>2535</v>
      </c>
      <c r="D226" s="3" t="s">
        <v>2722</v>
      </c>
      <c r="E226" s="3" t="s">
        <v>2462</v>
      </c>
      <c r="F226" s="3" t="s">
        <v>163</v>
      </c>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5">
      <c r="A227" s="3" t="s">
        <v>2044</v>
      </c>
      <c r="B227" s="3">
        <v>2009</v>
      </c>
      <c r="C227" s="3" t="s">
        <v>160</v>
      </c>
      <c r="D227" s="3" t="s">
        <v>2766</v>
      </c>
      <c r="E227" s="3" t="s">
        <v>2767</v>
      </c>
      <c r="F227" s="3" t="s">
        <v>163</v>
      </c>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5">
      <c r="A228" s="3" t="s">
        <v>756</v>
      </c>
      <c r="B228" s="3">
        <v>2010</v>
      </c>
      <c r="C228" s="3" t="s">
        <v>2242</v>
      </c>
      <c r="D228" s="3" t="s">
        <v>2840</v>
      </c>
      <c r="E228" s="3" t="s">
        <v>2767</v>
      </c>
      <c r="F228" s="3" t="s">
        <v>163</v>
      </c>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Irrelevant Refs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 Hopf</dc:creator>
  <cp:keywords/>
  <dc:description/>
  <cp:lastModifiedBy>Jess Hopf</cp:lastModifiedBy>
  <cp:revision/>
  <dcterms:created xsi:type="dcterms:W3CDTF">2020-07-13T05:28:56Z</dcterms:created>
  <dcterms:modified xsi:type="dcterms:W3CDTF">2024-07-08T23:43:27Z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52b3a1-dbcb-41fb-a452-370cf542753f_Enabled">
    <vt:lpwstr>true</vt:lpwstr>
  </property>
  <property fmtid="{D5CDD505-2E9C-101B-9397-08002B2CF9AE}" pid="3" name="MSIP_Label_1b52b3a1-dbcb-41fb-a452-370cf542753f_SetDate">
    <vt:lpwstr>2020-07-20T23:27:55Z</vt:lpwstr>
  </property>
  <property fmtid="{D5CDD505-2E9C-101B-9397-08002B2CF9AE}" pid="4" name="MSIP_Label_1b52b3a1-dbcb-41fb-a452-370cf542753f_Method">
    <vt:lpwstr>Privileged</vt:lpwstr>
  </property>
  <property fmtid="{D5CDD505-2E9C-101B-9397-08002B2CF9AE}" pid="5" name="MSIP_Label_1b52b3a1-dbcb-41fb-a452-370cf542753f_Name">
    <vt:lpwstr>Public</vt:lpwstr>
  </property>
  <property fmtid="{D5CDD505-2E9C-101B-9397-08002B2CF9AE}" pid="6" name="MSIP_Label_1b52b3a1-dbcb-41fb-a452-370cf542753f_SiteId">
    <vt:lpwstr>d1323671-cdbe-4417-b4d4-bdb24b51316b</vt:lpwstr>
  </property>
  <property fmtid="{D5CDD505-2E9C-101B-9397-08002B2CF9AE}" pid="7" name="MSIP_Label_1b52b3a1-dbcb-41fb-a452-370cf542753f_ActionId">
    <vt:lpwstr>f2e4bbf5-1d2d-4989-872e-0000e1b8c140</vt:lpwstr>
  </property>
  <property fmtid="{D5CDD505-2E9C-101B-9397-08002B2CF9AE}" pid="8" name="MSIP_Label_1b52b3a1-dbcb-41fb-a452-370cf542753f_ContentBits">
    <vt:lpwstr>0</vt:lpwstr>
  </property>
</Properties>
</file>