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rb-my.sharepoint.com/personal/jeff_kessler_arb_ca_gov/Documents/Documents/GitHub/CATS/"/>
    </mc:Choice>
  </mc:AlternateContent>
  <xr:revisionPtr revIDLastSave="10" documentId="8_{50879BB8-F781-4F87-B1B9-5B4CC28B0A87}" xr6:coauthVersionLast="47" xr6:coauthVersionMax="47" xr10:uidLastSave="{F31BECC8-96A4-4F90-952A-F37F4A9D901C}"/>
  <bookViews>
    <workbookView xWindow="-120" yWindow="-120" windowWidth="29040" windowHeight="15840" activeTab="2" xr2:uid="{00000000-000D-0000-FFFF-FFFF00000000}"/>
  </bookViews>
  <sheets>
    <sheet name="Energy Demand" sheetId="1" r:id="rId1"/>
    <sheet name="Defined Supply" sheetId="2" r:id="rId2"/>
    <sheet name="Fuel Production" sheetId="3" r:id="rId3"/>
    <sheet name="Coproducts" sheetId="10" r:id="rId4"/>
    <sheet name="Production Limits" sheetId="4" r:id="rId5"/>
    <sheet name="Feedstock" sheetId="5" r:id="rId6"/>
    <sheet name="LCFS Benchmark" sheetId="11" r:id="rId7"/>
    <sheet name="Credit Type Limits" sheetId="7" r:id="rId8"/>
    <sheet name="Blend Requirements" sheetId="9" r:id="rId9"/>
    <sheet name="Additional Credits" sheetId="8" r:id="rId10"/>
    <sheet name="Sheet1" sheetId="12" r:id="rId11"/>
  </sheets>
  <externalReferences>
    <externalReference r:id="rId12"/>
  </externalReferences>
  <definedNames>
    <definedName name="_xlnm._FilterDatabase" localSheetId="2" hidden="1">'Fuel Production'!$A$1:$X$69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G27" i="1"/>
  <c r="G28" i="1"/>
  <c r="G29" i="1"/>
  <c r="G30" i="1"/>
  <c r="G31" i="1"/>
  <c r="G32" i="1"/>
  <c r="G33" i="1"/>
  <c r="G34" i="1"/>
  <c r="G26" i="1"/>
  <c r="H10" i="3" a="1"/>
  <c r="H10" i="3" s="1"/>
  <c r="I10" i="3" a="1"/>
  <c r="I10" i="3" s="1"/>
  <c r="H11" i="3" a="1"/>
  <c r="H11" i="3" s="1"/>
  <c r="I11" i="3" a="1"/>
  <c r="I11" i="3" s="1"/>
  <c r="H12" i="3" a="1"/>
  <c r="H12" i="3" s="1"/>
  <c r="I12" i="3" a="1"/>
  <c r="I12" i="3" s="1"/>
  <c r="H13" i="3" a="1"/>
  <c r="H13" i="3" s="1"/>
  <c r="I13" i="3" a="1"/>
  <c r="I13" i="3" s="1"/>
  <c r="H14" i="3" a="1"/>
  <c r="H14" i="3" s="1"/>
  <c r="I14" i="3" a="1"/>
  <c r="I14" i="3" s="1"/>
  <c r="H15" i="3" a="1"/>
  <c r="H15" i="3" s="1"/>
  <c r="I15" i="3" a="1"/>
  <c r="I15" i="3" s="1"/>
  <c r="H16" i="3" a="1"/>
  <c r="H16" i="3" s="1"/>
  <c r="I16" i="3" a="1"/>
  <c r="I16" i="3" s="1"/>
  <c r="H17" i="3" a="1"/>
  <c r="H17" i="3" s="1"/>
  <c r="I17" i="3" a="1"/>
  <c r="I17" i="3" s="1"/>
  <c r="H18" i="3" a="1"/>
  <c r="H18" i="3" s="1"/>
  <c r="I18" i="3" a="1"/>
  <c r="I18" i="3" s="1"/>
  <c r="H19" i="3" a="1"/>
  <c r="H19" i="3" s="1"/>
  <c r="I19" i="3" a="1"/>
  <c r="I19" i="3" s="1"/>
  <c r="H20" i="3" a="1"/>
  <c r="H20" i="3" s="1"/>
  <c r="I20" i="3" a="1"/>
  <c r="I20" i="3" s="1"/>
  <c r="H21" i="3" a="1"/>
  <c r="H21" i="3" s="1"/>
  <c r="I21" i="3" a="1"/>
  <c r="I21" i="3" s="1"/>
  <c r="H22" i="3" a="1"/>
  <c r="H22" i="3" s="1"/>
  <c r="I22" i="3" a="1"/>
  <c r="I22" i="3" s="1"/>
  <c r="H23" i="3" a="1"/>
  <c r="H23" i="3" s="1"/>
  <c r="I23" i="3" a="1"/>
  <c r="I23" i="3" s="1"/>
  <c r="H24" i="3" a="1"/>
  <c r="H24" i="3" s="1"/>
  <c r="I24" i="3" a="1"/>
  <c r="I24" i="3" s="1"/>
  <c r="H25" i="3" a="1"/>
  <c r="H25" i="3" s="1"/>
  <c r="I25" i="3" a="1"/>
  <c r="I25" i="3" s="1"/>
  <c r="H26" i="3" a="1"/>
  <c r="H26" i="3" s="1"/>
  <c r="I26" i="3" a="1"/>
  <c r="I26" i="3" s="1"/>
  <c r="H27" i="3" a="1"/>
  <c r="H27" i="3" s="1"/>
  <c r="I27" i="3" a="1"/>
  <c r="I27" i="3" s="1"/>
  <c r="H28" i="3" a="1"/>
  <c r="H28" i="3" s="1"/>
  <c r="I28" i="3" a="1"/>
  <c r="I28" i="3" s="1"/>
  <c r="H29" i="3" a="1"/>
  <c r="H29" i="3" s="1"/>
  <c r="I29" i="3" a="1"/>
  <c r="I29" i="3" s="1"/>
  <c r="H30" i="3" a="1"/>
  <c r="H30" i="3" s="1"/>
  <c r="I30" i="3" a="1"/>
  <c r="I30" i="3" s="1"/>
  <c r="H31" i="3" a="1"/>
  <c r="H31" i="3" s="1"/>
  <c r="I31" i="3" a="1"/>
  <c r="I31" i="3" s="1"/>
  <c r="H32" i="3" a="1"/>
  <c r="H32" i="3" s="1"/>
  <c r="I32" i="3" a="1"/>
  <c r="I32" i="3" s="1"/>
  <c r="H33" i="3" a="1"/>
  <c r="H33" i="3" s="1"/>
  <c r="I33" i="3" a="1"/>
  <c r="I33" i="3" s="1"/>
  <c r="H34" i="3" a="1"/>
  <c r="H34" i="3" s="1"/>
  <c r="I34" i="3" a="1"/>
  <c r="I34" i="3" s="1"/>
  <c r="H35" i="3" a="1"/>
  <c r="H35" i="3" s="1"/>
  <c r="I35" i="3" a="1"/>
  <c r="I35" i="3" s="1"/>
  <c r="H36" i="3" a="1"/>
  <c r="H36" i="3" s="1"/>
  <c r="I36" i="3" a="1"/>
  <c r="I36" i="3" s="1"/>
  <c r="H37" i="3" a="1"/>
  <c r="H37" i="3" s="1"/>
  <c r="I37" i="3" a="1"/>
  <c r="I37" i="3" s="1"/>
  <c r="H38" i="3" a="1"/>
  <c r="H38" i="3" s="1"/>
  <c r="I38" i="3" a="1"/>
  <c r="I38" i="3" s="1"/>
  <c r="H39" i="3" a="1"/>
  <c r="H39" i="3" s="1"/>
  <c r="I39" i="3" a="1"/>
  <c r="I39" i="3" s="1"/>
  <c r="H40" i="3" a="1"/>
  <c r="H40" i="3" s="1"/>
  <c r="I40" i="3" a="1"/>
  <c r="I40" i="3" s="1"/>
  <c r="H41" i="3" a="1"/>
  <c r="H41" i="3" s="1"/>
  <c r="I41" i="3" a="1"/>
  <c r="I41" i="3" s="1"/>
  <c r="H42" i="3" a="1"/>
  <c r="H42" i="3" s="1"/>
  <c r="I42" i="3" a="1"/>
  <c r="I42" i="3" s="1"/>
  <c r="H43" i="3" a="1"/>
  <c r="H43" i="3" s="1"/>
  <c r="I43" i="3" a="1"/>
  <c r="I43" i="3" s="1"/>
  <c r="H44" i="3" a="1"/>
  <c r="H44" i="3" s="1"/>
  <c r="I44" i="3" a="1"/>
  <c r="I44" i="3" s="1"/>
  <c r="H45" i="3" a="1"/>
  <c r="H45" i="3" s="1"/>
  <c r="I45" i="3" a="1"/>
  <c r="I45" i="3" s="1"/>
  <c r="H46" i="3" a="1"/>
  <c r="H46" i="3" s="1"/>
  <c r="I46" i="3" a="1"/>
  <c r="I46" i="3" s="1"/>
  <c r="H47" i="3" a="1"/>
  <c r="H47" i="3" s="1"/>
  <c r="I47" i="3" a="1"/>
  <c r="I47" i="3" s="1"/>
  <c r="H48" i="3" a="1"/>
  <c r="H48" i="3" s="1"/>
  <c r="I48" i="3" a="1"/>
  <c r="I48" i="3" s="1"/>
  <c r="H49" i="3" a="1"/>
  <c r="H49" i="3" s="1"/>
  <c r="I49" i="3" a="1"/>
  <c r="I49" i="3" s="1"/>
  <c r="H50" i="3" a="1"/>
  <c r="H50" i="3" s="1"/>
  <c r="I50" i="3" a="1"/>
  <c r="I50" i="3" s="1"/>
  <c r="H51" i="3" a="1"/>
  <c r="H51" i="3" s="1"/>
  <c r="I51" i="3" a="1"/>
  <c r="I51" i="3" s="1"/>
  <c r="H52" i="3" a="1"/>
  <c r="H52" i="3" s="1"/>
  <c r="I52" i="3" a="1"/>
  <c r="I52" i="3" s="1"/>
  <c r="H53" i="3" a="1"/>
  <c r="H53" i="3" s="1"/>
  <c r="I53" i="3" a="1"/>
  <c r="I53" i="3" s="1"/>
  <c r="H54" i="3" a="1"/>
  <c r="H54" i="3" s="1"/>
  <c r="I54" i="3" a="1"/>
  <c r="I54" i="3" s="1"/>
  <c r="H55" i="3" a="1"/>
  <c r="H55" i="3" s="1"/>
  <c r="I55" i="3" a="1"/>
  <c r="I55" i="3" s="1"/>
  <c r="H56" i="3" a="1"/>
  <c r="H56" i="3" s="1"/>
  <c r="I56" i="3" a="1"/>
  <c r="I56" i="3" s="1"/>
  <c r="H57" i="3" a="1"/>
  <c r="H57" i="3" s="1"/>
  <c r="I57" i="3" a="1"/>
  <c r="I57" i="3" s="1"/>
  <c r="H58" i="3" a="1"/>
  <c r="H58" i="3" s="1"/>
  <c r="I58" i="3" a="1"/>
  <c r="I58" i="3" s="1"/>
  <c r="H59" i="3" a="1"/>
  <c r="H59" i="3" s="1"/>
  <c r="I59" i="3" a="1"/>
  <c r="I59" i="3" s="1"/>
  <c r="H60" i="3" a="1"/>
  <c r="H60" i="3" s="1"/>
  <c r="I60" i="3" a="1"/>
  <c r="I60" i="3" s="1"/>
  <c r="H61" i="3" a="1"/>
  <c r="H61" i="3" s="1"/>
  <c r="I61" i="3" a="1"/>
  <c r="I61" i="3" s="1"/>
  <c r="H62" i="3" a="1"/>
  <c r="H62" i="3" s="1"/>
  <c r="I62" i="3" a="1"/>
  <c r="I62" i="3" s="1"/>
  <c r="H63" i="3" a="1"/>
  <c r="H63" i="3" s="1"/>
  <c r="I63" i="3" a="1"/>
  <c r="I63" i="3" s="1"/>
  <c r="H64" i="3" a="1"/>
  <c r="H64" i="3" s="1"/>
  <c r="I64" i="3" a="1"/>
  <c r="I64" i="3" s="1"/>
  <c r="H65" i="3" a="1"/>
  <c r="H65" i="3" s="1"/>
  <c r="I65" i="3" a="1"/>
  <c r="I65" i="3" s="1"/>
  <c r="H66" i="3" a="1"/>
  <c r="H66" i="3" s="1"/>
  <c r="I66" i="3" a="1"/>
  <c r="I66" i="3" s="1"/>
  <c r="H67" i="3" a="1"/>
  <c r="H67" i="3" s="1"/>
  <c r="I67" i="3" a="1"/>
  <c r="I67" i="3" s="1"/>
  <c r="H68" i="3" a="1"/>
  <c r="H68" i="3" s="1"/>
  <c r="I68" i="3" a="1"/>
  <c r="I68" i="3" s="1"/>
  <c r="H69" i="3" a="1"/>
  <c r="H69" i="3" s="1"/>
  <c r="I69" i="3" a="1"/>
  <c r="I69" i="3" s="1"/>
  <c r="H3" i="3" a="1"/>
  <c r="H3" i="3" s="1"/>
  <c r="I3" i="3" a="1"/>
  <c r="I3" i="3" s="1"/>
  <c r="H4" i="3" a="1"/>
  <c r="H4" i="3" s="1"/>
  <c r="I4" i="3" a="1"/>
  <c r="I4" i="3" s="1"/>
  <c r="H5" i="3" a="1"/>
  <c r="H5" i="3" s="1"/>
  <c r="I5" i="3" a="1"/>
  <c r="I5" i="3" s="1"/>
  <c r="H6" i="3" a="1"/>
  <c r="H6" i="3" s="1"/>
  <c r="I6" i="3" a="1"/>
  <c r="I6" i="3" s="1"/>
  <c r="H7" i="3" a="1"/>
  <c r="H7" i="3" s="1"/>
  <c r="I7" i="3" a="1"/>
  <c r="I7" i="3" s="1"/>
  <c r="H8" i="3" a="1"/>
  <c r="H8" i="3" s="1"/>
  <c r="I8" i="3" a="1"/>
  <c r="I8" i="3" s="1"/>
  <c r="H9" i="3" a="1"/>
  <c r="H9" i="3" s="1"/>
  <c r="I9" i="3" a="1"/>
  <c r="I9" i="3" s="1"/>
  <c r="H2" i="3" a="1"/>
  <c r="H2" i="3" s="1"/>
  <c r="G123" i="1" l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22" i="1"/>
  <c r="F27" i="1" l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6" i="1"/>
  <c r="F82" i="1"/>
  <c r="E195" i="8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19" i="11"/>
  <c r="E107" i="8" l="1"/>
  <c r="C107" i="8" s="1"/>
  <c r="E108" i="8"/>
  <c r="C108" i="8" s="1"/>
  <c r="E109" i="8"/>
  <c r="C109" i="8" s="1"/>
  <c r="E110" i="8"/>
  <c r="C110" i="8" s="1"/>
  <c r="E111" i="8"/>
  <c r="C111" i="8" s="1"/>
  <c r="E112" i="8"/>
  <c r="C112" i="8" s="1"/>
  <c r="E113" i="8"/>
  <c r="C113" i="8" s="1"/>
  <c r="E114" i="8"/>
  <c r="C114" i="8" s="1"/>
  <c r="E115" i="8"/>
  <c r="C115" i="8" s="1"/>
  <c r="E116" i="8"/>
  <c r="C116" i="8" s="1"/>
  <c r="E117" i="8"/>
  <c r="C117" i="8" s="1"/>
  <c r="E118" i="8"/>
  <c r="C118" i="8" s="1"/>
  <c r="E119" i="8"/>
  <c r="C119" i="8" s="1"/>
  <c r="E120" i="8"/>
  <c r="C120" i="8" s="1"/>
  <c r="E121" i="8"/>
  <c r="C121" i="8" s="1"/>
  <c r="E122" i="8"/>
  <c r="C122" i="8" s="1"/>
  <c r="E123" i="8"/>
  <c r="C123" i="8" s="1"/>
  <c r="E124" i="8"/>
  <c r="C124" i="8" s="1"/>
  <c r="E125" i="8"/>
  <c r="C125" i="8" s="1"/>
  <c r="E126" i="8"/>
  <c r="C126" i="8" s="1"/>
  <c r="E127" i="8"/>
  <c r="C127" i="8" s="1"/>
  <c r="E128" i="8"/>
  <c r="C128" i="8" s="1"/>
  <c r="E129" i="8"/>
  <c r="C129" i="8" s="1"/>
  <c r="E130" i="8"/>
  <c r="C130" i="8" s="1"/>
  <c r="E131" i="8"/>
  <c r="C131" i="8" s="1"/>
  <c r="E132" i="8"/>
  <c r="C132" i="8" s="1"/>
  <c r="I144" i="4"/>
  <c r="Q18" i="11"/>
  <c r="Q17" i="11"/>
  <c r="Q16" i="11"/>
  <c r="Q15" i="11"/>
  <c r="Q14" i="11"/>
  <c r="Q13" i="11"/>
  <c r="I137" i="4" l="1"/>
  <c r="J137" i="4" s="1"/>
  <c r="J141" i="4" s="1"/>
  <c r="K141" i="4" s="1"/>
  <c r="I140" i="4"/>
  <c r="J140" i="4" s="1"/>
  <c r="I139" i="4"/>
  <c r="J139" i="4" s="1"/>
  <c r="I138" i="4"/>
  <c r="J138" i="4" s="1"/>
  <c r="C153" i="4"/>
  <c r="C152" i="4"/>
  <c r="C151" i="4"/>
  <c r="F150" i="4"/>
  <c r="G150" i="4" s="1"/>
  <c r="E193" i="8" l="1"/>
  <c r="E194" i="8"/>
  <c r="E196" i="8"/>
  <c r="E197" i="8"/>
  <c r="E192" i="8"/>
  <c r="H25" i="1"/>
  <c r="G25" i="1" a="1"/>
  <c r="G25" i="1" s="1"/>
  <c r="I25" i="1" s="1"/>
  <c r="J25" i="1" s="1"/>
  <c r="H24" i="1"/>
  <c r="G24" i="1" a="1"/>
  <c r="G24" i="1" s="1"/>
  <c r="I24" i="1" s="1"/>
  <c r="H23" i="1"/>
  <c r="G23" i="1" a="1"/>
  <c r="G23" i="1" s="1"/>
  <c r="I23" i="1" s="1"/>
  <c r="H22" i="1"/>
  <c r="G22" i="1" a="1"/>
  <c r="G22" i="1" s="1"/>
  <c r="I22" i="1" s="1"/>
  <c r="H21" i="1"/>
  <c r="G21" i="1" a="1"/>
  <c r="G21" i="1" s="1"/>
  <c r="I21" i="1" s="1"/>
  <c r="H20" i="1"/>
  <c r="G20" i="1" a="1"/>
  <c r="G20" i="1" s="1"/>
  <c r="I20" i="1" s="1"/>
  <c r="H19" i="1"/>
  <c r="G19" i="1" a="1"/>
  <c r="G19" i="1" s="1"/>
  <c r="H18" i="1"/>
  <c r="G18" i="1" a="1"/>
  <c r="G18" i="1" s="1"/>
  <c r="I18" i="1" s="1"/>
  <c r="H17" i="1"/>
  <c r="G17" i="1" a="1"/>
  <c r="G17" i="1" s="1"/>
  <c r="I17" i="1" s="1"/>
  <c r="H16" i="1"/>
  <c r="G16" i="1" a="1"/>
  <c r="G16" i="1" s="1"/>
  <c r="I16" i="1" s="1"/>
  <c r="H15" i="1"/>
  <c r="G15" i="1" a="1"/>
  <c r="G15" i="1" s="1"/>
  <c r="I15" i="1" s="1"/>
  <c r="H14" i="1"/>
  <c r="G14" i="1" a="1"/>
  <c r="G14" i="1" s="1"/>
  <c r="I14" i="1" s="1"/>
  <c r="H13" i="1"/>
  <c r="G13" i="1" a="1"/>
  <c r="G13" i="1" s="1"/>
  <c r="I13" i="1" s="1"/>
  <c r="H12" i="1"/>
  <c r="G12" i="1" a="1"/>
  <c r="G12" i="1" s="1"/>
  <c r="I12" i="1" s="1"/>
  <c r="H11" i="1"/>
  <c r="G11" i="1" a="1"/>
  <c r="G11" i="1" s="1"/>
  <c r="H10" i="1"/>
  <c r="G10" i="1" a="1"/>
  <c r="G10" i="1" s="1"/>
  <c r="I10" i="1" s="1"/>
  <c r="H9" i="1"/>
  <c r="G9" i="1" a="1"/>
  <c r="G9" i="1" s="1"/>
  <c r="I9" i="1" s="1"/>
  <c r="H8" i="1"/>
  <c r="G8" i="1" a="1"/>
  <c r="G8" i="1" s="1"/>
  <c r="I8" i="1" s="1"/>
  <c r="H7" i="1"/>
  <c r="G7" i="1" a="1"/>
  <c r="G7" i="1" s="1"/>
  <c r="I7" i="1" s="1"/>
  <c r="H6" i="1"/>
  <c r="G6" i="1" a="1"/>
  <c r="G6" i="1" s="1"/>
  <c r="I6" i="1" s="1"/>
  <c r="H5" i="1"/>
  <c r="G5" i="1" a="1"/>
  <c r="G5" i="1" s="1"/>
  <c r="I5" i="1" s="1"/>
  <c r="H4" i="1"/>
  <c r="G4" i="1" a="1"/>
  <c r="G4" i="1" s="1"/>
  <c r="I4" i="1" s="1"/>
  <c r="H3" i="1"/>
  <c r="G3" i="1" a="1"/>
  <c r="G3" i="1" s="1"/>
  <c r="I3" i="1" s="1"/>
  <c r="H2" i="1"/>
  <c r="G2" i="1" a="1"/>
  <c r="G2" i="1" s="1"/>
  <c r="I2" i="1" s="1"/>
  <c r="J14" i="1" l="1"/>
  <c r="J7" i="1"/>
  <c r="J3" i="1"/>
  <c r="I19" i="1"/>
  <c r="J19" i="1" s="1"/>
  <c r="J5" i="1"/>
  <c r="J16" i="1"/>
  <c r="J23" i="1"/>
  <c r="J9" i="1"/>
  <c r="J21" i="1"/>
  <c r="I11" i="1"/>
  <c r="J12" i="1" s="1"/>
  <c r="J6" i="1"/>
  <c r="J13" i="1"/>
  <c r="J17" i="1"/>
  <c r="J20" i="1"/>
  <c r="J24" i="1"/>
  <c r="J18" i="1"/>
  <c r="J10" i="1"/>
  <c r="J4" i="1"/>
  <c r="J8" i="1"/>
  <c r="J15" i="1"/>
  <c r="J22" i="1"/>
  <c r="J11" i="1" l="1"/>
  <c r="P13" i="11" l="1"/>
  <c r="P14" i="11" s="1"/>
  <c r="P15" i="11" s="1"/>
  <c r="P16" i="11" s="1"/>
  <c r="P17" i="11" s="1"/>
  <c r="P18" i="11" s="1"/>
  <c r="L6" i="11"/>
  <c r="J6" i="11"/>
  <c r="H6" i="11"/>
  <c r="E16" i="3"/>
  <c r="E15" i="3"/>
  <c r="W69" i="3" l="1"/>
  <c r="W68" i="3"/>
  <c r="E104" i="8"/>
  <c r="C104" i="8" s="1"/>
  <c r="E105" i="8"/>
  <c r="C105" i="8" s="1"/>
  <c r="E106" i="8"/>
  <c r="C106" i="8" s="1"/>
  <c r="W40" i="3" l="1"/>
  <c r="L40" i="3"/>
  <c r="F25" i="7"/>
  <c r="J9" i="7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F3" i="7"/>
  <c r="F4" i="7"/>
  <c r="F2" i="7"/>
  <c r="J5" i="7"/>
  <c r="J6" i="7" s="1"/>
  <c r="F30" i="7" l="1"/>
  <c r="D30" i="7" s="1"/>
  <c r="F26" i="7"/>
  <c r="D26" i="7" s="1"/>
  <c r="F34" i="7"/>
  <c r="D34" i="7" s="1"/>
  <c r="F31" i="7"/>
  <c r="D31" i="7" s="1"/>
  <c r="F35" i="7"/>
  <c r="D35" i="7" s="1"/>
  <c r="F27" i="7"/>
  <c r="D27" i="7" s="1"/>
  <c r="F28" i="7"/>
  <c r="D28" i="7" s="1"/>
  <c r="F32" i="7"/>
  <c r="D32" i="7" s="1"/>
  <c r="F29" i="7"/>
  <c r="D29" i="7" s="1"/>
  <c r="F33" i="7"/>
  <c r="D33" i="7" s="1"/>
  <c r="D4" i="7"/>
  <c r="C4" i="7"/>
  <c r="D3" i="7"/>
  <c r="C3" i="7"/>
  <c r="D25" i="7"/>
  <c r="C25" i="7"/>
  <c r="D2" i="7"/>
  <c r="C2" i="7"/>
  <c r="F24" i="7"/>
  <c r="C134" i="4"/>
  <c r="C3" i="2"/>
  <c r="E23" i="3"/>
  <c r="E22" i="3"/>
  <c r="E5" i="3"/>
  <c r="E4" i="3"/>
  <c r="E3" i="3"/>
  <c r="E2" i="3"/>
  <c r="D80" i="11"/>
  <c r="C175" i="8"/>
  <c r="C174" i="8"/>
  <c r="C173" i="8"/>
  <c r="C172" i="8"/>
  <c r="C171" i="8"/>
  <c r="C170" i="8"/>
  <c r="C169" i="8"/>
  <c r="C168" i="8"/>
  <c r="C167" i="8"/>
  <c r="C166" i="8"/>
  <c r="D24" i="7" l="1"/>
  <c r="C24" i="7"/>
  <c r="D65" i="11" l="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C12" i="2"/>
  <c r="C6" i="2"/>
  <c r="C61" i="4" l="1"/>
  <c r="L39" i="3" l="1"/>
  <c r="W39" i="3"/>
  <c r="W38" i="3"/>
  <c r="L38" i="3"/>
  <c r="W33" i="3" l="1"/>
  <c r="L33" i="3"/>
  <c r="D55" i="11" l="1"/>
  <c r="D56" i="11"/>
  <c r="D57" i="11"/>
  <c r="D58" i="11"/>
  <c r="D59" i="11"/>
  <c r="D60" i="11"/>
  <c r="D61" i="11"/>
  <c r="D62" i="11"/>
  <c r="D63" i="11"/>
  <c r="D64" i="11"/>
  <c r="D54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28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" i="11"/>
  <c r="W27" i="3" l="1"/>
  <c r="C7" i="2"/>
  <c r="C8" i="2" s="1"/>
  <c r="C9" i="2" s="1"/>
  <c r="C10" i="2" s="1"/>
  <c r="C11" i="2" s="1"/>
  <c r="C5" i="2"/>
  <c r="O13" i="11" l="1"/>
  <c r="H7" i="11" s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46" i="1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J7" i="11" l="1"/>
  <c r="L7" i="11" s="1"/>
  <c r="O14" i="11"/>
  <c r="P3" i="1"/>
  <c r="P2" i="1"/>
  <c r="E2" i="1" s="1"/>
  <c r="E24" i="1" l="1"/>
  <c r="J8" i="11"/>
  <c r="L8" i="11" s="1"/>
  <c r="H8" i="11"/>
  <c r="O15" i="11"/>
  <c r="E25" i="1"/>
  <c r="E18" i="1"/>
  <c r="E17" i="1"/>
  <c r="E16" i="1"/>
  <c r="E10" i="1"/>
  <c r="E9" i="1"/>
  <c r="E8" i="1"/>
  <c r="E27" i="1"/>
  <c r="E35" i="1"/>
  <c r="E43" i="1"/>
  <c r="E34" i="1"/>
  <c r="E28" i="1"/>
  <c r="E36" i="1"/>
  <c r="E44" i="1"/>
  <c r="E29" i="1"/>
  <c r="E37" i="1"/>
  <c r="E45" i="1"/>
  <c r="E47" i="1"/>
  <c r="E30" i="1"/>
  <c r="E38" i="1"/>
  <c r="E46" i="1"/>
  <c r="E48" i="1"/>
  <c r="E31" i="1"/>
  <c r="E39" i="1"/>
  <c r="E26" i="1"/>
  <c r="E32" i="1"/>
  <c r="E40" i="1"/>
  <c r="E42" i="1"/>
  <c r="E33" i="1"/>
  <c r="E41" i="1"/>
  <c r="E49" i="1"/>
  <c r="E23" i="1"/>
  <c r="E7" i="1"/>
  <c r="E15" i="1"/>
  <c r="E22" i="1"/>
  <c r="E14" i="1"/>
  <c r="E6" i="1"/>
  <c r="E13" i="1"/>
  <c r="E5" i="1"/>
  <c r="E21" i="1"/>
  <c r="E20" i="1"/>
  <c r="E12" i="1"/>
  <c r="E4" i="1"/>
  <c r="E19" i="1"/>
  <c r="E11" i="1"/>
  <c r="E3" i="1"/>
  <c r="M4" i="7"/>
  <c r="AL2" i="5"/>
  <c r="AF1" i="5"/>
  <c r="AG1" i="5" s="1"/>
  <c r="AH1" i="5" s="1"/>
  <c r="AI1" i="5" s="1"/>
  <c r="AJ1" i="5" s="1"/>
  <c r="AK1" i="5" s="1"/>
  <c r="AL1" i="5" s="1"/>
  <c r="C65" i="4"/>
  <c r="C67" i="4" s="1"/>
  <c r="C69" i="4" s="1"/>
  <c r="C71" i="4" s="1"/>
  <c r="C73" i="4" s="1"/>
  <c r="C75" i="4" s="1"/>
  <c r="C77" i="4" s="1"/>
  <c r="C79" i="4" s="1"/>
  <c r="C81" i="4" s="1"/>
  <c r="C83" i="4" s="1"/>
  <c r="C85" i="4" s="1"/>
  <c r="C87" i="4" s="1"/>
  <c r="C89" i="4" s="1"/>
  <c r="C91" i="4" s="1"/>
  <c r="C93" i="4" s="1"/>
  <c r="C95" i="4" s="1"/>
  <c r="C97" i="4" s="1"/>
  <c r="C99" i="4" s="1"/>
  <c r="C101" i="4" s="1"/>
  <c r="C103" i="4" s="1"/>
  <c r="C105" i="4" s="1"/>
  <c r="C107" i="4" s="1"/>
  <c r="C109" i="4" s="1"/>
  <c r="B65" i="4"/>
  <c r="B67" i="4" s="1"/>
  <c r="B69" i="4" s="1"/>
  <c r="B71" i="4" s="1"/>
  <c r="B73" i="4" s="1"/>
  <c r="B75" i="4" s="1"/>
  <c r="B77" i="4" s="1"/>
  <c r="B79" i="4" s="1"/>
  <c r="B81" i="4" s="1"/>
  <c r="B83" i="4" s="1"/>
  <c r="B85" i="4" s="1"/>
  <c r="B87" i="4" s="1"/>
  <c r="B89" i="4" s="1"/>
  <c r="B91" i="4" s="1"/>
  <c r="B93" i="4" s="1"/>
  <c r="B95" i="4" s="1"/>
  <c r="B97" i="4" s="1"/>
  <c r="B99" i="4" s="1"/>
  <c r="B101" i="4" s="1"/>
  <c r="B103" i="4" s="1"/>
  <c r="B105" i="4" s="1"/>
  <c r="B107" i="4" s="1"/>
  <c r="B109" i="4" s="1"/>
  <c r="A65" i="4"/>
  <c r="A67" i="4" s="1"/>
  <c r="A69" i="4" s="1"/>
  <c r="A71" i="4" s="1"/>
  <c r="A73" i="4" s="1"/>
  <c r="A75" i="4" s="1"/>
  <c r="A77" i="4" s="1"/>
  <c r="A79" i="4" s="1"/>
  <c r="A81" i="4" s="1"/>
  <c r="A83" i="4" s="1"/>
  <c r="A85" i="4" s="1"/>
  <c r="A87" i="4" s="1"/>
  <c r="A89" i="4" s="1"/>
  <c r="A91" i="4" s="1"/>
  <c r="A93" i="4" s="1"/>
  <c r="A95" i="4" s="1"/>
  <c r="A97" i="4" s="1"/>
  <c r="A99" i="4" s="1"/>
  <c r="A101" i="4" s="1"/>
  <c r="A103" i="4" s="1"/>
  <c r="A105" i="4" s="1"/>
  <c r="A107" i="4" s="1"/>
  <c r="A109" i="4" s="1"/>
  <c r="C64" i="4"/>
  <c r="C66" i="4" s="1"/>
  <c r="C68" i="4" s="1"/>
  <c r="C70" i="4" s="1"/>
  <c r="C72" i="4" s="1"/>
  <c r="C74" i="4" s="1"/>
  <c r="C76" i="4" s="1"/>
  <c r="C78" i="4" s="1"/>
  <c r="C80" i="4" s="1"/>
  <c r="C82" i="4" s="1"/>
  <c r="C84" i="4" s="1"/>
  <c r="C86" i="4" s="1"/>
  <c r="C88" i="4" s="1"/>
  <c r="C90" i="4" s="1"/>
  <c r="C92" i="4" s="1"/>
  <c r="C94" i="4" s="1"/>
  <c r="C96" i="4" s="1"/>
  <c r="C98" i="4" s="1"/>
  <c r="C100" i="4" s="1"/>
  <c r="C102" i="4" s="1"/>
  <c r="C104" i="4" s="1"/>
  <c r="C106" i="4" s="1"/>
  <c r="C108" i="4" s="1"/>
  <c r="B64" i="4"/>
  <c r="B66" i="4" s="1"/>
  <c r="B68" i="4" s="1"/>
  <c r="B70" i="4" s="1"/>
  <c r="B72" i="4" s="1"/>
  <c r="B74" i="4" s="1"/>
  <c r="B76" i="4" s="1"/>
  <c r="B78" i="4" s="1"/>
  <c r="B80" i="4" s="1"/>
  <c r="B82" i="4" s="1"/>
  <c r="B84" i="4" s="1"/>
  <c r="B86" i="4" s="1"/>
  <c r="B88" i="4" s="1"/>
  <c r="B90" i="4" s="1"/>
  <c r="B92" i="4" s="1"/>
  <c r="B94" i="4" s="1"/>
  <c r="B96" i="4" s="1"/>
  <c r="B98" i="4" s="1"/>
  <c r="B100" i="4" s="1"/>
  <c r="B102" i="4" s="1"/>
  <c r="B104" i="4" s="1"/>
  <c r="B106" i="4" s="1"/>
  <c r="B108" i="4" s="1"/>
  <c r="A64" i="4"/>
  <c r="A66" i="4" s="1"/>
  <c r="A68" i="4" s="1"/>
  <c r="A70" i="4" s="1"/>
  <c r="A72" i="4" s="1"/>
  <c r="A74" i="4" s="1"/>
  <c r="A76" i="4" s="1"/>
  <c r="A78" i="4" s="1"/>
  <c r="A80" i="4" s="1"/>
  <c r="A82" i="4" s="1"/>
  <c r="A84" i="4" s="1"/>
  <c r="A86" i="4" s="1"/>
  <c r="A88" i="4" s="1"/>
  <c r="A90" i="4" s="1"/>
  <c r="A92" i="4" s="1"/>
  <c r="A94" i="4" s="1"/>
  <c r="A96" i="4" s="1"/>
  <c r="A98" i="4" s="1"/>
  <c r="A100" i="4" s="1"/>
  <c r="A102" i="4" s="1"/>
  <c r="A104" i="4" s="1"/>
  <c r="A106" i="4" s="1"/>
  <c r="A108" i="4" s="1"/>
  <c r="A6" i="4"/>
  <c r="A8" i="4" s="1"/>
  <c r="A10" i="4" s="1"/>
  <c r="A12" i="4" s="1"/>
  <c r="A14" i="4" s="1"/>
  <c r="A16" i="4" s="1"/>
  <c r="A18" i="4" s="1"/>
  <c r="A20" i="4" s="1"/>
  <c r="A22" i="4" s="1"/>
  <c r="A24" i="4" s="1"/>
  <c r="A26" i="4" s="1"/>
  <c r="A28" i="4" s="1"/>
  <c r="A30" i="4" s="1"/>
  <c r="A32" i="4" s="1"/>
  <c r="A34" i="4" s="1"/>
  <c r="A36" i="4" s="1"/>
  <c r="A38" i="4" s="1"/>
  <c r="A40" i="4" s="1"/>
  <c r="A42" i="4" s="1"/>
  <c r="A44" i="4" s="1"/>
  <c r="A46" i="4" s="1"/>
  <c r="A48" i="4" s="1"/>
  <c r="A50" i="4" s="1"/>
  <c r="A52" i="4" s="1"/>
  <c r="A54" i="4" s="1"/>
  <c r="A56" i="4" s="1"/>
  <c r="A58" i="4" s="1"/>
  <c r="A60" i="4" s="1"/>
  <c r="A5" i="4"/>
  <c r="A7" i="4" s="1"/>
  <c r="A9" i="4" s="1"/>
  <c r="A11" i="4" s="1"/>
  <c r="A13" i="4" s="1"/>
  <c r="A15" i="4" s="1"/>
  <c r="A17" i="4" s="1"/>
  <c r="A19" i="4" s="1"/>
  <c r="A21" i="4" s="1"/>
  <c r="A23" i="4" s="1"/>
  <c r="A25" i="4" s="1"/>
  <c r="A27" i="4" s="1"/>
  <c r="A29" i="4" s="1"/>
  <c r="A31" i="4" s="1"/>
  <c r="A33" i="4" s="1"/>
  <c r="A35" i="4" s="1"/>
  <c r="A37" i="4" s="1"/>
  <c r="A39" i="4" s="1"/>
  <c r="A41" i="4" s="1"/>
  <c r="A43" i="4" s="1"/>
  <c r="A45" i="4" s="1"/>
  <c r="A47" i="4" s="1"/>
  <c r="A49" i="4" s="1"/>
  <c r="A51" i="4" s="1"/>
  <c r="A53" i="4" s="1"/>
  <c r="A55" i="4" s="1"/>
  <c r="A57" i="4" s="1"/>
  <c r="A59" i="4" s="1"/>
  <c r="C2" i="4"/>
  <c r="W64" i="3"/>
  <c r="L64" i="3"/>
  <c r="W63" i="3"/>
  <c r="L63" i="3"/>
  <c r="W62" i="3"/>
  <c r="L62" i="3"/>
  <c r="W61" i="3"/>
  <c r="L61" i="3"/>
  <c r="W60" i="3"/>
  <c r="L60" i="3"/>
  <c r="W59" i="3"/>
  <c r="L59" i="3"/>
  <c r="W58" i="3"/>
  <c r="L58" i="3"/>
  <c r="W57" i="3"/>
  <c r="L57" i="3"/>
  <c r="W56" i="3"/>
  <c r="L56" i="3"/>
  <c r="W55" i="3"/>
  <c r="L55" i="3"/>
  <c r="W54" i="3"/>
  <c r="L54" i="3"/>
  <c r="W53" i="3"/>
  <c r="L53" i="3"/>
  <c r="W52" i="3"/>
  <c r="L52" i="3"/>
  <c r="W51" i="3"/>
  <c r="L51" i="3"/>
  <c r="W50" i="3"/>
  <c r="L50" i="3"/>
  <c r="W49" i="3"/>
  <c r="L49" i="3"/>
  <c r="W48" i="3"/>
  <c r="W47" i="3"/>
  <c r="W46" i="3"/>
  <c r="W45" i="3"/>
  <c r="W44" i="3"/>
  <c r="W43" i="3"/>
  <c r="W42" i="3"/>
  <c r="W41" i="3"/>
  <c r="W37" i="3"/>
  <c r="L37" i="3"/>
  <c r="W36" i="3"/>
  <c r="L36" i="3"/>
  <c r="W35" i="3"/>
  <c r="L35" i="3"/>
  <c r="W34" i="3"/>
  <c r="L34" i="3"/>
  <c r="W32" i="3"/>
  <c r="L32" i="3"/>
  <c r="W31" i="3"/>
  <c r="W30" i="3"/>
  <c r="W29" i="3"/>
  <c r="W28" i="3"/>
  <c r="W26" i="3"/>
  <c r="W25" i="3"/>
  <c r="L25" i="3"/>
  <c r="W24" i="3"/>
  <c r="G24" i="3"/>
  <c r="W23" i="3"/>
  <c r="W22" i="3"/>
  <c r="W21" i="3"/>
  <c r="W20" i="3"/>
  <c r="W19" i="3"/>
  <c r="W18" i="3"/>
  <c r="W17" i="3"/>
  <c r="W16" i="3"/>
  <c r="L16" i="3"/>
  <c r="W15" i="3"/>
  <c r="L15" i="3"/>
  <c r="W14" i="3"/>
  <c r="W13" i="3"/>
  <c r="W12" i="3"/>
  <c r="W11" i="3"/>
  <c r="W10" i="3"/>
  <c r="W9" i="3"/>
  <c r="W8" i="3"/>
  <c r="W7" i="3"/>
  <c r="P7" i="3"/>
  <c r="W6" i="3"/>
  <c r="P6" i="3"/>
  <c r="W5" i="3"/>
  <c r="W4" i="3"/>
  <c r="W3" i="3"/>
  <c r="W2" i="3"/>
  <c r="D22" i="9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8" i="9"/>
  <c r="D9" i="9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7" i="9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 s="1"/>
  <c r="H9" i="11" l="1"/>
  <c r="J9" i="11"/>
  <c r="L9" i="11" s="1"/>
  <c r="O16" i="11"/>
  <c r="F5" i="7"/>
  <c r="C5" i="7" l="1"/>
  <c r="D5" i="7"/>
  <c r="J10" i="11"/>
  <c r="L10" i="11" s="1"/>
  <c r="H10" i="11"/>
  <c r="O17" i="11"/>
  <c r="F6" i="7"/>
  <c r="D6" i="7" l="1"/>
  <c r="C6" i="7"/>
  <c r="H11" i="11"/>
  <c r="J11" i="11"/>
  <c r="L11" i="11" s="1"/>
  <c r="P19" i="11"/>
  <c r="O18" i="11"/>
  <c r="F7" i="7"/>
  <c r="D7" i="7" l="1"/>
  <c r="C7" i="7"/>
  <c r="P20" i="11"/>
  <c r="O19" i="11"/>
  <c r="H12" i="11"/>
  <c r="J12" i="11"/>
  <c r="L12" i="11" s="1"/>
  <c r="F8" i="7"/>
  <c r="D8" i="7" l="1"/>
  <c r="C8" i="7"/>
  <c r="J13" i="11"/>
  <c r="L13" i="11" s="1"/>
  <c r="H13" i="11"/>
  <c r="P21" i="11"/>
  <c r="O20" i="11"/>
  <c r="F9" i="7"/>
  <c r="D9" i="7" l="1"/>
  <c r="C9" i="7"/>
  <c r="P22" i="11"/>
  <c r="O21" i="11"/>
  <c r="H14" i="11"/>
  <c r="J14" i="11"/>
  <c r="L14" i="11" s="1"/>
  <c r="F10" i="7"/>
  <c r="D10" i="7" l="1"/>
  <c r="C10" i="7"/>
  <c r="H15" i="11"/>
  <c r="J15" i="11"/>
  <c r="L15" i="11" s="1"/>
  <c r="P23" i="11"/>
  <c r="O22" i="11"/>
  <c r="F11" i="7"/>
  <c r="C11" i="7" l="1"/>
  <c r="D11" i="7"/>
  <c r="H16" i="11"/>
  <c r="J16" i="11"/>
  <c r="L16" i="11" s="1"/>
  <c r="P24" i="11"/>
  <c r="O23" i="11"/>
  <c r="F12" i="7"/>
  <c r="D12" i="7" l="1"/>
  <c r="C12" i="7"/>
  <c r="P25" i="11"/>
  <c r="O24" i="11"/>
  <c r="J17" i="11"/>
  <c r="L17" i="11" s="1"/>
  <c r="H17" i="11"/>
  <c r="F13" i="7"/>
  <c r="C13" i="7" l="1"/>
  <c r="D13" i="7"/>
  <c r="H18" i="11"/>
  <c r="J18" i="11"/>
  <c r="L18" i="11" s="1"/>
  <c r="P26" i="11"/>
  <c r="O25" i="11"/>
  <c r="F14" i="7"/>
  <c r="D14" i="7" l="1"/>
  <c r="C14" i="7"/>
  <c r="J19" i="11"/>
  <c r="L19" i="11" s="1"/>
  <c r="H19" i="11"/>
  <c r="P27" i="11"/>
  <c r="P28" i="11" s="1"/>
  <c r="O28" i="11" s="1"/>
  <c r="O26" i="11"/>
  <c r="F15" i="7"/>
  <c r="D15" i="7" l="1"/>
  <c r="C15" i="7"/>
  <c r="O27" i="11"/>
  <c r="J20" i="11"/>
  <c r="L20" i="11" s="1"/>
  <c r="H20" i="11"/>
  <c r="F16" i="7"/>
  <c r="D16" i="7" l="1"/>
  <c r="C16" i="7"/>
  <c r="J21" i="11"/>
  <c r="L21" i="11" s="1"/>
  <c r="H21" i="11"/>
  <c r="P29" i="11"/>
  <c r="F17" i="7"/>
  <c r="D17" i="7" l="1"/>
  <c r="C17" i="7"/>
  <c r="O29" i="11"/>
  <c r="P30" i="11"/>
  <c r="J22" i="11"/>
  <c r="L22" i="11" s="1"/>
  <c r="H22" i="11"/>
  <c r="F18" i="7"/>
  <c r="D18" i="7" l="1"/>
  <c r="C18" i="7"/>
  <c r="P31" i="11"/>
  <c r="P32" i="11" s="1"/>
  <c r="P33" i="11" s="1"/>
  <c r="O30" i="11"/>
  <c r="J23" i="11"/>
  <c r="L23" i="11" s="1"/>
  <c r="H23" i="11"/>
  <c r="F19" i="7"/>
  <c r="C19" i="7" l="1"/>
  <c r="D19" i="7"/>
  <c r="H24" i="11"/>
  <c r="J24" i="11"/>
  <c r="L24" i="11" s="1"/>
  <c r="O31" i="11"/>
  <c r="F20" i="7"/>
  <c r="D20" i="7" l="1"/>
  <c r="C20" i="7"/>
  <c r="O32" i="11"/>
  <c r="O33" i="11"/>
  <c r="J25" i="11"/>
  <c r="L25" i="11" s="1"/>
  <c r="H25" i="11"/>
  <c r="F21" i="7"/>
  <c r="C21" i="7" l="1"/>
  <c r="D21" i="7"/>
  <c r="J27" i="11"/>
  <c r="L27" i="11" s="1"/>
  <c r="H27" i="11"/>
  <c r="H26" i="11"/>
  <c r="J26" i="11"/>
  <c r="L26" i="11" s="1"/>
  <c r="F22" i="7"/>
  <c r="F23" i="7"/>
  <c r="D22" i="7" l="1"/>
  <c r="C22" i="7"/>
  <c r="D23" i="7"/>
  <c r="C2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<sst xmlns="http://schemas.openxmlformats.org/spreadsheetml/2006/main" count="2144" uniqueCount="224">
  <si>
    <t>Year</t>
  </si>
  <si>
    <t>Fuel Pool</t>
  </si>
  <si>
    <t>Energy</t>
  </si>
  <si>
    <t>Fuel</t>
  </si>
  <si>
    <t>Policy Attribution</t>
  </si>
  <si>
    <t>Feedstock</t>
  </si>
  <si>
    <t>Conversion Cost</t>
  </si>
  <si>
    <t>Units Notes</t>
  </si>
  <si>
    <t>Conversion Yield</t>
  </si>
  <si>
    <t>Conversion Units</t>
  </si>
  <si>
    <t>Carbon Intensity</t>
  </si>
  <si>
    <t>Exogenous Subsidy</t>
  </si>
  <si>
    <t>Subsidy Unit Notes</t>
  </si>
  <si>
    <t>Credit Type</t>
  </si>
  <si>
    <t>LCFS Benchmark</t>
  </si>
  <si>
    <t>Blend Requirement</t>
  </si>
  <si>
    <t>Results Units</t>
  </si>
  <si>
    <t>Results Notes</t>
  </si>
  <si>
    <t>Maximum Volume</t>
  </si>
  <si>
    <t>Maximum YoY Percent Change</t>
  </si>
  <si>
    <t>Units</t>
  </si>
  <si>
    <t>Benchmark</t>
  </si>
  <si>
    <t>Standard</t>
  </si>
  <si>
    <t>Minimum</t>
  </si>
  <si>
    <t>Maximum</t>
  </si>
  <si>
    <t>Quantity</t>
  </si>
  <si>
    <t>Requirement Name</t>
  </si>
  <si>
    <t>Minimum Percent Energy</t>
  </si>
  <si>
    <t>Maximum Percent Energy</t>
  </si>
  <si>
    <t>CNG</t>
  </si>
  <si>
    <t>Diesel</t>
  </si>
  <si>
    <t>Gasoline</t>
  </si>
  <si>
    <t>Renewable Diesel</t>
  </si>
  <si>
    <t>Virgin Oils</t>
  </si>
  <si>
    <t>MJ/ton</t>
  </si>
  <si>
    <t>$/ton</t>
  </si>
  <si>
    <t>$/MJ</t>
  </si>
  <si>
    <t>Waste Oils</t>
  </si>
  <si>
    <t>Biodiesel</t>
  </si>
  <si>
    <t>Renewable Gasoline</t>
  </si>
  <si>
    <t>Natural Gas</t>
  </si>
  <si>
    <t>Oil</t>
  </si>
  <si>
    <t>Ethanol</t>
  </si>
  <si>
    <t>Corn</t>
  </si>
  <si>
    <t>Jet Fuel</t>
  </si>
  <si>
    <t>Electricity</t>
  </si>
  <si>
    <t>LDV-e</t>
  </si>
  <si>
    <t>E85</t>
  </si>
  <si>
    <t>CCS</t>
  </si>
  <si>
    <t>HDV-H2</t>
  </si>
  <si>
    <t>Landfills</t>
  </si>
  <si>
    <t>Alt Jet</t>
  </si>
  <si>
    <t>HDV Hydrogen</t>
  </si>
  <si>
    <t>HDV Hydrogen-CCS</t>
  </si>
  <si>
    <t>Conv. Jet</t>
  </si>
  <si>
    <t>DACCS</t>
  </si>
  <si>
    <t>$/ton sequestered</t>
  </si>
  <si>
    <t>ton/ton</t>
  </si>
  <si>
    <t>Ethanol w. CCS</t>
  </si>
  <si>
    <t>DieselBenchmark</t>
  </si>
  <si>
    <t>GasolineBenchmark</t>
  </si>
  <si>
    <t>JetBenchmark</t>
  </si>
  <si>
    <t>$/MWh</t>
  </si>
  <si>
    <t>MJ/MWh</t>
  </si>
  <si>
    <t>$/barrel</t>
  </si>
  <si>
    <t>$/barrel and barrels</t>
  </si>
  <si>
    <t>$/MMBTU</t>
  </si>
  <si>
    <t>DACCSBenchmark</t>
  </si>
  <si>
    <t>MJ/barrel</t>
  </si>
  <si>
    <t>gCO2e/MJ</t>
  </si>
  <si>
    <t>gCO2e/ton</t>
  </si>
  <si>
    <t>inf</t>
  </si>
  <si>
    <t>$/bushel</t>
  </si>
  <si>
    <t>MJ/bushel</t>
  </si>
  <si>
    <t>EthanolBlend</t>
  </si>
  <si>
    <t>BiodieselBlend</t>
  </si>
  <si>
    <t>Notes</t>
  </si>
  <si>
    <t>10% EtOH By Volume</t>
  </si>
  <si>
    <t>17% Biodiesel by Volume</t>
  </si>
  <si>
    <t>References</t>
  </si>
  <si>
    <t>https://www.ams.usda.gov/mnreports/nw_gr212.txt</t>
  </si>
  <si>
    <t>MJ/MMBTU</t>
  </si>
  <si>
    <t>Default</t>
  </si>
  <si>
    <t>EER</t>
  </si>
  <si>
    <t>From regerssion on spot market prices using EIA Data</t>
  </si>
  <si>
    <t>https://afdc.energy.gov/fuels/prices.html</t>
  </si>
  <si>
    <t>LDV-H2</t>
  </si>
  <si>
    <t>LDV Hydrogen</t>
  </si>
  <si>
    <t>LDV Hydrogen-CCS</t>
  </si>
  <si>
    <t>LDV-e (Dairy Gas)</t>
  </si>
  <si>
    <t>LDV-e (0-CI)</t>
  </si>
  <si>
    <t>LDV-e (grid)</t>
  </si>
  <si>
    <t>Production Multiplier</t>
  </si>
  <si>
    <t>Base Fuel</t>
  </si>
  <si>
    <t>Exceed?</t>
  </si>
  <si>
    <t>Electricity for LDVs</t>
  </si>
  <si>
    <t>Hydrogen for HDV</t>
  </si>
  <si>
    <t>Alternative Jet Fuel</t>
  </si>
  <si>
    <t>Conventional Jet Fuel</t>
  </si>
  <si>
    <t>Air Capture Credits</t>
  </si>
  <si>
    <t>Hydrogen for LDV</t>
  </si>
  <si>
    <t>Results Name</t>
  </si>
  <si>
    <t>Results Multiplier</t>
  </si>
  <si>
    <t>Converts from MJ to MM GGE</t>
  </si>
  <si>
    <t>mm gal</t>
  </si>
  <si>
    <t>mm kg</t>
  </si>
  <si>
    <t>mm DGE</t>
  </si>
  <si>
    <t>MMT</t>
  </si>
  <si>
    <t>1000 MWh</t>
  </si>
  <si>
    <t>ULSD</t>
  </si>
  <si>
    <t>CARBOB</t>
  </si>
  <si>
    <t>Incremental Deficits</t>
  </si>
  <si>
    <t>Fixed Guideway</t>
  </si>
  <si>
    <t>Forklift Credits</t>
  </si>
  <si>
    <t>Other offroad</t>
  </si>
  <si>
    <t>Additional Credits</t>
  </si>
  <si>
    <t>Non-Calculated Credits</t>
  </si>
  <si>
    <t>NA</t>
  </si>
  <si>
    <t>credit/credit</t>
  </si>
  <si>
    <t>$/credit</t>
  </si>
  <si>
    <t>Incremental Deficits. Avg from 2022 LRT</t>
  </si>
  <si>
    <t>Cost is set high so additional credits aren't produced beyond what is automatically added</t>
  </si>
  <si>
    <t>Crop</t>
  </si>
  <si>
    <t>HDV-e</t>
  </si>
  <si>
    <t>HDV-e (Dairy Gas)</t>
  </si>
  <si>
    <t>HDV-e (grid)</t>
  </si>
  <si>
    <t>HDV-e (0-CI)</t>
  </si>
  <si>
    <t>Electricity for HDVs</t>
  </si>
  <si>
    <t>CNG from Dairies</t>
  </si>
  <si>
    <t>Reduction Percent</t>
  </si>
  <si>
    <t>Dairy Gas to RNG</t>
  </si>
  <si>
    <t>Dairy Gas for CNG</t>
  </si>
  <si>
    <t>Landfill CNG</t>
  </si>
  <si>
    <t>Landfill Gas for CNG</t>
  </si>
  <si>
    <t>Dairy Gas to Electricity</t>
  </si>
  <si>
    <t>NG for CNG</t>
  </si>
  <si>
    <t>HDV Hydrogen (0-CI)</t>
  </si>
  <si>
    <t>LDV Hydrogen (0-CI)</t>
  </si>
  <si>
    <t>Limit</t>
  </si>
  <si>
    <t>MJ/gallon</t>
  </si>
  <si>
    <t>2025 CI</t>
  </si>
  <si>
    <t>Assumed CI</t>
  </si>
  <si>
    <t>MM gallons</t>
  </si>
  <si>
    <t>credits</t>
  </si>
  <si>
    <t>Calculated</t>
  </si>
  <si>
    <t>Credit Limits</t>
  </si>
  <si>
    <t>RD</t>
  </si>
  <si>
    <t>Offroad Electricity</t>
  </si>
  <si>
    <t>MJ</t>
  </si>
  <si>
    <t>No Subsidy, because expansion cost is D3 RIN price</t>
  </si>
  <si>
    <t>&gt; from Calculations tab in ICS reference values</t>
  </si>
  <si>
    <t>Jet</t>
  </si>
  <si>
    <t>Gasoline Existing</t>
  </si>
  <si>
    <t>New Jet</t>
  </si>
  <si>
    <t>New Diesel</t>
  </si>
  <si>
    <t>New Gasoline</t>
  </si>
  <si>
    <t>Diesel 2010 Baseline</t>
  </si>
  <si>
    <t>Gasoline 2010 Baseline</t>
  </si>
  <si>
    <t>Jet 2010 Baseline</t>
  </si>
  <si>
    <t>LDV HRI + FCI Credits</t>
  </si>
  <si>
    <t>MHDV HRI + FCI Credits</t>
  </si>
  <si>
    <t>Deficit Gas</t>
  </si>
  <si>
    <t>Deficit Diesel</t>
  </si>
  <si>
    <t>Advanced Credit</t>
  </si>
  <si>
    <t>Advanced Credits</t>
  </si>
  <si>
    <t>Bank Drawdown</t>
  </si>
  <si>
    <t>1.34 billion gallons</t>
  </si>
  <si>
    <t>Dairy</t>
  </si>
  <si>
    <t>CNG from Dairies_Dairy Gas to RNG_30</t>
  </si>
  <si>
    <t>CNG from Dairies_Dairy Gas to RNG_40</t>
  </si>
  <si>
    <t>2021 gallons - 291848538</t>
  </si>
  <si>
    <t>45Q subsidy @ $130/ton</t>
  </si>
  <si>
    <t>RIN price &amp; IRA tax credit (.019+.002)</t>
  </si>
  <si>
    <t>RIN price &amp; IRA tax credit (.019+.005)</t>
  </si>
  <si>
    <t>Assuming CCS @ 50$/ton, RIN subsidy+IRA tax credit (.014+.002)</t>
  </si>
  <si>
    <t>Exceed</t>
  </si>
  <si>
    <t>45V IRA Tax Credit</t>
  </si>
  <si>
    <t>45Y IRA Tax Credit</t>
  </si>
  <si>
    <t>RECs included + 45Y IRA Tax Credit</t>
  </si>
  <si>
    <t>Min 0.5 MJ of Alt Jet produced per 100 MJ of RD</t>
  </si>
  <si>
    <t>why is this in 2025, not 2022 or 2024?</t>
  </si>
  <si>
    <t>Electricity for LDVs (Dairy)</t>
  </si>
  <si>
    <t>Electricity for HDVs (Dairy)</t>
  </si>
  <si>
    <t>Dairy Electric</t>
  </si>
  <si>
    <t>Dairy Electric Assumed CI</t>
  </si>
  <si>
    <t>1 MJ of Rewewable Gasoline per 100 MJ of RD.  Consistent w. what CA has been receiving</t>
  </si>
  <si>
    <t>MJ/kWh</t>
  </si>
  <si>
    <t>Gallons</t>
  </si>
  <si>
    <t>Credit Limit Baseline</t>
  </si>
  <si>
    <t>Add</t>
  </si>
  <si>
    <t>Input</t>
  </si>
  <si>
    <t>Total %</t>
  </si>
  <si>
    <t>5% of deficits</t>
  </si>
  <si>
    <t>2.5% of deficits (HRI)</t>
  </si>
  <si>
    <t>Petroleum Projects</t>
  </si>
  <si>
    <t>metered - assuming half the amount from regression (see column E)</t>
  </si>
  <si>
    <t>Average of 2017-2021</t>
  </si>
  <si>
    <t>LDV Hydrogen (Dairy Gas)</t>
  </si>
  <si>
    <t>HDV Hydrogen (Dairy Gas)</t>
  </si>
  <si>
    <t>allows for growth with non-avoided meth after 2040</t>
  </si>
  <si>
    <t>Add to tech doc</t>
  </si>
  <si>
    <t>based on number of flex fuel vehicles</t>
  </si>
  <si>
    <t xml:space="preserve">Holding 2021 value static (eCHE, eOGV, eTRU 2021) </t>
  </si>
  <si>
    <t xml:space="preserve">Growth using Linear regression of 2019-2021 </t>
  </si>
  <si>
    <t>Half credits available due to metering/assumed drop in overcounting</t>
  </si>
  <si>
    <t>Total Demand/Year</t>
  </si>
  <si>
    <t>EV:Total</t>
  </si>
  <si>
    <t>Change YOY</t>
  </si>
  <si>
    <t>Deficit Jet</t>
  </si>
  <si>
    <t>2024 mm DGE Value</t>
  </si>
  <si>
    <t>Conversion</t>
  </si>
  <si>
    <t>2028 (max pre-2030) value from model results</t>
  </si>
  <si>
    <t>Western area - assumed 40% of total US</t>
  </si>
  <si>
    <t>Highest Production pre-2030</t>
  </si>
  <si>
    <t>2027 Values</t>
  </si>
  <si>
    <t>Conversion to MJ</t>
  </si>
  <si>
    <t>HDV H2</t>
  </si>
  <si>
    <t>Dairy Gas to RNG_30:</t>
  </si>
  <si>
    <t>Dairy Gas to RNG_40</t>
  </si>
  <si>
    <t>DGE</t>
  </si>
  <si>
    <t>MJ/DGE</t>
  </si>
  <si>
    <t>DGE MM</t>
  </si>
  <si>
    <t>Feedstock Min</t>
  </si>
  <si>
    <t>Feedstock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</si>
</sst>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0.0%"/>
    <numFmt numFmtId="166" formatCode="0.000000E+00"/>
    <numFmt numFmtId="167" formatCode="_(* #,##0_);_(* \(#,##0\);_(* &quot;-&quot;??_);_(@_)"/>
    <numFmt numFmtId="168" formatCode="0.000"/>
    <numFmt numFmtId="169" formatCode="0.00000"/>
    <numFmt numFmtId="170" formatCode="0.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MS Shell Dlg 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11" fontId="0" fillId="0" borderId="0" xfId="0" applyNumberFormat="1"/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9" fontId="0" fillId="0" borderId="0" xfId="0" applyNumberFormat="1"/>
    <xf numFmtId="0" fontId="1" fillId="0" borderId="4" xfId="0" applyFont="1" applyFill="1" applyBorder="1" applyAlignment="1">
      <alignment horizontal="center" vertical="top"/>
    </xf>
    <xf numFmtId="1" fontId="0" fillId="0" borderId="0" xfId="0" applyNumberFormat="1"/>
    <xf numFmtId="44" fontId="0" fillId="0" borderId="0" xfId="1" applyFont="1"/>
    <xf numFmtId="164" fontId="0" fillId="0" borderId="0" xfId="1" applyNumberFormat="1" applyFont="1"/>
    <xf numFmtId="8" fontId="0" fillId="0" borderId="0" xfId="0" applyNumberFormat="1"/>
    <xf numFmtId="0" fontId="2" fillId="2" borderId="5" xfId="0" applyFont="1" applyFill="1" applyBorder="1" applyAlignment="1">
      <alignment horizontal="right" vertical="center" wrapText="1"/>
    </xf>
    <xf numFmtId="0" fontId="4" fillId="0" borderId="0" xfId="0" applyFont="1"/>
    <xf numFmtId="0" fontId="1" fillId="0" borderId="4" xfId="0" applyFont="1" applyBorder="1" applyAlignment="1">
      <alignment horizontal="center" vertical="top"/>
    </xf>
    <xf numFmtId="0" fontId="0" fillId="0" borderId="0" xfId="0" quotePrefix="1"/>
    <xf numFmtId="0" fontId="2" fillId="2" borderId="0" xfId="0" applyFont="1" applyFill="1" applyAlignment="1">
      <alignment horizontal="right" vertical="center" wrapText="1"/>
    </xf>
    <xf numFmtId="165" fontId="0" fillId="0" borderId="0" xfId="2" applyNumberFormat="1" applyFont="1"/>
    <xf numFmtId="4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0" fillId="3" borderId="1" xfId="0" applyFill="1" applyBorder="1"/>
    <xf numFmtId="165" fontId="0" fillId="0" borderId="0" xfId="0" applyNumberFormat="1"/>
    <xf numFmtId="0" fontId="6" fillId="0" borderId="0" xfId="0" applyFont="1"/>
    <xf numFmtId="166" fontId="0" fillId="0" borderId="0" xfId="0" applyNumberFormat="1"/>
    <xf numFmtId="0" fontId="4" fillId="4" borderId="1" xfId="0" applyFont="1" applyFill="1" applyBorder="1"/>
    <xf numFmtId="2" fontId="0" fillId="0" borderId="0" xfId="0" applyNumberFormat="1"/>
    <xf numFmtId="2" fontId="0" fillId="5" borderId="0" xfId="0" applyNumberFormat="1" applyFill="1"/>
    <xf numFmtId="2" fontId="0" fillId="0" borderId="0" xfId="0" applyNumberFormat="1" applyFill="1"/>
    <xf numFmtId="0" fontId="0" fillId="5" borderId="0" xfId="0" applyFill="1"/>
    <xf numFmtId="0" fontId="2" fillId="2" borderId="0" xfId="0" applyFont="1" applyFill="1" applyBorder="1" applyAlignment="1">
      <alignment horizontal="left" vertical="center" wrapText="1"/>
    </xf>
    <xf numFmtId="0" fontId="0" fillId="4" borderId="0" xfId="0" applyFill="1"/>
    <xf numFmtId="167" fontId="0" fillId="0" borderId="0" xfId="3" applyNumberFormat="1" applyFont="1"/>
    <xf numFmtId="164" fontId="0" fillId="5" borderId="0" xfId="1" applyNumberFormat="1" applyFont="1" applyFill="1"/>
    <xf numFmtId="9" fontId="0" fillId="5" borderId="0" xfId="0" applyNumberFormat="1" applyFill="1"/>
    <xf numFmtId="10" fontId="0" fillId="0" borderId="0" xfId="2" applyNumberFormat="1" applyFont="1"/>
    <xf numFmtId="168" fontId="0" fillId="0" borderId="0" xfId="0" applyNumberFormat="1"/>
    <xf numFmtId="169" fontId="0" fillId="0" borderId="0" xfId="0" applyNumberFormat="1"/>
    <xf numFmtId="0" fontId="2" fillId="2" borderId="0" xfId="0" applyFont="1" applyFill="1" applyAlignment="1">
      <alignment horizontal="left" vertical="center" wrapText="1"/>
    </xf>
    <xf numFmtId="1" fontId="0" fillId="4" borderId="0" xfId="0" applyNumberFormat="1" applyFill="1"/>
    <xf numFmtId="0" fontId="0" fillId="6" borderId="0" xfId="0" applyFill="1"/>
    <xf numFmtId="2" fontId="0" fillId="4" borderId="0" xfId="0" applyNumberFormat="1" applyFill="1"/>
    <xf numFmtId="170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'Energy Demand'!$J$1</c:f>
              <c:strCache>
                <c:ptCount val="1"/>
                <c:pt idx="0">
                  <c:v>Change YOY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'Energy Demand'!$J$2:$J$25</c:f>
              <c:numCache>
                <c:formatCode>0.000</c:formatCode>
                <c:ptCount val="24"/>
                <c:pt idx="1">
                  <c:v>1.4175611617549483E-3</c:v>
                </c:pt>
                <c:pt idx="2">
                  <c:v>1.9419562818183949E-3</c:v>
                </c:pt>
                <c:pt idx="3">
                  <c:v>2.5228836781860508E-3</c:v>
                </c:pt>
                <c:pt idx="4">
                  <c:v>3.5254549618595893E-3</c:v>
                </c:pt>
                <c:pt idx="5">
                  <c:v>4.6633677545262556E-3</c:v>
                </c:pt>
                <c:pt idx="6">
                  <c:v>5.9057987168138239E-3</c:v>
                </c:pt>
                <c:pt idx="7">
                  <c:v>7.9272460582304576E-3</c:v>
                </c:pt>
                <c:pt idx="8">
                  <c:v>1.0229221176641504E-2</c:v>
                </c:pt>
                <c:pt idx="9">
                  <c:v>1.2940647552892988E-2</c:v>
                </c:pt>
                <c:pt idx="10">
                  <c:v>1.4159452366073272E-2</c:v>
                </c:pt>
                <c:pt idx="11">
                  <c:v>1.6517650738278683E-2</c:v>
                </c:pt>
                <c:pt idx="12">
                  <c:v>1.9358768357780706E-2</c:v>
                </c:pt>
                <c:pt idx="13">
                  <c:v>2.31140428836933E-2</c:v>
                </c:pt>
                <c:pt idx="14">
                  <c:v>2.5564329362921911E-2</c:v>
                </c:pt>
                <c:pt idx="15">
                  <c:v>2.8060252762470705E-2</c:v>
                </c:pt>
                <c:pt idx="16">
                  <c:v>3.0516702530196727E-2</c:v>
                </c:pt>
                <c:pt idx="17">
                  <c:v>3.3175333658218037E-2</c:v>
                </c:pt>
                <c:pt idx="18">
                  <c:v>3.5843520548349772E-2</c:v>
                </c:pt>
                <c:pt idx="19">
                  <c:v>3.7916333797490043E-2</c:v>
                </c:pt>
                <c:pt idx="20">
                  <c:v>3.9774110967719878E-2</c:v>
                </c:pt>
                <c:pt idx="21">
                  <c:v>4.1271529517839134E-2</c:v>
                </c:pt>
                <c:pt idx="22">
                  <c:v>4.2381495903597521E-2</c:v>
                </c:pt>
                <c:pt idx="23">
                  <c:v>6.1265421967385436E-2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55-46C4-924E-5774F5B41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81104"/>
        <c:axId val="127484016"/>
      </c:scatterChart>
      <c:valAx>
        <c:axId val="12748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84016"/>
        <c:crosses val="autoZero"/>
        <c:crossBetween val="midCat"/>
      </c:valAx>
      <c:valAx>
        <c:axId val="1274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8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452120</xdr:colOff>
      <xdr:row>8</xdr:row>
      <xdr:rowOff>100330</xdr:rowOff>
    </xdr:from>
    <xdr:to>
      <xdr:col>17</xdr:col>
      <xdr:colOff>378460</xdr:colOff>
      <xdr:row>23</xdr:row>
      <xdr:rowOff>100330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82E86-B342-0056-9C38-402DE044D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14</xdr:row>
      <xdr:rowOff>171450</xdr:rowOff>
    </xdr:from>
    <xdr:to>
      <xdr:col>17</xdr:col>
      <xdr:colOff>485601</xdr:colOff>
      <xdr:row>18</xdr:row>
      <xdr:rowOff>21734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0">
              <a:extLst>
                <a:ext uri="{FF2B5EF4-FFF2-40B4-BE49-F238E27FC236}">
                  <a16:creationId xmlns:a16="http://schemas.microsoft.com/office/drawing/2014/main" id="{89241CBD-1618-4DAC-B0FD-0A20DD10DF8B}"/>
                </a:ext>
              </a:extLst>
            </xdr:cNvPr>
            <xdr:cNvSpPr txBox="1"/>
          </xdr:nvSpPr>
          <xdr:spPr>
            <a:xfrm>
              <a:off x="7305675" y="2838450"/>
              <a:ext cx="6343476" cy="612284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𝐶𝑟𝑒𝑑𝑖𝑡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𝐷𝑒𝑓𝑖𝑐𝑖𝑡𝐿𝑖𝑚𝑖𝑡</m:t>
                        </m:r>
                        <m:r>
                          <a:rPr lang="en-US" sz="1400" i="0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b>
                        <m:r>
                          <a:rPr lang="en-US" sz="1400" i="0">
                            <a:latin typeface="Cambria Math" panose="02040503050406030204" pitchFamily="18" charset="0"/>
                          </a:rPr>
                          <m:t>20</m:t>
                        </m:r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  <m:r>
                      <a:rPr lang="en-US" sz="14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𝐶𝑟𝑒𝑑𝑖𝑡</m:t>
                        </m:r>
                        <m:r>
                          <a:rPr lang="en-US" sz="140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𝐿𝑖𝑚𝑖𝑡</m:t>
                        </m:r>
                      </m:e>
                      <m:sub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𝐵𝑎𝑠𝑒𝑙𝑖𝑛𝑒</m:t>
                        </m:r>
                      </m:sub>
                    </m:sSub>
                    <m:f>
                      <m:fPr>
                        <m:ctrlPr>
                          <a:rPr lang="en-US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4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𝐶𝐼</m:t>
                                </m:r>
                              </m:e>
                              <m:sub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𝑆𝑡𝑑</m:t>
                                </m:r>
                                <m:r>
                                  <a:rPr lang="en-US" sz="1400" i="0">
                                    <a:latin typeface="Cambria Math" panose="02040503050406030204" pitchFamily="18" charset="0"/>
                                  </a:rPr>
                                  <m:t>,20</m:t>
                                </m:r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  <m:sup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𝑋𝐷</m:t>
                                </m:r>
                              </m:sup>
                            </m:sSubSup>
                            <m:r>
                              <a:rPr lang="en-US" sz="14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en-US" sz="14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𝐶𝐼</m:t>
                                </m:r>
                              </m:e>
                              <m:sub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𝐿𝑖𝑚𝑖𝑡𝑒𝑑𝐹𝑢𝑒𝑙</m:t>
                                </m:r>
                              </m:sub>
                              <m:sup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𝑋𝐷</m:t>
                                </m:r>
                              </m:sup>
                            </m:sSubSup>
                          </m:e>
                        </m:d>
                      </m:num>
                      <m:den>
                        <m:d>
                          <m:dPr>
                            <m:ctrlPr>
                              <a:rPr lang="en-US" sz="1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4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𝐶𝐼</m:t>
                                </m:r>
                              </m:e>
                              <m:sub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𝐵𝑎𝑠𝑙𝑖𝑛𝑒</m:t>
                                </m:r>
                              </m:sub>
                              <m:sup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𝑋𝐷</m:t>
                                </m:r>
                              </m:sup>
                            </m:sSubSup>
                            <m:r>
                              <a:rPr lang="en-US" sz="14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en-US" sz="14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𝐶𝐼</m:t>
                                </m:r>
                              </m:e>
                              <m:sub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𝐿𝑖𝑚𝑖𝑡𝑒𝑑𝐹𝑢𝑒𝑙</m:t>
                                </m:r>
                              </m:sub>
                              <m:sup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𝑋𝐷</m:t>
                                </m:r>
                              </m:sup>
                            </m:sSubSup>
                          </m:e>
                        </m:d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0">
              <a:extLst>
                <a:ext uri="{FF2B5EF4-FFF2-40B4-BE49-F238E27FC236}">
                  <a16:creationId xmlns:a16="http://schemas.microsoft.com/office/drawing/2014/main" id="{89241CBD-1618-4DAC-B0FD-0A20DD10DF8B}"/>
                </a:ext>
              </a:extLst>
            </xdr:cNvPr>
            <xdr:cNvSpPr txBox="1"/>
          </xdr:nvSpPr>
          <xdr:spPr>
            <a:xfrm>
              <a:off x="7305675" y="2838450"/>
              <a:ext cx="6343476" cy="612284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𝐶𝑟𝑒𝑑𝑖𝑡/𝐷𝑒𝑓𝑖𝑐𝑖𝑡𝐿𝑖𝑚𝑖𝑡</a:t>
              </a:r>
              <a:r>
                <a:rPr lang="en-US" sz="1400" i="0">
                  <a:latin typeface="Cambria Math" panose="02040503050406030204" pitchFamily="18" charset="0"/>
                </a:rPr>
                <a:t> 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400" i="0">
                  <a:latin typeface="Cambria Math" panose="02040503050406030204" pitchFamily="18" charset="0"/>
                </a:rPr>
                <a:t>20𝑥𝑥=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400" i="0">
                  <a:latin typeface="Cambria Math" panose="02040503050406030204" pitchFamily="18" charset="0"/>
                </a:rPr>
                <a:t>𝐶𝑟𝑒𝑑𝑖𝑡 𝐿𝑖𝑚𝑖𝑡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400" i="0">
                  <a:latin typeface="Cambria Math" panose="02040503050406030204" pitchFamily="18" charset="0"/>
                </a:rPr>
                <a:t>𝐵𝑎𝑠𝑒𝑙𝑖𝑛𝑒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 ((〖</a:t>
              </a:r>
              <a:r>
                <a:rPr lang="en-US" sz="1400" i="0">
                  <a:latin typeface="Cambria Math" panose="02040503050406030204" pitchFamily="18" charset="0"/>
                </a:rPr>
                <a:t>𝐶𝐼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lang="en-US" sz="1400" i="0">
                  <a:latin typeface="Cambria Math" panose="02040503050406030204" pitchFamily="18" charset="0"/>
                </a:rPr>
                <a:t>𝑆𝑡𝑑,20𝑥𝑥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</a:t>
              </a:r>
              <a:r>
                <a:rPr lang="en-US" sz="1400" i="0">
                  <a:latin typeface="Cambria Math" panose="02040503050406030204" pitchFamily="18" charset="0"/>
                </a:rPr>
                <a:t>𝑋𝐷−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400" i="0">
                  <a:latin typeface="Cambria Math" panose="02040503050406030204" pitchFamily="18" charset="0"/>
                </a:rPr>
                <a:t>𝐶𝐼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400" i="0">
                  <a:latin typeface="Cambria Math" panose="02040503050406030204" pitchFamily="18" charset="0"/>
                </a:rPr>
                <a:t>𝐿𝑖𝑚𝑖𝑡𝑒𝑑𝐹𝑢𝑒𝑙^𝑋𝐷 )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)/((〖</a:t>
              </a:r>
              <a:r>
                <a:rPr lang="en-US" sz="1400" i="0">
                  <a:latin typeface="Cambria Math" panose="02040503050406030204" pitchFamily="18" charset="0"/>
                </a:rPr>
                <a:t>𝐶𝐼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400" i="0">
                  <a:latin typeface="Cambria Math" panose="02040503050406030204" pitchFamily="18" charset="0"/>
                </a:rPr>
                <a:t>𝐵𝑎𝑠𝑙𝑖𝑛𝑒^𝑋𝐷−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400" i="0">
                  <a:latin typeface="Cambria Math" panose="02040503050406030204" pitchFamily="18" charset="0"/>
                </a:rPr>
                <a:t>𝐶𝐼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400" i="0">
                  <a:latin typeface="Cambria Math" panose="02040503050406030204" pitchFamily="18" charset="0"/>
                </a:rPr>
                <a:t>𝐿𝑖𝑚𝑖𝑡𝑒𝑑𝐹𝑢𝑒𝑙^𝑋𝐷 ) </a:t>
              </a:r>
              <a:r>
                <a:rPr lang="en-US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n-US" sz="1400"/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CFS/202X%20LCFS%20Rulemaking/Target%20Setting/Preliminary%20Illustrative%20Scenarios/Proposed%20Scenario/scenarios/Alt1/scenario_inputs_Al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Demand"/>
      <sheetName val="Defined Supply"/>
      <sheetName val="Fuel Production"/>
      <sheetName val="Coproducts"/>
      <sheetName val="Production Limits"/>
      <sheetName val="Feedstock"/>
      <sheetName val="LCFS Benchmark"/>
      <sheetName val="Credit Type Limits"/>
      <sheetName val="Blend Requirements"/>
      <sheetName val="Additional Credits"/>
    </sheetNames>
    <sheetDataSet>
      <sheetData sheetId="0" refreshError="1"/>
      <sheetData sheetId="1" refreshError="1"/>
      <sheetData sheetId="2">
        <row r="6">
          <cell r="G6">
            <v>1055</v>
          </cell>
        </row>
        <row r="20">
          <cell r="G20">
            <v>865.1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06"/>
  <sheetViews>
    <sheetView topLeftCell="A5" zoomScale="85" zoomScaleNormal="85" workbookViewId="0">
      <selection activeCell="G48" sqref="G48"/>
    </sheetView>
  </sheetViews>
  <sheetFormatPr defaultRowHeight="15" x14ac:dyDescent="0.25"/>
  <cols>
    <col min="4" max="4" width="12.85546875" customWidth="1"/>
    <col min="6" max="6" width="12.28515625" bestFit="1" customWidth="1"/>
    <col min="7" max="7" width="11.28515625" bestFit="1" customWidth="1"/>
    <col min="9" max="9" width="12.5703125" bestFit="1" customWidth="1"/>
    <col min="11" max="11" width="10.85546875" bestFit="1" customWidth="1"/>
    <col min="12" max="12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5" t="s">
        <v>94</v>
      </c>
      <c r="E1" s="15" t="s">
        <v>76</v>
      </c>
      <c r="H1" s="43" t="s">
        <v>205</v>
      </c>
      <c r="I1" s="43" t="s">
        <v>206</v>
      </c>
      <c r="J1" s="43" t="s">
        <v>207</v>
      </c>
      <c r="O1">
        <v>2019</v>
      </c>
    </row>
    <row r="2" spans="1:17" x14ac:dyDescent="0.25">
      <c r="A2" s="2">
        <v>2022</v>
      </c>
      <c r="B2" s="3" t="s">
        <v>31</v>
      </c>
      <c r="C2" s="2">
        <v>1633964216955.0972</v>
      </c>
      <c r="D2" s="17" t="b">
        <v>0</v>
      </c>
      <c r="E2">
        <f>(C2+C50*3.4+C98*2.5-$P$2)/$P$2</f>
        <v>-7.3986481800534382E-2</v>
      </c>
      <c r="G2" cm="1">
        <f t="array" ref="G2">SUM(SUMIFS(C:C,A:A,A2,B:B,{"LDV-e","HDV-e","LDV-H2","HDV-H2"}))</f>
        <v>16413395712.08456</v>
      </c>
      <c r="H2">
        <f>SUMIF(A:A,A2,C:C)</f>
        <v>2246173828792.686</v>
      </c>
      <c r="I2" s="26">
        <f>G2/H2</f>
        <v>7.3072686991935655E-3</v>
      </c>
      <c r="J2" s="26"/>
      <c r="N2" t="s">
        <v>31</v>
      </c>
      <c r="O2">
        <v>15500</v>
      </c>
      <c r="P2">
        <f>O2*115.83*1000000</f>
        <v>1795365000000</v>
      </c>
      <c r="Q2" t="s">
        <v>150</v>
      </c>
    </row>
    <row r="3" spans="1:17" x14ac:dyDescent="0.25">
      <c r="A3" s="2">
        <v>2023</v>
      </c>
      <c r="B3" s="3" t="s">
        <v>31</v>
      </c>
      <c r="C3" s="2">
        <v>1601070987026.4329</v>
      </c>
      <c r="D3" s="17" t="b">
        <v>0</v>
      </c>
      <c r="E3">
        <f t="shared" ref="E3:E25" si="0">(C3+C51*3.4+C99*2.5-$P$2)/$P$2</f>
        <v>-8.7386259358238627E-2</v>
      </c>
      <c r="G3" cm="1">
        <f t="array" ref="G3">SUM(SUMIFS(C:C,A:A,A3,B:B,{"LDV-e","HDV-e","LDV-H2","HDV-H2"}))</f>
        <v>19355944851.10746</v>
      </c>
      <c r="H3">
        <f t="shared" ref="H3:H25" si="1">SUMIF(A:A,A3,C:C)</f>
        <v>2218489662215.9683</v>
      </c>
      <c r="I3" s="26">
        <f t="shared" ref="I3:I25" si="2">G3/H3</f>
        <v>8.7248298609485138E-3</v>
      </c>
      <c r="J3" s="36">
        <f>I3-I2</f>
        <v>1.4175611617549483E-3</v>
      </c>
      <c r="N3" t="s">
        <v>30</v>
      </c>
      <c r="O3">
        <v>3950</v>
      </c>
      <c r="P3">
        <f>O3*134.47*1000000</f>
        <v>531156500000</v>
      </c>
      <c r="Q3" t="s">
        <v>150</v>
      </c>
    </row>
    <row r="4" spans="1:17" x14ac:dyDescent="0.25">
      <c r="A4" s="2">
        <v>2024</v>
      </c>
      <c r="B4" s="3" t="s">
        <v>31</v>
      </c>
      <c r="C4" s="2">
        <v>1565148667944.7292</v>
      </c>
      <c r="D4" s="17" t="b">
        <v>0</v>
      </c>
      <c r="E4">
        <f t="shared" si="0"/>
        <v>-0.10130988294267937</v>
      </c>
      <c r="G4" cm="1">
        <f t="array" ref="G4">SUM(SUMIFS(C:C,A:A,A4,B:B,{"LDV-e","HDV-e","LDV-H2","HDV-H2"}))</f>
        <v>23314132263.151604</v>
      </c>
      <c r="H4">
        <f t="shared" si="1"/>
        <v>2185675418172.7729</v>
      </c>
      <c r="I4" s="26">
        <f t="shared" si="2"/>
        <v>1.0666786142766909E-2</v>
      </c>
      <c r="J4" s="36">
        <f t="shared" ref="J4:J10" si="3">I4-I3</f>
        <v>1.9419562818183949E-3</v>
      </c>
    </row>
    <row r="5" spans="1:17" x14ac:dyDescent="0.25">
      <c r="A5" s="2">
        <v>2025</v>
      </c>
      <c r="B5" s="3" t="s">
        <v>31</v>
      </c>
      <c r="C5" s="2">
        <v>1528384003876.4238</v>
      </c>
      <c r="D5" s="17" t="b">
        <v>0</v>
      </c>
      <c r="E5">
        <f t="shared" si="0"/>
        <v>-0.11446013077635402</v>
      </c>
      <c r="G5" cm="1">
        <f t="array" ref="G5">SUM(SUMIFS(C:C,A:A,A5,B:B,{"LDV-e","HDV-e","LDV-H2","HDV-H2"}))</f>
        <v>28375270757.805641</v>
      </c>
      <c r="H5">
        <f t="shared" si="1"/>
        <v>2151325328305.7175</v>
      </c>
      <c r="I5" s="26">
        <f t="shared" si="2"/>
        <v>1.3189669820952959E-2</v>
      </c>
      <c r="J5" s="36">
        <f t="shared" si="3"/>
        <v>2.5228836781860508E-3</v>
      </c>
      <c r="N5" t="s">
        <v>147</v>
      </c>
      <c r="O5" s="23">
        <v>7976542834.2600002</v>
      </c>
      <c r="P5" t="s">
        <v>148</v>
      </c>
    </row>
    <row r="6" spans="1:17" x14ac:dyDescent="0.25">
      <c r="A6" s="2">
        <v>2026</v>
      </c>
      <c r="B6" s="3" t="s">
        <v>31</v>
      </c>
      <c r="C6" s="2">
        <v>1487299546846.9709</v>
      </c>
      <c r="D6" s="17" t="b">
        <v>0</v>
      </c>
      <c r="E6">
        <f t="shared" si="0"/>
        <v>-0.12771313819785166</v>
      </c>
      <c r="G6" cm="1">
        <f t="array" ref="G6">SUM(SUMIFS(C:C,A:A,A6,B:B,{"LDV-e","HDV-e","LDV-H2","HDV-H2"}))</f>
        <v>35293753800.897369</v>
      </c>
      <c r="H6">
        <f t="shared" si="1"/>
        <v>2111486109705.1714</v>
      </c>
      <c r="I6" s="26">
        <f t="shared" si="2"/>
        <v>1.6715124782812549E-2</v>
      </c>
      <c r="J6" s="36">
        <f t="shared" si="3"/>
        <v>3.5254549618595893E-3</v>
      </c>
    </row>
    <row r="7" spans="1:17" x14ac:dyDescent="0.25">
      <c r="A7" s="2">
        <v>2027</v>
      </c>
      <c r="B7" s="3" t="s">
        <v>31</v>
      </c>
      <c r="C7" s="2">
        <v>1444593251894.7053</v>
      </c>
      <c r="D7" s="17" t="b">
        <v>0</v>
      </c>
      <c r="E7">
        <f t="shared" si="0"/>
        <v>-0.13955714243224779</v>
      </c>
      <c r="G7" cm="1">
        <f t="array" ref="G7">SUM(SUMIFS(C:C,A:A,A7,B:B,{"LDV-e","HDV-e","LDV-H2","HDV-H2"}))</f>
        <v>44259711684.572182</v>
      </c>
      <c r="H7">
        <f t="shared" si="1"/>
        <v>2070291514112.6052</v>
      </c>
      <c r="I7" s="26">
        <f t="shared" si="2"/>
        <v>2.1378492537338804E-2</v>
      </c>
      <c r="J7" s="36">
        <f t="shared" si="3"/>
        <v>4.6633677545262556E-3</v>
      </c>
    </row>
    <row r="8" spans="1:17" x14ac:dyDescent="0.25">
      <c r="A8" s="2">
        <v>2028</v>
      </c>
      <c r="B8" s="3" t="s">
        <v>31</v>
      </c>
      <c r="C8" s="2">
        <v>1398952193371.5366</v>
      </c>
      <c r="D8" s="17" t="b">
        <v>0</v>
      </c>
      <c r="E8">
        <f t="shared" si="0"/>
        <v>-0.15051217512971227</v>
      </c>
      <c r="G8" cm="1">
        <f t="array" ref="G8">SUM(SUMIFS(C:C,A:A,A8,B:B,{"LDV-e","HDV-e","LDV-H2","HDV-H2"}))</f>
        <v>55284057011.489937</v>
      </c>
      <c r="H8">
        <f t="shared" si="1"/>
        <v>2026222946255.7795</v>
      </c>
      <c r="I8" s="26">
        <f t="shared" si="2"/>
        <v>2.7284291254152628E-2</v>
      </c>
      <c r="J8" s="36">
        <f t="shared" si="3"/>
        <v>5.9057987168138239E-3</v>
      </c>
    </row>
    <row r="9" spans="1:17" x14ac:dyDescent="0.25">
      <c r="A9" s="2">
        <v>2029</v>
      </c>
      <c r="B9" s="3" t="s">
        <v>31</v>
      </c>
      <c r="C9" s="2">
        <v>1347608249759.2622</v>
      </c>
      <c r="D9" s="17" t="b">
        <v>0</v>
      </c>
      <c r="E9">
        <f t="shared" si="0"/>
        <v>-0.15991192257621237</v>
      </c>
      <c r="G9" cm="1">
        <f t="array" ref="G9">SUM(SUMIFS(C:C,A:A,A9,B:B,{"LDV-e","HDV-e","LDV-H2","HDV-H2"}))</f>
        <v>69697829084.118073</v>
      </c>
      <c r="H9">
        <f t="shared" si="1"/>
        <v>1979403184410.4392</v>
      </c>
      <c r="I9" s="26">
        <f t="shared" si="2"/>
        <v>3.5211537312383086E-2</v>
      </c>
      <c r="J9" s="36">
        <f t="shared" si="3"/>
        <v>7.9272460582304576E-3</v>
      </c>
    </row>
    <row r="10" spans="1:17" x14ac:dyDescent="0.25">
      <c r="A10" s="2">
        <v>2030</v>
      </c>
      <c r="B10" s="3" t="s">
        <v>31</v>
      </c>
      <c r="C10" s="2">
        <v>1290144991927.7671</v>
      </c>
      <c r="D10" s="17" t="b">
        <v>0</v>
      </c>
      <c r="E10">
        <f t="shared" si="0"/>
        <v>-0.16768389509493076</v>
      </c>
      <c r="G10" cm="1">
        <f t="array" ref="G10">SUM(SUMIFS(C:C,A:A,A10,B:B,{"LDV-e","HDV-e","LDV-H2","HDV-H2"}))</f>
        <v>87660992760.116592</v>
      </c>
      <c r="H10">
        <f t="shared" si="1"/>
        <v>1929126970477.1665</v>
      </c>
      <c r="I10" s="26">
        <f>G10/H10</f>
        <v>4.5440758489024589E-2</v>
      </c>
      <c r="J10" s="36">
        <f t="shared" si="3"/>
        <v>1.0229221176641504E-2</v>
      </c>
    </row>
    <row r="11" spans="1:17" x14ac:dyDescent="0.25">
      <c r="A11" s="2">
        <v>2031</v>
      </c>
      <c r="B11" s="3" t="s">
        <v>31</v>
      </c>
      <c r="C11" s="2">
        <v>1227193808326.54</v>
      </c>
      <c r="D11" s="17" t="b">
        <v>0</v>
      </c>
      <c r="E11">
        <f t="shared" si="0"/>
        <v>-0.17371602963500535</v>
      </c>
      <c r="G11" cm="1">
        <f t="array" ref="G11">SUM(SUMIFS(C:C,A:A,A11,B:B,{"LDV-e","HDV-e","LDV-H2","HDV-H2"}))</f>
        <v>109700345458.88196</v>
      </c>
      <c r="H11">
        <f t="shared" si="1"/>
        <v>1879028836340.7627</v>
      </c>
      <c r="I11" s="26">
        <f t="shared" si="2"/>
        <v>5.8381406041917577E-2</v>
      </c>
      <c r="J11" s="36">
        <f>I11-I10</f>
        <v>1.2940647552892988E-2</v>
      </c>
    </row>
    <row r="12" spans="1:17" x14ac:dyDescent="0.25">
      <c r="A12" s="2">
        <v>2032</v>
      </c>
      <c r="B12" s="3" t="s">
        <v>31</v>
      </c>
      <c r="C12" s="2">
        <v>1162417061991.198</v>
      </c>
      <c r="D12" s="17" t="b">
        <v>0</v>
      </c>
      <c r="E12">
        <f t="shared" si="0"/>
        <v>-0.18066987929160686</v>
      </c>
      <c r="G12" cm="1">
        <f t="array" ref="G12">SUM(SUMIFS(C:C,A:A,A12,B:B,{"LDV-e","HDV-e","LDV-H2","HDV-H2"}))</f>
        <v>132558046521.47974</v>
      </c>
      <c r="H12">
        <f t="shared" si="1"/>
        <v>1827357015489.5989</v>
      </c>
      <c r="I12" s="26">
        <f t="shared" si="2"/>
        <v>7.2540858407990849E-2</v>
      </c>
      <c r="J12" s="36">
        <f t="shared" ref="J12:J25" si="4">I12-I11</f>
        <v>1.4159452366073272E-2</v>
      </c>
    </row>
    <row r="13" spans="1:17" x14ac:dyDescent="0.25">
      <c r="A13" s="2">
        <v>2033</v>
      </c>
      <c r="B13" s="3" t="s">
        <v>31</v>
      </c>
      <c r="C13" s="2">
        <v>1091786425906.682</v>
      </c>
      <c r="D13" s="17" t="b">
        <v>0</v>
      </c>
      <c r="E13">
        <f t="shared" si="0"/>
        <v>-0.18846573271932116</v>
      </c>
      <c r="G13" cm="1">
        <f t="array" ref="G13">SUM(SUMIFS(C:C,A:A,A13,B:B,{"LDV-e","HDV-e","LDV-H2","HDV-H2"}))</f>
        <v>157687154428.47668</v>
      </c>
      <c r="H13">
        <f t="shared" si="1"/>
        <v>1770601775620.2451</v>
      </c>
      <c r="I13" s="26">
        <f t="shared" si="2"/>
        <v>8.9058509146269532E-2</v>
      </c>
      <c r="J13" s="36">
        <f t="shared" si="4"/>
        <v>1.6517650738278683E-2</v>
      </c>
      <c r="M13" s="24"/>
    </row>
    <row r="14" spans="1:17" x14ac:dyDescent="0.25">
      <c r="A14" s="2">
        <v>2034</v>
      </c>
      <c r="B14" s="3" t="s">
        <v>31</v>
      </c>
      <c r="C14" s="2">
        <v>1014987076079.493</v>
      </c>
      <c r="D14" s="17" t="b">
        <v>0</v>
      </c>
      <c r="E14">
        <f t="shared" si="0"/>
        <v>-0.19742618093143774</v>
      </c>
      <c r="G14" cm="1">
        <f t="array" ref="G14">SUM(SUMIFS(C:C,A:A,A14,B:B,{"LDV-e","HDV-e","LDV-H2","HDV-H2"}))</f>
        <v>185227860712.89429</v>
      </c>
      <c r="H14">
        <f t="shared" si="1"/>
        <v>1708471795060.2898</v>
      </c>
      <c r="I14" s="26">
        <f t="shared" si="2"/>
        <v>0.10841727750405024</v>
      </c>
      <c r="J14" s="36">
        <f t="shared" si="4"/>
        <v>1.9358768357780706E-2</v>
      </c>
    </row>
    <row r="15" spans="1:17" x14ac:dyDescent="0.25">
      <c r="A15" s="2">
        <v>2035</v>
      </c>
      <c r="B15" s="3" t="s">
        <v>31</v>
      </c>
      <c r="C15" s="2">
        <v>931802081545.3634</v>
      </c>
      <c r="D15" s="17" t="b">
        <v>0</v>
      </c>
      <c r="E15">
        <f t="shared" si="0"/>
        <v>-0.20771720670559971</v>
      </c>
      <c r="G15" cm="1">
        <f t="array" ref="G15">SUM(SUMIFS(C:C,A:A,A15,B:B,{"LDV-e","HDV-e","LDV-H2","HDV-H2"}))</f>
        <v>215741084333.51602</v>
      </c>
      <c r="H15">
        <f t="shared" si="1"/>
        <v>1640225945406.2273</v>
      </c>
      <c r="I15" s="26">
        <f t="shared" si="2"/>
        <v>0.13153132038774354</v>
      </c>
      <c r="J15" s="36">
        <f t="shared" si="4"/>
        <v>2.31140428836933E-2</v>
      </c>
    </row>
    <row r="16" spans="1:17" x14ac:dyDescent="0.25">
      <c r="A16" s="2">
        <v>2036</v>
      </c>
      <c r="B16" s="3" t="s">
        <v>31</v>
      </c>
      <c r="C16" s="2">
        <v>850735131975.17969</v>
      </c>
      <c r="D16" s="17" t="b">
        <v>0</v>
      </c>
      <c r="E16">
        <f t="shared" si="0"/>
        <v>-0.2173625248439916</v>
      </c>
      <c r="G16" cm="1">
        <f t="array" ref="G16">SUM(SUMIFS(C:C,A:A,A16,B:B,{"LDV-e","HDV-e","LDV-H2","HDV-H2"}))</f>
        <v>246982174220.37292</v>
      </c>
      <c r="H16">
        <f t="shared" si="1"/>
        <v>1572177043809.749</v>
      </c>
      <c r="I16" s="26">
        <f t="shared" si="2"/>
        <v>0.15709564975066545</v>
      </c>
      <c r="J16" s="36">
        <f t="shared" si="4"/>
        <v>2.5564329362921911E-2</v>
      </c>
    </row>
    <row r="17" spans="1:10" x14ac:dyDescent="0.25">
      <c r="A17" s="2">
        <v>2037</v>
      </c>
      <c r="B17" s="3" t="s">
        <v>31</v>
      </c>
      <c r="C17" s="2">
        <v>772448193545.81067</v>
      </c>
      <c r="D17" s="17" t="b">
        <v>0</v>
      </c>
      <c r="E17">
        <f t="shared" si="0"/>
        <v>-0.22603785008634281</v>
      </c>
      <c r="G17" cm="1">
        <f t="array" ref="G17">SUM(SUMIFS(C:C,A:A,A17,B:B,{"LDV-e","HDV-e","LDV-H2","HDV-H2"}))</f>
        <v>278912303958.1283</v>
      </c>
      <c r="H17">
        <f t="shared" si="1"/>
        <v>1506364637434.8799</v>
      </c>
      <c r="I17" s="26">
        <f t="shared" si="2"/>
        <v>0.18515590251313616</v>
      </c>
      <c r="J17" s="36">
        <f t="shared" si="4"/>
        <v>2.8060252762470705E-2</v>
      </c>
    </row>
    <row r="18" spans="1:10" x14ac:dyDescent="0.25">
      <c r="A18" s="2">
        <v>2038</v>
      </c>
      <c r="B18" s="3" t="s">
        <v>31</v>
      </c>
      <c r="C18" s="2">
        <v>697260161705.66638</v>
      </c>
      <c r="D18" s="17" t="b">
        <v>0</v>
      </c>
      <c r="E18">
        <f t="shared" si="0"/>
        <v>-0.23384576038621649</v>
      </c>
      <c r="G18" cm="1">
        <f t="array" ref="G18">SUM(SUMIFS(C:C,A:A,A18,B:B,{"LDV-e","HDV-e","LDV-H2","HDV-H2"}))</f>
        <v>311225109407.61224</v>
      </c>
      <c r="H18">
        <f t="shared" si="1"/>
        <v>1443044235242.9553</v>
      </c>
      <c r="I18" s="26">
        <f t="shared" si="2"/>
        <v>0.21567260504333288</v>
      </c>
      <c r="J18" s="36">
        <f t="shared" si="4"/>
        <v>3.0516702530196727E-2</v>
      </c>
    </row>
    <row r="19" spans="1:10" x14ac:dyDescent="0.25">
      <c r="A19" s="2">
        <v>2039</v>
      </c>
      <c r="B19" s="3" t="s">
        <v>31</v>
      </c>
      <c r="C19" s="2">
        <v>625514691853.27246</v>
      </c>
      <c r="D19" s="17" t="b">
        <v>0</v>
      </c>
      <c r="E19">
        <f t="shared" si="0"/>
        <v>-0.24078359073199004</v>
      </c>
      <c r="G19" cm="1">
        <f t="array" ref="G19">SUM(SUMIFS(C:C,A:A,A19,B:B,{"LDV-e","HDV-e","LDV-H2","HDV-H2"}))</f>
        <v>343903516460.28009</v>
      </c>
      <c r="H19">
        <f t="shared" si="1"/>
        <v>1381982580425.2754</v>
      </c>
      <c r="I19" s="26">
        <f t="shared" si="2"/>
        <v>0.24884793870155092</v>
      </c>
      <c r="J19" s="36">
        <f t="shared" si="4"/>
        <v>3.3175333658218037E-2</v>
      </c>
    </row>
    <row r="20" spans="1:10" x14ac:dyDescent="0.25">
      <c r="A20" s="2">
        <v>2040</v>
      </c>
      <c r="B20" s="3" t="s">
        <v>31</v>
      </c>
      <c r="C20" s="2">
        <v>557197651214.51086</v>
      </c>
      <c r="D20" s="17" t="b">
        <v>0</v>
      </c>
      <c r="E20">
        <f t="shared" si="0"/>
        <v>-0.24696727437149221</v>
      </c>
      <c r="G20" cm="1">
        <f t="array" ref="G20">SUM(SUMIFS(C:C,A:A,A20,B:B,{"LDV-e","HDV-e","LDV-H2","HDV-H2"}))</f>
        <v>376802267584.84546</v>
      </c>
      <c r="H20">
        <f t="shared" si="1"/>
        <v>1323546089431.8237</v>
      </c>
      <c r="I20" s="26">
        <f t="shared" si="2"/>
        <v>0.28469145924990069</v>
      </c>
      <c r="J20" s="36">
        <f t="shared" si="4"/>
        <v>3.5843520548349772E-2</v>
      </c>
    </row>
    <row r="21" spans="1:10" x14ac:dyDescent="0.25">
      <c r="A21" s="2">
        <v>2041</v>
      </c>
      <c r="B21" s="3" t="s">
        <v>31</v>
      </c>
      <c r="C21" s="2">
        <v>492240384813.43634</v>
      </c>
      <c r="D21" s="17" t="b">
        <v>0</v>
      </c>
      <c r="E21">
        <f t="shared" si="0"/>
        <v>-0.25243343129237095</v>
      </c>
      <c r="G21" cm="1">
        <f t="array" ref="G21">SUM(SUMIFS(C:C,A:A,A21,B:B,{"LDV-e","HDV-e","LDV-H2","HDV-H2"}))</f>
        <v>409148206875.99982</v>
      </c>
      <c r="H21">
        <f t="shared" si="1"/>
        <v>1268252707137.4758</v>
      </c>
      <c r="I21" s="26">
        <f t="shared" si="2"/>
        <v>0.32260779304739073</v>
      </c>
      <c r="J21" s="36">
        <f t="shared" si="4"/>
        <v>3.7916333797490043E-2</v>
      </c>
    </row>
    <row r="22" spans="1:10" x14ac:dyDescent="0.25">
      <c r="A22" s="2">
        <v>2042</v>
      </c>
      <c r="B22" s="3" t="s">
        <v>31</v>
      </c>
      <c r="C22" s="2">
        <v>431009564298.15631</v>
      </c>
      <c r="D22" s="17" t="b">
        <v>0</v>
      </c>
      <c r="E22">
        <f t="shared" si="0"/>
        <v>-0.25733505210213065</v>
      </c>
      <c r="G22" cm="1">
        <f t="array" ref="G22">SUM(SUMIFS(C:C,A:A,A22,B:B,{"LDV-e","HDV-e","LDV-H2","HDV-H2"}))</f>
        <v>440713287486.52313</v>
      </c>
      <c r="H22">
        <f t="shared" si="1"/>
        <v>1216156995157.6453</v>
      </c>
      <c r="I22" s="26">
        <f t="shared" si="2"/>
        <v>0.36238190401511061</v>
      </c>
      <c r="J22" s="36">
        <f t="shared" si="4"/>
        <v>3.9774110967719878E-2</v>
      </c>
    </row>
    <row r="23" spans="1:10" x14ac:dyDescent="0.25">
      <c r="A23" s="2">
        <v>2043</v>
      </c>
      <c r="B23" s="3" t="s">
        <v>31</v>
      </c>
      <c r="C23" s="2">
        <v>373569497804.32074</v>
      </c>
      <c r="D23" s="17" t="b">
        <v>0</v>
      </c>
      <c r="E23">
        <f t="shared" si="0"/>
        <v>-0.26171609406345714</v>
      </c>
      <c r="G23" cm="1">
        <f t="array" ref="G23">SUM(SUMIFS(C:C,A:A,A23,B:B,{"LDV-e","HDV-e","LDV-H2","HDV-H2"}))</f>
        <v>471477089066.33429</v>
      </c>
      <c r="H23">
        <f t="shared" si="1"/>
        <v>1168024473221.4031</v>
      </c>
      <c r="I23" s="26">
        <f t="shared" si="2"/>
        <v>0.40365343353294975</v>
      </c>
      <c r="J23" s="36">
        <f t="shared" si="4"/>
        <v>4.1271529517839134E-2</v>
      </c>
    </row>
    <row r="24" spans="1:10" x14ac:dyDescent="0.25">
      <c r="A24" s="2">
        <v>2044</v>
      </c>
      <c r="B24" s="3" t="s">
        <v>31</v>
      </c>
      <c r="C24" s="2">
        <v>319975631939.58868</v>
      </c>
      <c r="D24" s="17" t="b">
        <v>0</v>
      </c>
      <c r="E24">
        <f t="shared" si="0"/>
        <v>-0.26570221546307699</v>
      </c>
      <c r="G24" cm="1">
        <f t="array" ref="G24">SUM(SUMIFS(C:C,A:A,A24,B:B,{"LDV-e","HDV-e","LDV-H2","HDV-H2"}))</f>
        <v>501170167645.17432</v>
      </c>
      <c r="H24">
        <f t="shared" si="1"/>
        <v>1123611929402.6514</v>
      </c>
      <c r="I24" s="26">
        <f t="shared" si="2"/>
        <v>0.44603492943654727</v>
      </c>
      <c r="J24" s="36">
        <f t="shared" si="4"/>
        <v>4.2381495903597521E-2</v>
      </c>
    </row>
    <row r="25" spans="1:10" x14ac:dyDescent="0.25">
      <c r="A25" s="2">
        <v>2045</v>
      </c>
      <c r="B25" s="3" t="s">
        <v>31</v>
      </c>
      <c r="C25" s="2">
        <v>270514954337.08945</v>
      </c>
      <c r="D25" s="17" t="b">
        <v>0</v>
      </c>
      <c r="E25">
        <f t="shared" si="0"/>
        <v>-0.26938075070839473</v>
      </c>
      <c r="G25" cm="1">
        <f t="array" ref="G25">SUM(SUMIFS(C:C,A:A,A25,B:B,{"LDV-e","HDV-e","LDV-H2","HDV-H2"}))</f>
        <v>529479194944.84033</v>
      </c>
      <c r="H25">
        <f t="shared" si="1"/>
        <v>1043719353790.1731</v>
      </c>
      <c r="I25" s="26">
        <f t="shared" si="2"/>
        <v>0.5073003514039327</v>
      </c>
      <c r="J25" s="36">
        <f t="shared" si="4"/>
        <v>6.1265421967385436E-2</v>
      </c>
    </row>
    <row r="26" spans="1:10" x14ac:dyDescent="0.25">
      <c r="A26" s="2">
        <v>2022</v>
      </c>
      <c r="B26" s="3" t="s">
        <v>30</v>
      </c>
      <c r="C26" s="2">
        <v>508463913818.34174</v>
      </c>
      <c r="D26" s="17" t="b">
        <v>0</v>
      </c>
      <c r="E26">
        <f>(C26+(C74-$O$5)*3.5+C122*1.9+C146*0.9-$P$3)/$P$3</f>
        <v>-7.9416683764782399E-3</v>
      </c>
      <c r="F26">
        <f>C26/1000000/134.47</f>
        <v>3781.2442464366904</v>
      </c>
      <c r="G26">
        <f>C26/134.47/1000000</f>
        <v>3781.2442464366904</v>
      </c>
    </row>
    <row r="27" spans="1:10" x14ac:dyDescent="0.25">
      <c r="A27" s="2">
        <v>2023</v>
      </c>
      <c r="B27" s="3" t="s">
        <v>30</v>
      </c>
      <c r="C27" s="2">
        <v>510166171499.59064</v>
      </c>
      <c r="D27" s="17" t="b">
        <v>0</v>
      </c>
      <c r="E27">
        <f t="shared" ref="E27:E49" si="5">(C27+(C75-$O$5)*3.5+C123*1.9+C147*0.9-$P$3)/$P$3</f>
        <v>-4.4527344617538945E-3</v>
      </c>
      <c r="F27">
        <f t="shared" ref="F27:F49" si="6">C27/1000000/134.47</f>
        <v>3793.9032609473534</v>
      </c>
      <c r="G27">
        <f t="shared" ref="G27:G34" si="7">C27/134.47/1000000</f>
        <v>3793.9032609473538</v>
      </c>
    </row>
    <row r="28" spans="1:10" x14ac:dyDescent="0.25">
      <c r="A28" s="2">
        <v>2024</v>
      </c>
      <c r="B28" s="3" t="s">
        <v>30</v>
      </c>
      <c r="C28" s="2">
        <v>509544563628.06799</v>
      </c>
      <c r="D28" s="17" t="b">
        <v>0</v>
      </c>
      <c r="E28">
        <f t="shared" si="5"/>
        <v>-3.5823054776676772E-3</v>
      </c>
      <c r="F28">
        <f t="shared" si="6"/>
        <v>3789.2806100101734</v>
      </c>
      <c r="G28">
        <f t="shared" si="7"/>
        <v>3789.2806100101734</v>
      </c>
    </row>
    <row r="29" spans="1:10" x14ac:dyDescent="0.25">
      <c r="A29" s="2">
        <v>2025</v>
      </c>
      <c r="B29" s="3" t="s">
        <v>30</v>
      </c>
      <c r="C29" s="2">
        <v>507403394883.3252</v>
      </c>
      <c r="D29" s="17" t="b">
        <v>0</v>
      </c>
      <c r="E29">
        <f t="shared" si="5"/>
        <v>-3.1218773061873688E-3</v>
      </c>
      <c r="F29">
        <f t="shared" si="6"/>
        <v>3773.3575881856564</v>
      </c>
      <c r="G29">
        <f t="shared" si="7"/>
        <v>3773.3575881856559</v>
      </c>
    </row>
    <row r="30" spans="1:10" x14ac:dyDescent="0.25">
      <c r="A30" s="2">
        <v>2026</v>
      </c>
      <c r="B30" s="3" t="s">
        <v>30</v>
      </c>
      <c r="C30" s="2">
        <v>502973787271.59369</v>
      </c>
      <c r="D30" s="17" t="b">
        <v>0</v>
      </c>
      <c r="E30">
        <f t="shared" si="5"/>
        <v>-3.5478557841992463E-3</v>
      </c>
      <c r="F30">
        <f t="shared" si="6"/>
        <v>3740.4163551096431</v>
      </c>
      <c r="G30">
        <f t="shared" si="7"/>
        <v>3740.4163551096431</v>
      </c>
    </row>
    <row r="31" spans="1:10" x14ac:dyDescent="0.25">
      <c r="A31" s="2">
        <v>2027</v>
      </c>
      <c r="B31" s="3" t="s">
        <v>30</v>
      </c>
      <c r="C31" s="2">
        <v>496969405176.71637</v>
      </c>
      <c r="D31" s="17" t="b">
        <v>0</v>
      </c>
      <c r="E31">
        <f t="shared" si="5"/>
        <v>-2.7201575097157357E-3</v>
      </c>
      <c r="F31">
        <f t="shared" si="6"/>
        <v>3695.7641494513005</v>
      </c>
      <c r="G31">
        <f t="shared" si="7"/>
        <v>3695.7641494513005</v>
      </c>
    </row>
    <row r="32" spans="1:10" x14ac:dyDescent="0.25">
      <c r="A32" s="2">
        <v>2028</v>
      </c>
      <c r="B32" s="3" t="s">
        <v>30</v>
      </c>
      <c r="C32" s="2">
        <v>489225307106.14941</v>
      </c>
      <c r="D32" s="17" t="b">
        <v>0</v>
      </c>
      <c r="E32">
        <f t="shared" si="5"/>
        <v>-1.4908148219132523E-3</v>
      </c>
      <c r="F32">
        <f t="shared" si="6"/>
        <v>3638.1743668189888</v>
      </c>
      <c r="G32">
        <f t="shared" si="7"/>
        <v>3638.1743668189888</v>
      </c>
    </row>
    <row r="33" spans="1:7" x14ac:dyDescent="0.25">
      <c r="A33" s="2">
        <v>2029</v>
      </c>
      <c r="B33" s="3" t="s">
        <v>30</v>
      </c>
      <c r="C33" s="2">
        <v>481129959090.95264</v>
      </c>
      <c r="D33" s="17" t="b">
        <v>0</v>
      </c>
      <c r="E33">
        <f t="shared" si="5"/>
        <v>1.8209070047010719E-3</v>
      </c>
      <c r="F33">
        <f t="shared" si="6"/>
        <v>3577.9724778088248</v>
      </c>
      <c r="G33">
        <f t="shared" si="7"/>
        <v>3577.9724778088244</v>
      </c>
    </row>
    <row r="34" spans="1:7" x14ac:dyDescent="0.25">
      <c r="A34" s="2">
        <v>2030</v>
      </c>
      <c r="B34" s="3" t="s">
        <v>30</v>
      </c>
      <c r="C34" s="2">
        <v>472169252798.02301</v>
      </c>
      <c r="D34" s="17" t="b">
        <v>0</v>
      </c>
      <c r="E34">
        <f t="shared" si="5"/>
        <v>6.2259848087220151E-3</v>
      </c>
      <c r="F34">
        <f t="shared" si="6"/>
        <v>3511.3352628692123</v>
      </c>
      <c r="G34">
        <f t="shared" si="7"/>
        <v>3511.3352628692128</v>
      </c>
    </row>
    <row r="35" spans="1:7" x14ac:dyDescent="0.25">
      <c r="A35" s="2">
        <v>2031</v>
      </c>
      <c r="B35" s="3" t="s">
        <v>30</v>
      </c>
      <c r="C35" s="2">
        <v>463140806325.67847</v>
      </c>
      <c r="D35" s="17" t="b">
        <v>0</v>
      </c>
      <c r="E35">
        <f t="shared" si="5"/>
        <v>1.5918992048149304E-2</v>
      </c>
      <c r="F35">
        <f t="shared" si="6"/>
        <v>3444.1942911108686</v>
      </c>
    </row>
    <row r="36" spans="1:7" x14ac:dyDescent="0.25">
      <c r="A36" s="2">
        <v>2032</v>
      </c>
      <c r="B36" s="3" t="s">
        <v>30</v>
      </c>
      <c r="C36" s="2">
        <v>453448078555.01538</v>
      </c>
      <c r="D36" s="17" t="b">
        <v>0</v>
      </c>
      <c r="E36">
        <f t="shared" si="5"/>
        <v>2.7763014381597454E-2</v>
      </c>
      <c r="F36">
        <f t="shared" si="6"/>
        <v>3372.1133230833302</v>
      </c>
    </row>
    <row r="37" spans="1:7" x14ac:dyDescent="0.25">
      <c r="A37" s="2">
        <v>2033</v>
      </c>
      <c r="B37" s="3" t="s">
        <v>30</v>
      </c>
      <c r="C37" s="2">
        <v>442322480635.38269</v>
      </c>
      <c r="D37" s="17" t="b">
        <v>0</v>
      </c>
      <c r="E37">
        <f t="shared" si="5"/>
        <v>4.1434723953178626E-2</v>
      </c>
      <c r="F37">
        <f t="shared" si="6"/>
        <v>3289.376668665001</v>
      </c>
    </row>
    <row r="38" spans="1:7" x14ac:dyDescent="0.25">
      <c r="A38" s="2">
        <v>2034</v>
      </c>
      <c r="B38" s="3" t="s">
        <v>30</v>
      </c>
      <c r="C38" s="2">
        <v>429616170362.64331</v>
      </c>
      <c r="D38" s="17" t="b">
        <v>0</v>
      </c>
      <c r="E38">
        <f t="shared" si="5"/>
        <v>5.7975357965847116E-2</v>
      </c>
      <c r="F38">
        <f t="shared" si="6"/>
        <v>3194.8848840830174</v>
      </c>
    </row>
    <row r="39" spans="1:7" x14ac:dyDescent="0.25">
      <c r="A39" s="2">
        <v>2035</v>
      </c>
      <c r="B39" s="3" t="s">
        <v>30</v>
      </c>
      <c r="C39" s="2">
        <v>414286067094.42572</v>
      </c>
      <c r="D39" s="17" t="b">
        <v>0</v>
      </c>
      <c r="E39">
        <f t="shared" si="5"/>
        <v>7.8830398724908574E-2</v>
      </c>
      <c r="F39">
        <f t="shared" si="6"/>
        <v>3080.8809927450416</v>
      </c>
    </row>
    <row r="40" spans="1:7" x14ac:dyDescent="0.25">
      <c r="A40" s="2">
        <v>2036</v>
      </c>
      <c r="B40" s="3" t="s">
        <v>30</v>
      </c>
      <c r="C40" s="2">
        <v>396389294706.97351</v>
      </c>
      <c r="D40" s="17" t="b">
        <v>0</v>
      </c>
      <c r="E40">
        <f t="shared" si="5"/>
        <v>0.10022140461483124</v>
      </c>
      <c r="F40">
        <f t="shared" si="6"/>
        <v>2947.7898022382205</v>
      </c>
    </row>
    <row r="41" spans="1:7" x14ac:dyDescent="0.25">
      <c r="A41" s="2">
        <v>2037</v>
      </c>
      <c r="B41" s="3" t="s">
        <v>30</v>
      </c>
      <c r="C41" s="2">
        <v>377335197266.55829</v>
      </c>
      <c r="D41" s="17" t="b">
        <v>0</v>
      </c>
      <c r="E41">
        <f t="shared" si="5"/>
        <v>0.12358662305443033</v>
      </c>
      <c r="F41">
        <f t="shared" si="6"/>
        <v>2806.0920448171214</v>
      </c>
    </row>
    <row r="42" spans="1:7" x14ac:dyDescent="0.25">
      <c r="A42" s="2">
        <v>2038</v>
      </c>
      <c r="B42" s="3" t="s">
        <v>30</v>
      </c>
      <c r="C42" s="2">
        <v>357374148788.58655</v>
      </c>
      <c r="D42" s="17" t="b">
        <v>0</v>
      </c>
      <c r="E42">
        <f t="shared" si="5"/>
        <v>0.14860102415875193</v>
      </c>
      <c r="F42">
        <f t="shared" si="6"/>
        <v>2657.6496526257647</v>
      </c>
    </row>
    <row r="43" spans="1:7" x14ac:dyDescent="0.25">
      <c r="A43" s="2">
        <v>2039</v>
      </c>
      <c r="B43" s="3" t="s">
        <v>30</v>
      </c>
      <c r="C43" s="2">
        <v>335952045899.82056</v>
      </c>
      <c r="D43" s="17" t="b">
        <v>0</v>
      </c>
      <c r="E43">
        <f t="shared" si="5"/>
        <v>0.17477425765694643</v>
      </c>
      <c r="F43">
        <f t="shared" si="6"/>
        <v>2498.3419788787132</v>
      </c>
    </row>
    <row r="44" spans="1:7" x14ac:dyDescent="0.25">
      <c r="A44" s="2">
        <v>2040</v>
      </c>
      <c r="B44" s="3" t="s">
        <v>30</v>
      </c>
      <c r="C44" s="2">
        <v>313490469135.43921</v>
      </c>
      <c r="D44" s="17" t="b">
        <v>0</v>
      </c>
      <c r="E44">
        <f t="shared" si="5"/>
        <v>0.20249302108733935</v>
      </c>
      <c r="F44">
        <f t="shared" si="6"/>
        <v>2331.304150631659</v>
      </c>
    </row>
    <row r="45" spans="1:7" x14ac:dyDescent="0.25">
      <c r="A45" s="2">
        <v>2041</v>
      </c>
      <c r="B45" s="3" t="s">
        <v>30</v>
      </c>
      <c r="C45" s="2">
        <v>291442140179.04669</v>
      </c>
      <c r="D45" s="17" t="b">
        <v>0</v>
      </c>
      <c r="E45">
        <f t="shared" si="5"/>
        <v>0.231133747214914</v>
      </c>
      <c r="F45">
        <f t="shared" si="6"/>
        <v>2167.3394822566129</v>
      </c>
    </row>
    <row r="46" spans="1:7" x14ac:dyDescent="0.25">
      <c r="A46" s="2">
        <v>2042</v>
      </c>
      <c r="B46" s="3" t="s">
        <v>30</v>
      </c>
      <c r="C46" s="2">
        <v>269588389936.82581</v>
      </c>
      <c r="D46" s="17" t="b">
        <v>0</v>
      </c>
      <c r="E46">
        <f t="shared" si="5"/>
        <v>0.26041299374863208</v>
      </c>
      <c r="F46">
        <f t="shared" si="6"/>
        <v>2004.8218185232824</v>
      </c>
    </row>
    <row r="47" spans="1:7" x14ac:dyDescent="0.25">
      <c r="A47" s="2">
        <v>2043</v>
      </c>
      <c r="B47" s="3" t="s">
        <v>30</v>
      </c>
      <c r="C47" s="2">
        <v>248664742645.55414</v>
      </c>
      <c r="D47" s="17" t="b">
        <v>0</v>
      </c>
      <c r="E47">
        <f t="shared" si="5"/>
        <v>0.29192936166800421</v>
      </c>
      <c r="F47">
        <f t="shared" si="6"/>
        <v>1849.2209611478704</v>
      </c>
    </row>
    <row r="48" spans="1:7" x14ac:dyDescent="0.25">
      <c r="A48" s="2">
        <v>2044</v>
      </c>
      <c r="B48" s="3" t="s">
        <v>30</v>
      </c>
      <c r="C48" s="2">
        <v>228614554905.01138</v>
      </c>
      <c r="D48" s="17" t="b">
        <v>0</v>
      </c>
      <c r="E48">
        <f t="shared" si="5"/>
        <v>0.32461070260226138</v>
      </c>
      <c r="F48">
        <f t="shared" si="6"/>
        <v>1700.1156756526466</v>
      </c>
    </row>
    <row r="49" spans="1:6" x14ac:dyDescent="0.25">
      <c r="A49" s="2">
        <v>2045</v>
      </c>
      <c r="B49" s="3" t="s">
        <v>30</v>
      </c>
      <c r="C49" s="2">
        <v>170304548327.78601</v>
      </c>
      <c r="D49" s="17" t="b">
        <v>0</v>
      </c>
      <c r="E49">
        <f t="shared" si="5"/>
        <v>0.28369978459456979</v>
      </c>
      <c r="F49">
        <f t="shared" si="6"/>
        <v>1266.4873081563621</v>
      </c>
    </row>
    <row r="50" spans="1:6" x14ac:dyDescent="0.25">
      <c r="A50" s="2">
        <v>2022</v>
      </c>
      <c r="B50" s="3" t="s">
        <v>46</v>
      </c>
      <c r="C50" s="2">
        <v>8306567725.0276823</v>
      </c>
      <c r="D50" s="17" t="b">
        <v>0</v>
      </c>
    </row>
    <row r="51" spans="1:6" x14ac:dyDescent="0.25">
      <c r="A51" s="2">
        <v>2023</v>
      </c>
      <c r="B51" s="3" t="s">
        <v>46</v>
      </c>
      <c r="C51" s="2">
        <v>10906980501.627476</v>
      </c>
      <c r="D51" s="17" t="b">
        <v>0</v>
      </c>
    </row>
    <row r="52" spans="1:6" x14ac:dyDescent="0.25">
      <c r="A52" s="2">
        <v>2024</v>
      </c>
      <c r="B52" s="3" t="s">
        <v>46</v>
      </c>
      <c r="C52" s="2">
        <v>14121733314.790775</v>
      </c>
      <c r="D52" s="17" t="b">
        <v>0</v>
      </c>
    </row>
    <row r="53" spans="1:6" x14ac:dyDescent="0.25">
      <c r="A53" s="2">
        <v>2025</v>
      </c>
      <c r="B53" s="3" t="s">
        <v>46</v>
      </c>
      <c r="C53" s="2">
        <v>17992552041.391151</v>
      </c>
      <c r="D53" s="17" t="b">
        <v>0</v>
      </c>
    </row>
    <row r="54" spans="1:6" x14ac:dyDescent="0.25">
      <c r="A54" s="2">
        <v>2026</v>
      </c>
      <c r="B54" s="3" t="s">
        <v>46</v>
      </c>
      <c r="C54" s="2">
        <v>23034792275.640953</v>
      </c>
      <c r="D54" s="17" t="b">
        <v>0</v>
      </c>
    </row>
    <row r="55" spans="1:6" x14ac:dyDescent="0.25">
      <c r="A55" s="2">
        <v>2027</v>
      </c>
      <c r="B55" s="3" t="s">
        <v>46</v>
      </c>
      <c r="C55" s="2">
        <v>29256768013.043129</v>
      </c>
      <c r="D55" s="17" t="b">
        <v>0</v>
      </c>
    </row>
    <row r="56" spans="1:6" x14ac:dyDescent="0.25">
      <c r="A56" s="2">
        <v>2028</v>
      </c>
      <c r="B56" s="3" t="s">
        <v>46</v>
      </c>
      <c r="C56" s="2">
        <v>36772815238.919464</v>
      </c>
      <c r="D56" s="17" t="b">
        <v>0</v>
      </c>
    </row>
    <row r="57" spans="1:6" x14ac:dyDescent="0.25">
      <c r="A57" s="2">
        <v>2029</v>
      </c>
      <c r="B57" s="3" t="s">
        <v>46</v>
      </c>
      <c r="C57" s="2">
        <v>45679291279.308594</v>
      </c>
      <c r="D57" s="17" t="b">
        <v>0</v>
      </c>
    </row>
    <row r="58" spans="1:6" x14ac:dyDescent="0.25">
      <c r="A58" s="2">
        <v>2030</v>
      </c>
      <c r="B58" s="3" t="s">
        <v>46</v>
      </c>
      <c r="C58" s="2">
        <v>56131210119.991295</v>
      </c>
      <c r="D58" s="17" t="b">
        <v>0</v>
      </c>
    </row>
    <row r="59" spans="1:6" x14ac:dyDescent="0.25">
      <c r="A59" s="2">
        <v>2031</v>
      </c>
      <c r="B59" s="3" t="s">
        <v>46</v>
      </c>
      <c r="C59" s="2">
        <v>68040157556.6567</v>
      </c>
      <c r="D59" s="17" t="b">
        <v>0</v>
      </c>
    </row>
    <row r="60" spans="1:6" x14ac:dyDescent="0.25">
      <c r="A60" s="2">
        <v>2032</v>
      </c>
      <c r="B60" s="3" t="s">
        <v>46</v>
      </c>
      <c r="C60" s="2">
        <v>80042426304.19899</v>
      </c>
      <c r="D60" s="17" t="b">
        <v>0</v>
      </c>
    </row>
    <row r="61" spans="1:6" x14ac:dyDescent="0.25">
      <c r="A61" s="2">
        <v>2033</v>
      </c>
      <c r="B61" s="3" t="s">
        <v>46</v>
      </c>
      <c r="C61" s="2">
        <v>93370256996.650986</v>
      </c>
      <c r="D61" s="17" t="b">
        <v>0</v>
      </c>
    </row>
    <row r="62" spans="1:6" x14ac:dyDescent="0.25">
      <c r="A62" s="2">
        <v>2034</v>
      </c>
      <c r="B62" s="3" t="s">
        <v>46</v>
      </c>
      <c r="C62" s="2">
        <v>107989697414.15758</v>
      </c>
      <c r="D62" s="17" t="b">
        <v>0</v>
      </c>
    </row>
    <row r="63" spans="1:6" x14ac:dyDescent="0.25">
      <c r="A63" s="2">
        <v>2035</v>
      </c>
      <c r="B63" s="3" t="s">
        <v>46</v>
      </c>
      <c r="C63" s="2">
        <v>123891439826.32809</v>
      </c>
      <c r="D63" s="17" t="b">
        <v>0</v>
      </c>
    </row>
    <row r="64" spans="1:6" x14ac:dyDescent="0.25">
      <c r="A64" s="2">
        <v>2036</v>
      </c>
      <c r="B64" s="3" t="s">
        <v>46</v>
      </c>
      <c r="C64" s="2">
        <v>139626407817.34949</v>
      </c>
      <c r="D64" s="17" t="b">
        <v>0</v>
      </c>
    </row>
    <row r="65" spans="1:4" x14ac:dyDescent="0.25">
      <c r="A65" s="2">
        <v>2037</v>
      </c>
      <c r="B65" s="3" t="s">
        <v>46</v>
      </c>
      <c r="C65" s="2">
        <v>155164725010.33487</v>
      </c>
      <c r="D65" s="17" t="b">
        <v>0</v>
      </c>
    </row>
    <row r="66" spans="1:4" x14ac:dyDescent="0.25">
      <c r="A66" s="2">
        <v>2038</v>
      </c>
      <c r="B66" s="3" t="s">
        <v>46</v>
      </c>
      <c r="C66" s="2">
        <v>170362875661.57556</v>
      </c>
      <c r="D66" s="17" t="b">
        <v>0</v>
      </c>
    </row>
    <row r="67" spans="1:4" x14ac:dyDescent="0.25">
      <c r="A67" s="2">
        <v>2039</v>
      </c>
      <c r="B67" s="3" t="s">
        <v>46</v>
      </c>
      <c r="C67" s="2">
        <v>185120299580.42413</v>
      </c>
      <c r="D67" s="17" t="b">
        <v>0</v>
      </c>
    </row>
    <row r="68" spans="1:4" x14ac:dyDescent="0.25">
      <c r="A68" s="2">
        <v>2040</v>
      </c>
      <c r="B68" s="3" t="s">
        <v>46</v>
      </c>
      <c r="C68" s="2">
        <v>199380739715.77002</v>
      </c>
      <c r="D68" s="17" t="b">
        <v>0</v>
      </c>
    </row>
    <row r="69" spans="1:4" x14ac:dyDescent="0.25">
      <c r="A69" s="2">
        <v>2041</v>
      </c>
      <c r="B69" s="3" t="s">
        <v>46</v>
      </c>
      <c r="C69" s="2">
        <v>213137699576.89493</v>
      </c>
      <c r="D69" s="17" t="b">
        <v>0</v>
      </c>
    </row>
    <row r="70" spans="1:4" x14ac:dyDescent="0.25">
      <c r="A70" s="2">
        <v>2042</v>
      </c>
      <c r="B70" s="3" t="s">
        <v>46</v>
      </c>
      <c r="C70" s="2">
        <v>226208171681.19727</v>
      </c>
      <c r="D70" s="17" t="b">
        <v>0</v>
      </c>
    </row>
    <row r="71" spans="1:4" x14ac:dyDescent="0.25">
      <c r="A71" s="2">
        <v>2043</v>
      </c>
      <c r="B71" s="3" t="s">
        <v>46</v>
      </c>
      <c r="C71" s="2">
        <v>238561801990.51923</v>
      </c>
      <c r="D71" s="17" t="b">
        <v>0</v>
      </c>
    </row>
    <row r="72" spans="1:4" x14ac:dyDescent="0.25">
      <c r="A72" s="2">
        <v>2044</v>
      </c>
      <c r="B72" s="3" t="s">
        <v>46</v>
      </c>
      <c r="C72" s="2">
        <v>250128206820.38919</v>
      </c>
      <c r="D72" s="17" t="b">
        <v>0</v>
      </c>
    </row>
    <row r="73" spans="1:4" x14ac:dyDescent="0.25">
      <c r="A73" s="2">
        <v>2045</v>
      </c>
      <c r="B73" s="3" t="s">
        <v>46</v>
      </c>
      <c r="C73" s="2">
        <v>260803885902.33792</v>
      </c>
      <c r="D73" s="17" t="b">
        <v>0</v>
      </c>
    </row>
    <row r="74" spans="1:4" x14ac:dyDescent="0.25">
      <c r="A74" s="2">
        <v>2022</v>
      </c>
      <c r="B74" s="3" t="s">
        <v>123</v>
      </c>
      <c r="C74" s="2">
        <v>7976542834.2600002</v>
      </c>
      <c r="D74" s="17" t="b">
        <v>0</v>
      </c>
    </row>
    <row r="75" spans="1:4" x14ac:dyDescent="0.25">
      <c r="A75" s="2">
        <v>2023</v>
      </c>
      <c r="B75" s="3" t="s">
        <v>123</v>
      </c>
      <c r="C75" s="2">
        <v>8124199694.6454029</v>
      </c>
      <c r="D75" s="17" t="b">
        <v>0</v>
      </c>
    </row>
    <row r="76" spans="1:4" x14ac:dyDescent="0.25">
      <c r="A76" s="2">
        <v>2024</v>
      </c>
      <c r="B76" s="3" t="s">
        <v>123</v>
      </c>
      <c r="C76" s="2">
        <v>8427006963.2774792</v>
      </c>
      <c r="D76" s="17" t="b">
        <v>0</v>
      </c>
    </row>
    <row r="77" spans="1:4" x14ac:dyDescent="0.25">
      <c r="A77" s="2">
        <v>2025</v>
      </c>
      <c r="B77" s="3" t="s">
        <v>123</v>
      </c>
      <c r="C77" s="2">
        <v>8957797448.7432346</v>
      </c>
      <c r="D77" s="17" t="b">
        <v>0</v>
      </c>
    </row>
    <row r="78" spans="1:4" x14ac:dyDescent="0.25">
      <c r="A78" s="2">
        <v>2026</v>
      </c>
      <c r="B78" s="3" t="s">
        <v>123</v>
      </c>
      <c r="C78" s="2">
        <v>9832624254.3469696</v>
      </c>
      <c r="D78" s="17" t="b">
        <v>0</v>
      </c>
    </row>
    <row r="79" spans="1:4" x14ac:dyDescent="0.25">
      <c r="A79" s="2">
        <v>2027</v>
      </c>
      <c r="B79" s="3" t="s">
        <v>123</v>
      </c>
      <c r="C79" s="2">
        <v>11185129139.684216</v>
      </c>
      <c r="D79" s="17" t="b">
        <v>0</v>
      </c>
    </row>
    <row r="80" spans="1:4" x14ac:dyDescent="0.25">
      <c r="A80" s="2">
        <v>2028</v>
      </c>
      <c r="B80" s="3" t="s">
        <v>123</v>
      </c>
      <c r="C80" s="2">
        <v>12961537067.793234</v>
      </c>
      <c r="D80" s="17" t="b">
        <v>0</v>
      </c>
    </row>
    <row r="81" spans="1:6" x14ac:dyDescent="0.25">
      <c r="A81" s="2">
        <v>2029</v>
      </c>
      <c r="B81" s="3" t="s">
        <v>123</v>
      </c>
      <c r="C81" s="2">
        <v>15014331052.446957</v>
      </c>
      <c r="D81" s="17" t="b">
        <v>0</v>
      </c>
    </row>
    <row r="82" spans="1:6" x14ac:dyDescent="0.25">
      <c r="A82" s="2">
        <v>2030</v>
      </c>
      <c r="B82" s="3" t="s">
        <v>123</v>
      </c>
      <c r="C82" s="2">
        <v>17359910025.149284</v>
      </c>
      <c r="D82" s="17" t="b">
        <v>0</v>
      </c>
      <c r="F82">
        <f>C82*5/134.47/1000000</f>
        <v>645.49379137165488</v>
      </c>
    </row>
    <row r="83" spans="1:6" x14ac:dyDescent="0.25">
      <c r="A83" s="2">
        <v>2031</v>
      </c>
      <c r="B83" s="3" t="s">
        <v>123</v>
      </c>
      <c r="C83" s="2">
        <v>20108678399.389542</v>
      </c>
      <c r="D83" s="17" t="b">
        <v>0</v>
      </c>
    </row>
    <row r="84" spans="1:6" x14ac:dyDescent="0.25">
      <c r="A84" s="2">
        <v>2032</v>
      </c>
      <c r="B84" s="3" t="s">
        <v>123</v>
      </c>
      <c r="C84" s="2">
        <v>22985700678.696106</v>
      </c>
      <c r="D84" s="17" t="b">
        <v>0</v>
      </c>
    </row>
    <row r="85" spans="1:6" x14ac:dyDescent="0.25">
      <c r="A85" s="2">
        <v>2033</v>
      </c>
      <c r="B85" s="3" t="s">
        <v>123</v>
      </c>
      <c r="C85" s="2">
        <v>26186935678.712219</v>
      </c>
      <c r="D85" s="17" t="b">
        <v>0</v>
      </c>
    </row>
    <row r="86" spans="1:6" x14ac:dyDescent="0.25">
      <c r="A86" s="2">
        <v>2034</v>
      </c>
      <c r="B86" s="3" t="s">
        <v>123</v>
      </c>
      <c r="C86" s="2">
        <v>29855035854.789917</v>
      </c>
      <c r="D86" s="17" t="b">
        <v>0</v>
      </c>
    </row>
    <row r="87" spans="1:6" x14ac:dyDescent="0.25">
      <c r="A87" s="2">
        <v>2035</v>
      </c>
      <c r="B87" s="3" t="s">
        <v>123</v>
      </c>
      <c r="C87" s="2">
        <v>34444443268.823524</v>
      </c>
      <c r="D87" s="17" t="b">
        <v>0</v>
      </c>
    </row>
    <row r="88" spans="1:6" x14ac:dyDescent="0.25">
      <c r="A88" s="2">
        <v>2036</v>
      </c>
      <c r="B88" s="3" t="s">
        <v>123</v>
      </c>
      <c r="C88" s="2">
        <v>39598463082.561768</v>
      </c>
      <c r="D88" s="17" t="b">
        <v>0</v>
      </c>
    </row>
    <row r="89" spans="1:6" x14ac:dyDescent="0.25">
      <c r="A89" s="2">
        <v>2037</v>
      </c>
      <c r="B89" s="3" t="s">
        <v>123</v>
      </c>
      <c r="C89" s="2">
        <v>44931539661.097351</v>
      </c>
      <c r="D89" s="17" t="b">
        <v>0</v>
      </c>
    </row>
    <row r="90" spans="1:6" x14ac:dyDescent="0.25">
      <c r="A90" s="2">
        <v>2038</v>
      </c>
      <c r="B90" s="3" t="s">
        <v>123</v>
      </c>
      <c r="C90" s="5">
        <v>50368768209.401413</v>
      </c>
      <c r="D90" s="17" t="b">
        <v>0</v>
      </c>
    </row>
    <row r="91" spans="1:6" x14ac:dyDescent="0.25">
      <c r="A91" s="2">
        <v>2039</v>
      </c>
      <c r="B91" s="3" t="s">
        <v>123</v>
      </c>
      <c r="C91" s="13">
        <v>55997821625.81749</v>
      </c>
      <c r="D91" s="17" t="b">
        <v>0</v>
      </c>
    </row>
    <row r="92" spans="1:6" x14ac:dyDescent="0.25">
      <c r="A92" s="2">
        <v>2040</v>
      </c>
      <c r="B92" s="3" t="s">
        <v>123</v>
      </c>
      <c r="C92" s="13">
        <v>61731648345.576469</v>
      </c>
      <c r="D92" s="17" t="b">
        <v>0</v>
      </c>
    </row>
    <row r="93" spans="1:6" x14ac:dyDescent="0.25">
      <c r="A93" s="2">
        <v>2041</v>
      </c>
      <c r="B93" s="3" t="s">
        <v>123</v>
      </c>
      <c r="C93" s="13">
        <v>67428518579.284821</v>
      </c>
      <c r="D93" s="17" t="b">
        <v>0</v>
      </c>
    </row>
    <row r="94" spans="1:6" x14ac:dyDescent="0.25">
      <c r="A94" s="2">
        <v>2042</v>
      </c>
      <c r="B94" s="3" t="s">
        <v>123</v>
      </c>
      <c r="C94">
        <v>73100985944.261154</v>
      </c>
      <c r="D94" s="17" t="b">
        <v>0</v>
      </c>
    </row>
    <row r="95" spans="1:6" x14ac:dyDescent="0.25">
      <c r="A95" s="2">
        <v>2043</v>
      </c>
      <c r="B95" s="3" t="s">
        <v>123</v>
      </c>
      <c r="C95">
        <v>78796431365.697327</v>
      </c>
      <c r="D95" s="17" t="b">
        <v>0</v>
      </c>
    </row>
    <row r="96" spans="1:6" x14ac:dyDescent="0.25">
      <c r="A96" s="2">
        <v>2044</v>
      </c>
      <c r="B96" s="3" t="s">
        <v>123</v>
      </c>
      <c r="C96">
        <v>84396010194.599548</v>
      </c>
      <c r="D96" s="17" t="b">
        <v>0</v>
      </c>
    </row>
    <row r="97" spans="1:4" x14ac:dyDescent="0.25">
      <c r="A97" s="2">
        <v>2045</v>
      </c>
      <c r="B97" s="3" t="s">
        <v>123</v>
      </c>
      <c r="C97">
        <v>89769014761.246811</v>
      </c>
      <c r="D97" s="17" t="b">
        <v>0</v>
      </c>
    </row>
    <row r="98" spans="1:4" x14ac:dyDescent="0.25">
      <c r="A98" s="5">
        <v>2022</v>
      </c>
      <c r="B98" s="6" t="s">
        <v>86</v>
      </c>
      <c r="C98">
        <v>130285152.79687862</v>
      </c>
      <c r="D98" s="17" t="b">
        <v>0</v>
      </c>
    </row>
    <row r="99" spans="1:4" x14ac:dyDescent="0.25">
      <c r="A99" s="5">
        <v>2023</v>
      </c>
      <c r="B99" s="6" t="s">
        <v>86</v>
      </c>
      <c r="C99">
        <v>128019094.13184316</v>
      </c>
      <c r="D99" s="17" t="b">
        <v>0</v>
      </c>
    </row>
    <row r="100" spans="1:4" x14ac:dyDescent="0.25">
      <c r="A100" s="5">
        <v>2024</v>
      </c>
      <c r="B100" s="6" t="s">
        <v>86</v>
      </c>
      <c r="C100">
        <v>125688318.23942189</v>
      </c>
      <c r="D100" s="17" t="b">
        <v>0</v>
      </c>
    </row>
    <row r="101" spans="1:4" x14ac:dyDescent="0.25">
      <c r="A101" s="5">
        <v>2025</v>
      </c>
      <c r="B101" s="6" t="s">
        <v>86</v>
      </c>
      <c r="C101">
        <v>123442596.62293601</v>
      </c>
      <c r="D101" s="17" t="b">
        <v>0</v>
      </c>
    </row>
    <row r="102" spans="1:4" x14ac:dyDescent="0.25">
      <c r="A102" s="5">
        <v>2026</v>
      </c>
      <c r="B102" s="6" t="s">
        <v>86</v>
      </c>
      <c r="C102">
        <v>182184422.10559267</v>
      </c>
      <c r="D102" s="17" t="b">
        <v>0</v>
      </c>
    </row>
    <row r="103" spans="1:4" x14ac:dyDescent="0.25">
      <c r="A103" s="5">
        <v>2027</v>
      </c>
      <c r="B103" s="6" t="s">
        <v>86</v>
      </c>
      <c r="C103">
        <v>297091135.23021787</v>
      </c>
      <c r="D103" s="17" t="b">
        <v>0</v>
      </c>
    </row>
    <row r="104" spans="1:4" x14ac:dyDescent="0.25">
      <c r="A104" s="5">
        <v>2028</v>
      </c>
      <c r="B104" s="6" t="s">
        <v>86</v>
      </c>
      <c r="C104">
        <v>464377405.75257862</v>
      </c>
      <c r="D104" s="17" t="b">
        <v>0</v>
      </c>
    </row>
    <row r="105" spans="1:4" x14ac:dyDescent="0.25">
      <c r="A105" s="5">
        <v>2029</v>
      </c>
      <c r="B105" s="6" t="s">
        <v>86</v>
      </c>
      <c r="C105">
        <v>2138756406.0188403</v>
      </c>
      <c r="D105" s="17" t="b">
        <v>0</v>
      </c>
    </row>
    <row r="106" spans="1:4" x14ac:dyDescent="0.25">
      <c r="A106" s="5">
        <v>2030</v>
      </c>
      <c r="B106" s="6" t="s">
        <v>86</v>
      </c>
      <c r="C106">
        <v>5328038938.8608618</v>
      </c>
      <c r="D106" s="17" t="b">
        <v>0</v>
      </c>
    </row>
    <row r="107" spans="1:4" x14ac:dyDescent="0.25">
      <c r="A107" s="5">
        <v>2031</v>
      </c>
      <c r="B107" s="6" t="s">
        <v>86</v>
      </c>
      <c r="C107">
        <v>9980390574.0703392</v>
      </c>
      <c r="D107" s="17" t="b">
        <v>0</v>
      </c>
    </row>
    <row r="108" spans="1:4" x14ac:dyDescent="0.25">
      <c r="A108" s="5">
        <v>2032</v>
      </c>
      <c r="B108" s="6" t="s">
        <v>86</v>
      </c>
      <c r="C108">
        <v>14574124296.05986</v>
      </c>
      <c r="D108" s="17" t="b">
        <v>0</v>
      </c>
    </row>
    <row r="109" spans="1:4" x14ac:dyDescent="0.25">
      <c r="A109" s="5">
        <v>2033</v>
      </c>
      <c r="B109" s="6" t="s">
        <v>86</v>
      </c>
      <c r="C109">
        <v>19101968032.432259</v>
      </c>
      <c r="D109" s="17" t="b">
        <v>0</v>
      </c>
    </row>
    <row r="110" spans="1:4" x14ac:dyDescent="0.25">
      <c r="A110" s="5">
        <v>2034</v>
      </c>
      <c r="B110" s="6" t="s">
        <v>86</v>
      </c>
      <c r="C110">
        <v>23504358953.760193</v>
      </c>
      <c r="D110" s="17" t="b">
        <v>0</v>
      </c>
    </row>
    <row r="111" spans="1:4" x14ac:dyDescent="0.25">
      <c r="A111" s="5">
        <v>2035</v>
      </c>
      <c r="B111" s="6" t="s">
        <v>86</v>
      </c>
      <c r="C111">
        <v>27761528091.248863</v>
      </c>
      <c r="D111" s="17" t="b">
        <v>0</v>
      </c>
    </row>
    <row r="112" spans="1:4" x14ac:dyDescent="0.25">
      <c r="A112" s="5">
        <v>2036</v>
      </c>
      <c r="B112" s="6" t="s">
        <v>86</v>
      </c>
      <c r="C112">
        <v>31862004811.719597</v>
      </c>
      <c r="D112" s="17" t="b">
        <v>0</v>
      </c>
    </row>
    <row r="113" spans="1:7" x14ac:dyDescent="0.25">
      <c r="A113" s="5">
        <v>2037</v>
      </c>
      <c r="B113" s="6" t="s">
        <v>86</v>
      </c>
      <c r="C113">
        <v>35814518679.513542</v>
      </c>
      <c r="D113" s="17" t="b">
        <v>0</v>
      </c>
    </row>
    <row r="114" spans="1:7" x14ac:dyDescent="0.25">
      <c r="A114" s="5">
        <v>2038</v>
      </c>
      <c r="B114" s="6" t="s">
        <v>86</v>
      </c>
      <c r="C114">
        <v>39613026979.670761</v>
      </c>
      <c r="D114" s="17" t="b">
        <v>0</v>
      </c>
    </row>
    <row r="115" spans="1:7" x14ac:dyDescent="0.25">
      <c r="A115" s="5">
        <v>2039</v>
      </c>
      <c r="B115" s="6" t="s">
        <v>86</v>
      </c>
      <c r="C115">
        <v>43258743279.49855</v>
      </c>
      <c r="D115" s="17" t="b">
        <v>0</v>
      </c>
    </row>
    <row r="116" spans="1:7" x14ac:dyDescent="0.25">
      <c r="A116" s="5">
        <v>2040</v>
      </c>
      <c r="B116" s="6" t="s">
        <v>86</v>
      </c>
      <c r="C116">
        <v>46750573279.958817</v>
      </c>
      <c r="D116" s="17" t="b">
        <v>0</v>
      </c>
    </row>
    <row r="117" spans="1:7" x14ac:dyDescent="0.25">
      <c r="A117" s="5">
        <v>2041</v>
      </c>
      <c r="B117" s="6" t="s">
        <v>86</v>
      </c>
      <c r="C117">
        <v>50098515701.157333</v>
      </c>
      <c r="D117" s="17" t="b">
        <v>0</v>
      </c>
    </row>
    <row r="118" spans="1:7" x14ac:dyDescent="0.25">
      <c r="A118" s="5">
        <v>2042</v>
      </c>
      <c r="B118" s="6" t="s">
        <v>86</v>
      </c>
      <c r="C118">
        <v>53294922467.372437</v>
      </c>
      <c r="D118" s="17" t="b">
        <v>0</v>
      </c>
    </row>
    <row r="119" spans="1:7" x14ac:dyDescent="0.25">
      <c r="A119" s="5">
        <v>2043</v>
      </c>
      <c r="B119" s="6" t="s">
        <v>86</v>
      </c>
      <c r="C119">
        <v>56323784083.87001</v>
      </c>
      <c r="D119" s="17" t="b">
        <v>0</v>
      </c>
    </row>
    <row r="120" spans="1:7" x14ac:dyDescent="0.25">
      <c r="A120" s="5">
        <v>2044</v>
      </c>
      <c r="B120" s="6" t="s">
        <v>86</v>
      </c>
      <c r="C120">
        <v>59168402722.488342</v>
      </c>
      <c r="D120" s="17" t="b">
        <v>0</v>
      </c>
    </row>
    <row r="121" spans="1:7" x14ac:dyDescent="0.25">
      <c r="A121" s="5">
        <v>2045</v>
      </c>
      <c r="B121" s="6" t="s">
        <v>86</v>
      </c>
      <c r="C121">
        <v>61792024839.753784</v>
      </c>
      <c r="D121" s="17" t="b">
        <v>0</v>
      </c>
    </row>
    <row r="122" spans="1:7" x14ac:dyDescent="0.25">
      <c r="A122" s="5">
        <v>2022</v>
      </c>
      <c r="B122" s="6" t="s">
        <v>49</v>
      </c>
      <c r="C122">
        <v>0</v>
      </c>
      <c r="D122" s="17" t="b">
        <v>0</v>
      </c>
      <c r="F122">
        <f>(C122*1.9+C74*3.4)</f>
        <v>27120245636.484001</v>
      </c>
      <c r="G122">
        <f>C122+C74</f>
        <v>7976542834.2600002</v>
      </c>
    </row>
    <row r="123" spans="1:7" x14ac:dyDescent="0.25">
      <c r="A123" s="5">
        <v>2023</v>
      </c>
      <c r="B123" s="6" t="s">
        <v>49</v>
      </c>
      <c r="C123">
        <v>196745560.70273453</v>
      </c>
      <c r="D123" s="17" t="b">
        <v>0</v>
      </c>
      <c r="F123">
        <f t="shared" ref="F123:F145" si="8">(C123*1.9+C75*3.4)</f>
        <v>27996095527.129566</v>
      </c>
      <c r="G123">
        <f t="shared" ref="G123:G145" si="9">C123+C75</f>
        <v>8320945255.3481379</v>
      </c>
    </row>
    <row r="124" spans="1:7" x14ac:dyDescent="0.25">
      <c r="A124" s="5">
        <v>2024</v>
      </c>
      <c r="B124" s="6" t="s">
        <v>49</v>
      </c>
      <c r="C124">
        <v>639703666.84393084</v>
      </c>
      <c r="D124" s="17" t="b">
        <v>0</v>
      </c>
      <c r="F124">
        <f t="shared" si="8"/>
        <v>29867260642.146896</v>
      </c>
      <c r="G124">
        <f t="shared" si="9"/>
        <v>9066710630.1214104</v>
      </c>
    </row>
    <row r="125" spans="1:7" x14ac:dyDescent="0.25">
      <c r="A125" s="5">
        <v>2025</v>
      </c>
      <c r="B125" s="6" t="s">
        <v>49</v>
      </c>
      <c r="C125">
        <v>1301478671.0483212</v>
      </c>
      <c r="D125" s="17" t="b">
        <v>0</v>
      </c>
      <c r="F125">
        <f t="shared" si="8"/>
        <v>32929320800.718807</v>
      </c>
      <c r="G125">
        <f t="shared" si="9"/>
        <v>10259276119.791555</v>
      </c>
    </row>
    <row r="126" spans="1:7" x14ac:dyDescent="0.25">
      <c r="A126" s="5">
        <v>2026</v>
      </c>
      <c r="B126" s="6" t="s">
        <v>49</v>
      </c>
      <c r="C126">
        <v>2244152848.803854</v>
      </c>
      <c r="D126" s="17" t="b">
        <v>0</v>
      </c>
      <c r="F126">
        <f t="shared" si="8"/>
        <v>37694812877.507019</v>
      </c>
      <c r="G126">
        <f t="shared" si="9"/>
        <v>12076777103.150824</v>
      </c>
    </row>
    <row r="127" spans="1:7" x14ac:dyDescent="0.25">
      <c r="A127" s="5">
        <v>2027</v>
      </c>
      <c r="B127" s="6" t="s">
        <v>49</v>
      </c>
      <c r="C127">
        <v>3520723396.6146221</v>
      </c>
      <c r="D127" s="17" t="b">
        <v>0</v>
      </c>
      <c r="F127">
        <f t="shared" si="8"/>
        <v>44718813528.49411</v>
      </c>
      <c r="G127">
        <f t="shared" si="9"/>
        <v>14705852536.298838</v>
      </c>
    </row>
    <row r="128" spans="1:7" x14ac:dyDescent="0.25">
      <c r="A128" s="5">
        <v>2028</v>
      </c>
      <c r="B128" s="6" t="s">
        <v>49</v>
      </c>
      <c r="C128">
        <v>5085327299.0246582</v>
      </c>
      <c r="D128" s="17" t="b">
        <v>0</v>
      </c>
      <c r="F128">
        <f t="shared" si="8"/>
        <v>53731347898.643845</v>
      </c>
      <c r="G128">
        <f t="shared" si="9"/>
        <v>18046864366.817894</v>
      </c>
    </row>
    <row r="129" spans="1:7" x14ac:dyDescent="0.25">
      <c r="A129" s="5">
        <v>2029</v>
      </c>
      <c r="B129" s="6" t="s">
        <v>49</v>
      </c>
      <c r="C129">
        <v>6865450346.3436871</v>
      </c>
      <c r="D129" s="17" t="b">
        <v>0</v>
      </c>
      <c r="F129">
        <f t="shared" si="8"/>
        <v>64093081236.37265</v>
      </c>
      <c r="G129">
        <f t="shared" si="9"/>
        <v>21879781398.790642</v>
      </c>
    </row>
    <row r="130" spans="1:7" x14ac:dyDescent="0.25">
      <c r="A130" s="5">
        <v>2030</v>
      </c>
      <c r="B130" s="6" t="s">
        <v>49</v>
      </c>
      <c r="C130">
        <v>8841833676.1151562</v>
      </c>
      <c r="D130" s="17" t="b">
        <v>0</v>
      </c>
      <c r="F130">
        <f t="shared" si="8"/>
        <v>75823178070.126358</v>
      </c>
      <c r="G130">
        <f t="shared" si="9"/>
        <v>26201743701.264442</v>
      </c>
    </row>
    <row r="131" spans="1:7" x14ac:dyDescent="0.25">
      <c r="A131" s="5">
        <v>2031</v>
      </c>
      <c r="B131" s="6" t="s">
        <v>49</v>
      </c>
      <c r="C131">
        <v>11571118928.765388</v>
      </c>
      <c r="D131" s="17" t="b">
        <v>0</v>
      </c>
      <c r="F131">
        <f t="shared" si="8"/>
        <v>90354632522.578674</v>
      </c>
      <c r="G131">
        <f t="shared" si="9"/>
        <v>31679797328.15493</v>
      </c>
    </row>
    <row r="132" spans="1:7" x14ac:dyDescent="0.25">
      <c r="A132" s="5">
        <v>2032</v>
      </c>
      <c r="B132" s="6" t="s">
        <v>49</v>
      </c>
      <c r="C132">
        <v>14955795242.524784</v>
      </c>
      <c r="D132" s="17" t="b">
        <v>0</v>
      </c>
      <c r="F132">
        <f t="shared" si="8"/>
        <v>106567393268.36385</v>
      </c>
      <c r="G132">
        <f t="shared" si="9"/>
        <v>37941495921.220886</v>
      </c>
    </row>
    <row r="133" spans="1:7" x14ac:dyDescent="0.25">
      <c r="A133" s="5">
        <v>2033</v>
      </c>
      <c r="B133" s="6" t="s">
        <v>49</v>
      </c>
      <c r="C133">
        <v>19027993720.681217</v>
      </c>
      <c r="D133" s="17" t="b">
        <v>0</v>
      </c>
      <c r="F133">
        <f t="shared" si="8"/>
        <v>125188769376.91585</v>
      </c>
      <c r="G133">
        <f t="shared" si="9"/>
        <v>45214929399.393433</v>
      </c>
    </row>
    <row r="134" spans="1:7" x14ac:dyDescent="0.25">
      <c r="A134" s="5">
        <v>2034</v>
      </c>
      <c r="B134" s="6" t="s">
        <v>49</v>
      </c>
      <c r="C134">
        <v>23878768490.186569</v>
      </c>
      <c r="D134" s="17" t="b">
        <v>0</v>
      </c>
      <c r="F134">
        <f t="shared" si="8"/>
        <v>146876782037.6402</v>
      </c>
      <c r="G134">
        <f t="shared" si="9"/>
        <v>53733804344.976486</v>
      </c>
    </row>
    <row r="135" spans="1:7" x14ac:dyDescent="0.25">
      <c r="A135" s="5">
        <v>2035</v>
      </c>
      <c r="B135" s="6" t="s">
        <v>49</v>
      </c>
      <c r="C135">
        <v>29643673147.115543</v>
      </c>
      <c r="D135" s="17" t="b">
        <v>0</v>
      </c>
      <c r="F135">
        <f t="shared" si="8"/>
        <v>173434086093.51953</v>
      </c>
      <c r="G135">
        <f t="shared" si="9"/>
        <v>64088116415.939072</v>
      </c>
    </row>
    <row r="136" spans="1:7" x14ac:dyDescent="0.25">
      <c r="A136" s="5">
        <v>2036</v>
      </c>
      <c r="B136" s="6" t="s">
        <v>49</v>
      </c>
      <c r="C136">
        <v>35895298508.74205</v>
      </c>
      <c r="D136" s="17" t="b">
        <v>0</v>
      </c>
      <c r="F136">
        <f t="shared" si="8"/>
        <v>202835841647.31989</v>
      </c>
      <c r="G136">
        <f t="shared" si="9"/>
        <v>75493761591.303818</v>
      </c>
    </row>
    <row r="137" spans="1:7" x14ac:dyDescent="0.25">
      <c r="A137" s="5">
        <v>2037</v>
      </c>
      <c r="B137" s="6" t="s">
        <v>49</v>
      </c>
      <c r="C137">
        <v>43001520607.182518</v>
      </c>
      <c r="D137" s="17" t="b">
        <v>0</v>
      </c>
      <c r="F137">
        <f t="shared" si="8"/>
        <v>234470124001.37775</v>
      </c>
      <c r="G137">
        <f t="shared" si="9"/>
        <v>87933060268.279877</v>
      </c>
    </row>
    <row r="138" spans="1:7" x14ac:dyDescent="0.25">
      <c r="A138" s="5">
        <v>2038</v>
      </c>
      <c r="B138" s="6" t="s">
        <v>49</v>
      </c>
      <c r="C138">
        <v>50880438556.964462</v>
      </c>
      <c r="D138" s="17" t="b">
        <v>0</v>
      </c>
      <c r="F138">
        <f t="shared" si="8"/>
        <v>267926645170.19727</v>
      </c>
      <c r="G138">
        <f t="shared" si="9"/>
        <v>101249206766.36588</v>
      </c>
    </row>
    <row r="139" spans="1:7" x14ac:dyDescent="0.25">
      <c r="A139" s="5">
        <v>2039</v>
      </c>
      <c r="B139" s="6" t="s">
        <v>49</v>
      </c>
      <c r="C139">
        <v>59526651974.539909</v>
      </c>
      <c r="D139" s="17" t="b">
        <v>0</v>
      </c>
      <c r="F139">
        <f t="shared" si="8"/>
        <v>303493232279.40527</v>
      </c>
      <c r="G139">
        <f t="shared" si="9"/>
        <v>115524473600.35739</v>
      </c>
    </row>
    <row r="140" spans="1:7" x14ac:dyDescent="0.25">
      <c r="A140" s="5">
        <v>2040</v>
      </c>
      <c r="B140" s="6" t="s">
        <v>49</v>
      </c>
      <c r="C140">
        <v>68939306243.540161</v>
      </c>
      <c r="D140" s="17" t="b">
        <v>0</v>
      </c>
      <c r="F140">
        <f t="shared" si="8"/>
        <v>340872286237.68628</v>
      </c>
      <c r="G140">
        <f t="shared" si="9"/>
        <v>130670954589.11664</v>
      </c>
    </row>
    <row r="141" spans="1:7" x14ac:dyDescent="0.25">
      <c r="A141" s="5">
        <v>2041</v>
      </c>
      <c r="B141" s="6" t="s">
        <v>49</v>
      </c>
      <c r="C141">
        <v>78483473018.662735</v>
      </c>
      <c r="D141" s="17" t="b">
        <v>0</v>
      </c>
      <c r="F141">
        <f t="shared" si="8"/>
        <v>378375561905.02759</v>
      </c>
      <c r="G141">
        <f t="shared" si="9"/>
        <v>145911991597.94757</v>
      </c>
    </row>
    <row r="142" spans="1:7" x14ac:dyDescent="0.25">
      <c r="A142" s="5">
        <v>2042</v>
      </c>
      <c r="B142" s="6" t="s">
        <v>49</v>
      </c>
      <c r="C142">
        <v>88109207393.692261</v>
      </c>
      <c r="D142" s="17" t="b">
        <v>0</v>
      </c>
      <c r="F142">
        <f t="shared" si="8"/>
        <v>415950846258.50317</v>
      </c>
      <c r="G142">
        <f t="shared" si="9"/>
        <v>161210193337.95343</v>
      </c>
    </row>
    <row r="143" spans="1:7" x14ac:dyDescent="0.25">
      <c r="A143" s="5">
        <v>2043</v>
      </c>
      <c r="B143" s="6" t="s">
        <v>49</v>
      </c>
      <c r="C143">
        <v>97795071626.247742</v>
      </c>
      <c r="D143" s="17" t="b">
        <v>0</v>
      </c>
      <c r="F143">
        <f t="shared" si="8"/>
        <v>453718502733.24158</v>
      </c>
      <c r="G143">
        <f t="shared" si="9"/>
        <v>176591502991.94507</v>
      </c>
    </row>
    <row r="144" spans="1:7" x14ac:dyDescent="0.25">
      <c r="A144" s="5">
        <v>2044</v>
      </c>
      <c r="B144" s="6" t="s">
        <v>49</v>
      </c>
      <c r="C144">
        <v>107477547907.69724</v>
      </c>
      <c r="D144" s="17" t="b">
        <v>0</v>
      </c>
      <c r="F144">
        <f t="shared" si="8"/>
        <v>491153775686.26318</v>
      </c>
      <c r="G144">
        <f t="shared" si="9"/>
        <v>191873558102.29678</v>
      </c>
    </row>
    <row r="145" spans="1:7" x14ac:dyDescent="0.25">
      <c r="A145" s="5">
        <v>2045</v>
      </c>
      <c r="B145" s="6" t="s">
        <v>49</v>
      </c>
      <c r="C145">
        <v>117114269441.50186</v>
      </c>
      <c r="D145" s="17" t="b">
        <v>0</v>
      </c>
      <c r="F145">
        <f t="shared" si="8"/>
        <v>527731762127.09265</v>
      </c>
      <c r="G145">
        <f t="shared" si="9"/>
        <v>206883284202.74866</v>
      </c>
    </row>
    <row r="146" spans="1:7" x14ac:dyDescent="0.25">
      <c r="A146" s="5">
        <v>2022</v>
      </c>
      <c r="B146" s="6" t="s">
        <v>29</v>
      </c>
      <c r="C146">
        <v>20527019336.274921</v>
      </c>
      <c r="D146" s="17" t="b">
        <v>0</v>
      </c>
      <c r="E146">
        <f>C146/1000000/134.47</f>
        <v>152.65129275135658</v>
      </c>
    </row>
    <row r="147" spans="1:7" x14ac:dyDescent="0.25">
      <c r="A147" s="5">
        <v>2023</v>
      </c>
      <c r="B147" s="6" t="s">
        <v>29</v>
      </c>
      <c r="C147">
        <v>19705126746.21183</v>
      </c>
      <c r="D147" s="17" t="b">
        <v>0</v>
      </c>
      <c r="E147">
        <f t="shared" ref="E147:E169" si="10">C147/1000000/134.47</f>
        <v>146.53920388348203</v>
      </c>
    </row>
    <row r="148" spans="1:7" x14ac:dyDescent="0.25">
      <c r="A148" s="5">
        <v>2024</v>
      </c>
      <c r="B148" s="6" t="s">
        <v>29</v>
      </c>
      <c r="C148">
        <v>18796789015.46508</v>
      </c>
      <c r="D148" s="17" t="b">
        <v>0</v>
      </c>
      <c r="E148">
        <f t="shared" si="10"/>
        <v>139.78425682654185</v>
      </c>
    </row>
    <row r="149" spans="1:7" x14ac:dyDescent="0.25">
      <c r="A149" s="5">
        <v>2025</v>
      </c>
      <c r="B149" s="6" t="s">
        <v>29</v>
      </c>
      <c r="C149">
        <v>17986332297.341938</v>
      </c>
      <c r="D149" s="17" t="b">
        <v>0</v>
      </c>
      <c r="E149">
        <f t="shared" si="10"/>
        <v>133.75721199778343</v>
      </c>
    </row>
    <row r="150" spans="1:7" x14ac:dyDescent="0.25">
      <c r="A150" s="5">
        <v>2026</v>
      </c>
      <c r="B150" s="6" t="s">
        <v>29</v>
      </c>
      <c r="C150">
        <v>17264522982.816219</v>
      </c>
      <c r="D150" s="17" t="b">
        <v>0</v>
      </c>
      <c r="E150">
        <f t="shared" si="10"/>
        <v>128.38940271299339</v>
      </c>
    </row>
    <row r="151" spans="1:7" x14ac:dyDescent="0.25">
      <c r="A151" s="5">
        <v>2027</v>
      </c>
      <c r="B151" s="6" t="s">
        <v>29</v>
      </c>
      <c r="C151">
        <v>16469821064.91304</v>
      </c>
      <c r="D151" s="17" t="b">
        <v>0</v>
      </c>
      <c r="E151">
        <f t="shared" si="10"/>
        <v>122.47952007818131</v>
      </c>
    </row>
    <row r="152" spans="1:7" x14ac:dyDescent="0.25">
      <c r="A152" s="5">
        <v>2028</v>
      </c>
      <c r="B152" s="6" t="s">
        <v>29</v>
      </c>
      <c r="C152">
        <v>15588594694.86869</v>
      </c>
      <c r="D152" s="17" t="b">
        <v>0</v>
      </c>
      <c r="E152">
        <f t="shared" si="10"/>
        <v>115.9261894464839</v>
      </c>
    </row>
    <row r="153" spans="1:7" x14ac:dyDescent="0.25">
      <c r="A153" s="5">
        <v>2029</v>
      </c>
      <c r="B153" s="6" t="s">
        <v>29</v>
      </c>
      <c r="C153">
        <v>14796792309.758369</v>
      </c>
      <c r="D153" s="17" t="b">
        <v>0</v>
      </c>
      <c r="E153">
        <f t="shared" si="10"/>
        <v>110.03786948582115</v>
      </c>
    </row>
    <row r="154" spans="1:7" x14ac:dyDescent="0.25">
      <c r="A154" s="5">
        <v>2030</v>
      </c>
      <c r="B154" s="6" t="s">
        <v>29</v>
      </c>
      <c r="C154">
        <v>14058833721.44408</v>
      </c>
      <c r="D154" s="17" t="b">
        <v>0</v>
      </c>
      <c r="E154">
        <f t="shared" si="10"/>
        <v>104.5499644637769</v>
      </c>
    </row>
    <row r="155" spans="1:7" x14ac:dyDescent="0.25">
      <c r="A155" s="5">
        <v>2031</v>
      </c>
      <c r="B155" s="6" t="s">
        <v>29</v>
      </c>
      <c r="C155">
        <v>13359521479.485291</v>
      </c>
      <c r="D155" s="17" t="b">
        <v>0</v>
      </c>
      <c r="E155">
        <f t="shared" si="10"/>
        <v>99.349456975424189</v>
      </c>
    </row>
    <row r="156" spans="1:7" x14ac:dyDescent="0.25">
      <c r="A156" s="5">
        <v>2032</v>
      </c>
      <c r="B156" s="6" t="s">
        <v>29</v>
      </c>
      <c r="C156">
        <v>12785403974.488998</v>
      </c>
      <c r="D156" s="17" t="b">
        <v>0</v>
      </c>
      <c r="E156">
        <f t="shared" si="10"/>
        <v>95.079973038514154</v>
      </c>
    </row>
    <row r="157" spans="1:7" x14ac:dyDescent="0.25">
      <c r="A157" s="5">
        <v>2033</v>
      </c>
      <c r="B157" s="6" t="s">
        <v>29</v>
      </c>
      <c r="C157">
        <v>12169754770.196428</v>
      </c>
      <c r="D157" s="17" t="b">
        <v>0</v>
      </c>
      <c r="E157">
        <f t="shared" si="10"/>
        <v>90.501634343693226</v>
      </c>
    </row>
    <row r="158" spans="1:7" x14ac:dyDescent="0.25">
      <c r="A158" s="5">
        <v>2034</v>
      </c>
      <c r="B158" s="6" t="s">
        <v>29</v>
      </c>
      <c r="C158">
        <v>11544369063.92662</v>
      </c>
      <c r="D158" s="17" t="b">
        <v>0</v>
      </c>
      <c r="E158">
        <f t="shared" si="10"/>
        <v>85.850889149450595</v>
      </c>
    </row>
    <row r="159" spans="1:7" x14ac:dyDescent="0.25">
      <c r="A159" s="5">
        <v>2035</v>
      </c>
      <c r="B159" s="6" t="s">
        <v>29</v>
      </c>
      <c r="C159">
        <v>10867867872.677021</v>
      </c>
      <c r="D159" s="17" t="b">
        <v>0</v>
      </c>
      <c r="E159">
        <f t="shared" si="10"/>
        <v>80.820018388317251</v>
      </c>
    </row>
    <row r="160" spans="1:7" x14ac:dyDescent="0.25">
      <c r="A160" s="5">
        <v>2036</v>
      </c>
      <c r="B160" s="6" t="s">
        <v>29</v>
      </c>
      <c r="C160">
        <v>10136297508.50901</v>
      </c>
      <c r="D160" s="17" t="b">
        <v>0</v>
      </c>
      <c r="E160">
        <f t="shared" si="10"/>
        <v>75.379620052866898</v>
      </c>
    </row>
    <row r="161" spans="1:5" x14ac:dyDescent="0.25">
      <c r="A161" s="5">
        <v>2037</v>
      </c>
      <c r="B161" s="6" t="s">
        <v>29</v>
      </c>
      <c r="C161">
        <v>9355292038.0830593</v>
      </c>
      <c r="D161" s="17" t="b">
        <v>0</v>
      </c>
      <c r="E161">
        <f t="shared" si="10"/>
        <v>69.571592459902291</v>
      </c>
    </row>
    <row r="162" spans="1:5" x14ac:dyDescent="0.25">
      <c r="A162" s="5">
        <v>2038</v>
      </c>
      <c r="B162" s="6" t="s">
        <v>29</v>
      </c>
      <c r="C162">
        <v>8519032254.1823893</v>
      </c>
      <c r="D162" s="17" t="b">
        <v>0</v>
      </c>
      <c r="E162">
        <f t="shared" si="10"/>
        <v>63.352660475811632</v>
      </c>
    </row>
    <row r="163" spans="1:5" x14ac:dyDescent="0.25">
      <c r="A163" s="5">
        <v>2039</v>
      </c>
      <c r="B163" s="6" t="s">
        <v>29</v>
      </c>
      <c r="C163">
        <v>7624247294.7380905</v>
      </c>
      <c r="D163" s="17" t="b">
        <v>0</v>
      </c>
      <c r="E163">
        <f t="shared" si="10"/>
        <v>56.698499998052284</v>
      </c>
    </row>
    <row r="164" spans="1:5" x14ac:dyDescent="0.25">
      <c r="A164" s="5">
        <v>2040</v>
      </c>
      <c r="B164" s="6" t="s">
        <v>29</v>
      </c>
      <c r="C164">
        <v>6771071186.0046597</v>
      </c>
      <c r="D164" s="17" t="b">
        <v>0</v>
      </c>
      <c r="E164">
        <f t="shared" si="10"/>
        <v>50.353768022641923</v>
      </c>
    </row>
    <row r="165" spans="1:5" x14ac:dyDescent="0.25">
      <c r="A165" s="5">
        <v>2041</v>
      </c>
      <c r="B165" s="6" t="s">
        <v>29</v>
      </c>
      <c r="C165">
        <v>5868931311.6285505</v>
      </c>
      <c r="D165" s="17" t="b">
        <v>0</v>
      </c>
      <c r="E165">
        <f t="shared" si="10"/>
        <v>43.64491196273184</v>
      </c>
    </row>
    <row r="166" spans="1:5" x14ac:dyDescent="0.25">
      <c r="A166" s="5">
        <v>2042</v>
      </c>
      <c r="B166" s="6" t="s">
        <v>29</v>
      </c>
      <c r="C166">
        <v>5050132715.7779398</v>
      </c>
      <c r="D166" s="17" t="b">
        <v>0</v>
      </c>
      <c r="E166">
        <f t="shared" si="10"/>
        <v>37.555831901375321</v>
      </c>
    </row>
    <row r="167" spans="1:5" x14ac:dyDescent="0.25">
      <c r="A167" s="5">
        <v>2043</v>
      </c>
      <c r="B167" s="6" t="s">
        <v>29</v>
      </c>
      <c r="C167">
        <v>4301877105.9507399</v>
      </c>
      <c r="D167" s="17" t="b">
        <v>0</v>
      </c>
      <c r="E167">
        <f t="shared" si="10"/>
        <v>31.991352018671375</v>
      </c>
    </row>
    <row r="168" spans="1:5" x14ac:dyDescent="0.25">
      <c r="A168" s="5">
        <v>2044</v>
      </c>
      <c r="B168" s="6" t="s">
        <v>29</v>
      </c>
      <c r="C168">
        <v>3650614406.59271</v>
      </c>
      <c r="D168" s="17" t="b">
        <v>0</v>
      </c>
      <c r="E168">
        <f t="shared" si="10"/>
        <v>27.148169901038969</v>
      </c>
    </row>
    <row r="169" spans="1:5" x14ac:dyDescent="0.25">
      <c r="A169" s="5">
        <v>2045</v>
      </c>
      <c r="B169" s="6" t="s">
        <v>29</v>
      </c>
      <c r="C169">
        <v>3055747361.0136399</v>
      </c>
      <c r="D169" s="17" t="b">
        <v>0</v>
      </c>
      <c r="E169">
        <f t="shared" si="10"/>
        <v>22.724379869217223</v>
      </c>
    </row>
    <row r="170" spans="1:5" x14ac:dyDescent="0.25">
      <c r="A170" s="5">
        <v>2050</v>
      </c>
      <c r="B170" s="6" t="s">
        <v>55</v>
      </c>
      <c r="C170" s="5">
        <v>0</v>
      </c>
      <c r="D170" s="17" t="b">
        <v>1</v>
      </c>
    </row>
    <row r="171" spans="1:5" x14ac:dyDescent="0.25">
      <c r="A171" s="5">
        <v>2020</v>
      </c>
      <c r="B171" s="6" t="s">
        <v>44</v>
      </c>
      <c r="C171">
        <v>50902978587.875999</v>
      </c>
      <c r="D171" s="17" t="b">
        <v>0</v>
      </c>
    </row>
    <row r="172" spans="1:5" x14ac:dyDescent="0.25">
      <c r="A172" s="5">
        <v>2021</v>
      </c>
      <c r="B172" s="6" t="s">
        <v>44</v>
      </c>
      <c r="C172">
        <v>62418167069.344704</v>
      </c>
      <c r="D172" s="17" t="b">
        <v>0</v>
      </c>
    </row>
    <row r="173" spans="1:5" x14ac:dyDescent="0.25">
      <c r="A173" s="5">
        <v>2022</v>
      </c>
      <c r="B173" s="6" t="s">
        <v>44</v>
      </c>
      <c r="C173">
        <v>66805282970.887909</v>
      </c>
      <c r="D173" s="17" t="b">
        <v>0</v>
      </c>
    </row>
    <row r="174" spans="1:5" x14ac:dyDescent="0.25">
      <c r="A174" s="5">
        <v>2023</v>
      </c>
      <c r="B174" s="6" t="s">
        <v>44</v>
      </c>
      <c r="C174">
        <v>68191432092.625504</v>
      </c>
      <c r="D174" s="17" t="b">
        <v>0</v>
      </c>
    </row>
    <row r="175" spans="1:5" x14ac:dyDescent="0.25">
      <c r="A175" s="5">
        <v>2024</v>
      </c>
      <c r="B175" s="6" t="s">
        <v>44</v>
      </c>
      <c r="C175">
        <v>68871265321.358704</v>
      </c>
      <c r="D175" s="17" t="b">
        <v>0</v>
      </c>
    </row>
    <row r="176" spans="1:5" x14ac:dyDescent="0.25">
      <c r="A176" s="5">
        <v>2025</v>
      </c>
      <c r="B176" s="6" t="s">
        <v>44</v>
      </c>
      <c r="C176">
        <v>69176326490.820801</v>
      </c>
      <c r="D176" s="17" t="b">
        <v>0</v>
      </c>
    </row>
    <row r="177" spans="1:4" x14ac:dyDescent="0.25">
      <c r="A177" s="5">
        <v>2026</v>
      </c>
      <c r="B177" s="6" t="s">
        <v>44</v>
      </c>
      <c r="C177">
        <v>68654498802.893097</v>
      </c>
      <c r="D177" s="17" t="b">
        <v>0</v>
      </c>
    </row>
    <row r="178" spans="1:4" x14ac:dyDescent="0.25">
      <c r="A178" s="5">
        <v>2027</v>
      </c>
      <c r="B178" s="6" t="s">
        <v>44</v>
      </c>
      <c r="C178">
        <v>67999324291.698303</v>
      </c>
      <c r="D178" s="17" t="b">
        <v>0</v>
      </c>
    </row>
    <row r="179" spans="1:4" x14ac:dyDescent="0.25">
      <c r="A179" s="5">
        <v>2028</v>
      </c>
      <c r="B179" s="6" t="s">
        <v>44</v>
      </c>
      <c r="C179">
        <v>67172794071.734901</v>
      </c>
      <c r="D179" s="17" t="b">
        <v>0</v>
      </c>
    </row>
    <row r="180" spans="1:4" x14ac:dyDescent="0.25">
      <c r="A180" s="5">
        <v>2029</v>
      </c>
      <c r="B180" s="6" t="s">
        <v>44</v>
      </c>
      <c r="C180">
        <v>66170354166.347893</v>
      </c>
      <c r="D180" s="17" t="b">
        <v>0</v>
      </c>
    </row>
    <row r="181" spans="1:4" x14ac:dyDescent="0.25">
      <c r="A181" s="5">
        <v>2030</v>
      </c>
      <c r="B181" s="6" t="s">
        <v>44</v>
      </c>
      <c r="C181">
        <v>65092899269.815903</v>
      </c>
      <c r="D181" s="17" t="b">
        <v>0</v>
      </c>
    </row>
    <row r="182" spans="1:4" x14ac:dyDescent="0.25">
      <c r="A182" s="5">
        <v>2031</v>
      </c>
      <c r="B182" s="6" t="s">
        <v>44</v>
      </c>
      <c r="C182">
        <v>65634354750.176804</v>
      </c>
      <c r="D182" s="17" t="b">
        <v>0</v>
      </c>
    </row>
    <row r="183" spans="1:4" x14ac:dyDescent="0.25">
      <c r="A183" s="5">
        <v>2032</v>
      </c>
      <c r="B183" s="6" t="s">
        <v>44</v>
      </c>
      <c r="C183">
        <v>66148424447.416695</v>
      </c>
      <c r="D183" s="17" t="b">
        <v>0</v>
      </c>
    </row>
    <row r="184" spans="1:4" x14ac:dyDescent="0.25">
      <c r="A184" s="5">
        <v>2033</v>
      </c>
      <c r="B184" s="6" t="s">
        <v>44</v>
      </c>
      <c r="C184">
        <v>66635959879.507294</v>
      </c>
      <c r="D184" s="17" t="b">
        <v>0</v>
      </c>
    </row>
    <row r="185" spans="1:4" x14ac:dyDescent="0.25">
      <c r="A185" s="5">
        <v>2034</v>
      </c>
      <c r="B185" s="6" t="s">
        <v>44</v>
      </c>
      <c r="C185">
        <v>67096318841.333099</v>
      </c>
      <c r="D185" s="17" t="b">
        <v>0</v>
      </c>
    </row>
    <row r="186" spans="1:4" x14ac:dyDescent="0.25">
      <c r="A186" s="5">
        <v>2035</v>
      </c>
      <c r="B186" s="6" t="s">
        <v>44</v>
      </c>
      <c r="C186">
        <v>67528844560.2453</v>
      </c>
      <c r="D186" s="17" t="b">
        <v>0</v>
      </c>
    </row>
    <row r="187" spans="1:4" x14ac:dyDescent="0.25">
      <c r="A187" s="5">
        <v>2036</v>
      </c>
      <c r="B187" s="6" t="s">
        <v>44</v>
      </c>
      <c r="C187">
        <v>67934145398.713799</v>
      </c>
      <c r="D187" s="17" t="b">
        <v>0</v>
      </c>
    </row>
    <row r="188" spans="1:4" x14ac:dyDescent="0.25">
      <c r="A188" s="5">
        <v>2037</v>
      </c>
      <c r="B188" s="6" t="s">
        <v>44</v>
      </c>
      <c r="C188">
        <v>68313650626.299599</v>
      </c>
      <c r="D188" s="17" t="b">
        <v>0</v>
      </c>
    </row>
    <row r="189" spans="1:4" x14ac:dyDescent="0.25">
      <c r="A189" s="5">
        <v>2038</v>
      </c>
      <c r="B189" s="6" t="s">
        <v>44</v>
      </c>
      <c r="C189">
        <v>68665783086.908005</v>
      </c>
      <c r="D189" s="17" t="b">
        <v>0</v>
      </c>
    </row>
    <row r="190" spans="1:4" x14ac:dyDescent="0.25">
      <c r="A190" s="5">
        <v>2039</v>
      </c>
      <c r="B190" s="6" t="s">
        <v>44</v>
      </c>
      <c r="C190">
        <v>68988078917.164444</v>
      </c>
      <c r="D190" s="17" t="b">
        <v>0</v>
      </c>
    </row>
    <row r="191" spans="1:4" x14ac:dyDescent="0.25">
      <c r="A191" s="5">
        <v>2040</v>
      </c>
      <c r="B191" s="6" t="s">
        <v>44</v>
      </c>
      <c r="C191">
        <v>69284630311.023651</v>
      </c>
      <c r="D191" s="17" t="b">
        <v>0</v>
      </c>
    </row>
    <row r="192" spans="1:4" x14ac:dyDescent="0.25">
      <c r="A192" s="5">
        <v>2041</v>
      </c>
      <c r="B192" s="6" t="s">
        <v>44</v>
      </c>
      <c r="C192">
        <v>69553043957.364273</v>
      </c>
      <c r="D192" s="17" t="b">
        <v>0</v>
      </c>
    </row>
    <row r="193" spans="1:5" x14ac:dyDescent="0.25">
      <c r="A193" s="5">
        <v>2042</v>
      </c>
      <c r="B193" s="6" t="s">
        <v>44</v>
      </c>
      <c r="C193">
        <v>69795620720.361969</v>
      </c>
      <c r="D193" s="17" t="b">
        <v>0</v>
      </c>
    </row>
    <row r="194" spans="1:5" x14ac:dyDescent="0.25">
      <c r="A194" s="5">
        <v>2043</v>
      </c>
      <c r="B194" s="6" t="s">
        <v>44</v>
      </c>
      <c r="C194">
        <v>70011266599.243515</v>
      </c>
      <c r="D194" s="17" t="b">
        <v>0</v>
      </c>
    </row>
    <row r="195" spans="1:5" x14ac:dyDescent="0.25">
      <c r="A195" s="5">
        <v>2044</v>
      </c>
      <c r="B195" s="6" t="s">
        <v>44</v>
      </c>
      <c r="C195">
        <v>70200960506.284409</v>
      </c>
      <c r="D195" s="17" t="b">
        <v>0</v>
      </c>
    </row>
    <row r="196" spans="1:5" x14ac:dyDescent="0.25">
      <c r="A196" s="5">
        <v>2045</v>
      </c>
      <c r="B196" s="6" t="s">
        <v>44</v>
      </c>
      <c r="C196">
        <v>70364908819.443634</v>
      </c>
      <c r="D196" s="17" t="b">
        <v>0</v>
      </c>
    </row>
    <row r="197" spans="1:5" ht="25.5" x14ac:dyDescent="0.25">
      <c r="A197" s="5">
        <v>2022</v>
      </c>
      <c r="B197" s="6" t="s">
        <v>115</v>
      </c>
      <c r="C197">
        <v>0</v>
      </c>
      <c r="D197" s="17" t="b">
        <v>1</v>
      </c>
      <c r="E197" t="s">
        <v>116</v>
      </c>
    </row>
    <row r="198" spans="1:5" x14ac:dyDescent="0.25">
      <c r="A198" s="5"/>
      <c r="B198" s="6"/>
      <c r="D198" s="17"/>
    </row>
    <row r="199" spans="1:5" x14ac:dyDescent="0.25">
      <c r="A199" s="5"/>
      <c r="B199" s="6"/>
      <c r="D199" s="17"/>
    </row>
    <row r="200" spans="1:5" x14ac:dyDescent="0.25">
      <c r="A200" s="5"/>
      <c r="B200" s="6"/>
      <c r="D200" s="17"/>
    </row>
    <row r="201" spans="1:5" x14ac:dyDescent="0.25">
      <c r="A201" s="5"/>
      <c r="B201" s="6"/>
      <c r="D201" s="17"/>
    </row>
    <row r="202" spans="1:5" x14ac:dyDescent="0.25">
      <c r="A202" s="5"/>
      <c r="B202" s="6"/>
      <c r="D202" s="17"/>
    </row>
    <row r="203" spans="1:5" x14ac:dyDescent="0.25">
      <c r="A203" s="5"/>
      <c r="B203" s="6"/>
      <c r="D203" s="17"/>
    </row>
    <row r="204" spans="1:5" x14ac:dyDescent="0.25">
      <c r="A204" s="5"/>
      <c r="B204" s="6"/>
      <c r="D204" s="17"/>
    </row>
    <row r="205" spans="1:5" x14ac:dyDescent="0.25">
      <c r="A205" s="5"/>
      <c r="B205" s="6"/>
      <c r="D205" s="17"/>
    </row>
    <row r="206" spans="1:5" x14ac:dyDescent="0.25">
      <c r="A206" s="5"/>
      <c r="B206" s="6"/>
      <c r="D206" s="17"/>
    </row>
  </sheetData>
  <phoneticPr fontId="5" type="noConversion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C2" sqref="C2"/>
    </sheetView>
  </sheetViews>
  <sheetFormatPr defaultRowHeight="15" x14ac:dyDescent="0.25"/>
  <cols>
    <col min="2" max="2" width="17.28515625" bestFit="1" customWidth="1"/>
    <col min="3" max="3" width="17.140625" bestFit="1" customWidth="1"/>
    <col min="4" max="4" width="16.7109375" bestFit="1" customWidth="1"/>
    <col min="5" max="5" width="11" bestFit="1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5" x14ac:dyDescent="0.25">
      <c r="A2">
        <v>2022</v>
      </c>
      <c r="B2" t="s">
        <v>38</v>
      </c>
      <c r="C2">
        <v>36810856097.940002</v>
      </c>
    </row>
    <row r="3" spans="1:5" x14ac:dyDescent="0.25">
      <c r="A3">
        <v>2022</v>
      </c>
      <c r="B3" t="s">
        <v>32</v>
      </c>
      <c r="C3" s="29">
        <f>1062*129.65*1000000</f>
        <v>137688300000.00003</v>
      </c>
    </row>
    <row r="4" spans="1:5" x14ac:dyDescent="0.25">
      <c r="A4">
        <v>2022</v>
      </c>
      <c r="B4" t="s">
        <v>128</v>
      </c>
      <c r="C4">
        <v>5568655430</v>
      </c>
    </row>
    <row r="5" spans="1:5" x14ac:dyDescent="0.25">
      <c r="A5">
        <v>2022</v>
      </c>
      <c r="B5" t="s">
        <v>47</v>
      </c>
      <c r="C5" s="32">
        <f>50*1000000*80</f>
        <v>4000000000</v>
      </c>
    </row>
    <row r="6" spans="1:5" x14ac:dyDescent="0.25">
      <c r="A6">
        <v>2023</v>
      </c>
      <c r="B6" t="s">
        <v>47</v>
      </c>
      <c r="C6" s="32">
        <f>C5*1.2</f>
        <v>4800000000</v>
      </c>
    </row>
    <row r="7" spans="1:5" x14ac:dyDescent="0.25">
      <c r="A7">
        <v>2024</v>
      </c>
      <c r="B7" t="s">
        <v>47</v>
      </c>
      <c r="C7" s="32">
        <f t="shared" ref="C7:C11" si="0">C6*1.2</f>
        <v>5760000000</v>
      </c>
    </row>
    <row r="8" spans="1:5" x14ac:dyDescent="0.25">
      <c r="A8">
        <v>2025</v>
      </c>
      <c r="B8" t="s">
        <v>47</v>
      </c>
      <c r="C8" s="32">
        <f t="shared" si="0"/>
        <v>6912000000</v>
      </c>
    </row>
    <row r="9" spans="1:5" x14ac:dyDescent="0.25">
      <c r="A9">
        <v>2026</v>
      </c>
      <c r="B9" t="s">
        <v>47</v>
      </c>
      <c r="C9" s="32">
        <f t="shared" si="0"/>
        <v>8294400000</v>
      </c>
    </row>
    <row r="10" spans="1:5" x14ac:dyDescent="0.25">
      <c r="A10">
        <v>2027</v>
      </c>
      <c r="B10" t="s">
        <v>47</v>
      </c>
      <c r="C10" s="32">
        <f t="shared" si="0"/>
        <v>9953280000</v>
      </c>
    </row>
    <row r="11" spans="1:5" x14ac:dyDescent="0.25">
      <c r="A11">
        <v>2028</v>
      </c>
      <c r="B11" t="s">
        <v>47</v>
      </c>
      <c r="C11" s="32">
        <f t="shared" si="0"/>
        <v>11943936000</v>
      </c>
    </row>
    <row r="12" spans="1:5" x14ac:dyDescent="0.25">
      <c r="A12">
        <v>2029</v>
      </c>
      <c r="B12" t="s">
        <v>47</v>
      </c>
      <c r="C12" s="32">
        <f>C11*1.2</f>
        <v>14332723200</v>
      </c>
      <c r="E12" s="18"/>
    </row>
  </sheetData>
  <phoneticPr fontId="5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69"/>
  <sheetViews>
    <sheetView tabSelected="1" zoomScaleNormal="100" workbookViewId="0">
      <selection activeCell="G11" sqref="G11"/>
    </sheetView>
  </sheetViews>
  <sheetFormatPr defaultRowHeight="15" x14ac:dyDescent="0.25"/>
  <cols>
    <col min="2" max="2" width="24.140625" bestFit="1" customWidth="1"/>
    <col min="3" max="3" width="17.5703125" customWidth="1"/>
    <col min="4" max="4" width="14.5703125" customWidth="1"/>
    <col min="5" max="5" width="15.42578125" customWidth="1"/>
    <col min="6" max="6" width="11.42578125" customWidth="1"/>
    <col min="7" max="10" width="23.5703125" customWidth="1"/>
    <col min="11" max="11" width="16.28515625" customWidth="1"/>
    <col min="12" max="14" width="15.7109375" customWidth="1"/>
    <col min="15" max="15" width="48.85546875" customWidth="1"/>
    <col min="16" max="17" width="18.140625" customWidth="1"/>
    <col min="18" max="18" width="21.140625" customWidth="1"/>
    <col min="19" max="19" width="18.85546875" customWidth="1"/>
    <col min="20" max="20" width="18.5703125" customWidth="1"/>
    <col min="21" max="21" width="24.7109375" bestFit="1" customWidth="1"/>
    <col min="22" max="22" width="12.5703125" bestFit="1" customWidth="1"/>
    <col min="23" max="23" width="18.140625" bestFit="1" customWidth="1"/>
    <col min="24" max="24" width="13.28515625" bestFit="1" customWidth="1"/>
    <col min="29" max="29" width="28.5703125" bestFit="1" customWidth="1"/>
  </cols>
  <sheetData>
    <row r="1" spans="1:24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t="s">
        <v>222</v>
      </c>
      <c r="I1" t="s">
        <v>223</v>
      </c>
      <c r="K1" s="1" t="s">
        <v>9</v>
      </c>
      <c r="L1" s="1" t="s">
        <v>10</v>
      </c>
      <c r="M1" s="1" t="s">
        <v>20</v>
      </c>
      <c r="N1" s="1" t="s">
        <v>83</v>
      </c>
      <c r="O1" s="1" t="s">
        <v>79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101</v>
      </c>
      <c r="V1" s="1" t="s">
        <v>16</v>
      </c>
      <c r="W1" s="1" t="s">
        <v>102</v>
      </c>
      <c r="X1" s="1" t="s">
        <v>17</v>
      </c>
    </row>
    <row r="2" spans="1:24" x14ac:dyDescent="0.25">
      <c r="A2">
        <v>2022</v>
      </c>
      <c r="B2" t="s">
        <v>32</v>
      </c>
      <c r="C2" t="s">
        <v>30</v>
      </c>
      <c r="D2" t="s">
        <v>33</v>
      </c>
      <c r="E2" s="29">
        <f>872+53</f>
        <v>925</v>
      </c>
      <c r="F2" t="s">
        <v>35</v>
      </c>
      <c r="G2" s="29">
        <v>38878</v>
      </c>
      <c r="H2" cm="1">
        <f t="array" aca="1" ref="H2" ca="1">INDEX(Feedstock!$C$1:$AM$1,MATCH(TRUE,INDEX(OFFSET(Feedstock!$C$1:$AM$1,MATCH($D2,Feedstock!A:A,0),0,,37),0)&lt;&gt;0,0))</f>
        <v>80</v>
      </c>
      <c r="I2" cm="1">
        <f t="array" aca="1" ref="I2" ca="1">LOOKUP(2,1/(INDEX(OFFSET(Feedstock!$C$1:$AM$1,MATCH($D2,Feedstock!A:A,0),0,,37),0)&lt;&gt;0=TRUE),Feedstock!$C$1:$AM$1)</f>
        <v>80</v>
      </c>
      <c r="K2" t="s">
        <v>34</v>
      </c>
      <c r="L2">
        <v>56</v>
      </c>
      <c r="M2" t="s">
        <v>69</v>
      </c>
      <c r="N2">
        <v>1</v>
      </c>
      <c r="P2">
        <v>1.9E-2</v>
      </c>
      <c r="Q2" t="s">
        <v>36</v>
      </c>
      <c r="R2" t="s">
        <v>122</v>
      </c>
      <c r="S2" t="s">
        <v>59</v>
      </c>
      <c r="U2" t="s">
        <v>32</v>
      </c>
      <c r="V2" t="s">
        <v>104</v>
      </c>
      <c r="W2">
        <f>1/129.65/1000000</f>
        <v>7.713073659853452E-9</v>
      </c>
      <c r="X2" t="s">
        <v>103</v>
      </c>
    </row>
    <row r="3" spans="1:24" x14ac:dyDescent="0.25">
      <c r="A3">
        <v>2022</v>
      </c>
      <c r="B3" t="s">
        <v>32</v>
      </c>
      <c r="C3" t="s">
        <v>30</v>
      </c>
      <c r="D3" t="s">
        <v>37</v>
      </c>
      <c r="E3" s="29">
        <f>1069+53</f>
        <v>1122</v>
      </c>
      <c r="F3" t="s">
        <v>35</v>
      </c>
      <c r="G3" s="29">
        <v>37655</v>
      </c>
      <c r="H3" cm="1">
        <f t="array" aca="1" ref="H3" ca="1">INDEX(Feedstock!$C$1:$AM$1,MATCH(TRUE,INDEX(OFFSET(Feedstock!$C$1:$AM$1,MATCH($D3,Feedstock!A:A,0),0,,37),0)&lt;&gt;0,0))</f>
        <v>600</v>
      </c>
      <c r="I3" cm="1">
        <f t="array" aca="1" ref="I3" ca="1">LOOKUP(2,1/(INDEX(OFFSET(Feedstock!$C$1:$AM$1,MATCH($D3,Feedstock!A:A,0),0,,37),0)&lt;&gt;0=TRUE),Feedstock!$C$1:$AM$1)</f>
        <v>2200</v>
      </c>
      <c r="K3" t="s">
        <v>34</v>
      </c>
      <c r="L3">
        <v>31</v>
      </c>
      <c r="M3" t="s">
        <v>69</v>
      </c>
      <c r="N3">
        <v>1</v>
      </c>
      <c r="P3">
        <v>1.9E-2</v>
      </c>
      <c r="Q3" t="s">
        <v>36</v>
      </c>
      <c r="R3" t="s">
        <v>82</v>
      </c>
      <c r="S3" t="s">
        <v>59</v>
      </c>
      <c r="U3" t="s">
        <v>32</v>
      </c>
      <c r="V3" t="s">
        <v>104</v>
      </c>
      <c r="W3">
        <f>1/129.65/1000000</f>
        <v>7.713073659853452E-9</v>
      </c>
    </row>
    <row r="4" spans="1:24" x14ac:dyDescent="0.25">
      <c r="A4">
        <v>2022</v>
      </c>
      <c r="B4" t="s">
        <v>38</v>
      </c>
      <c r="C4" t="s">
        <v>30</v>
      </c>
      <c r="D4" t="s">
        <v>33</v>
      </c>
      <c r="E4" s="29">
        <f>53+53</f>
        <v>106</v>
      </c>
      <c r="F4" t="s">
        <v>35</v>
      </c>
      <c r="G4">
        <v>31520</v>
      </c>
      <c r="H4" cm="1">
        <f t="array" aca="1" ref="H4" ca="1">INDEX(Feedstock!$C$1:$AM$1,MATCH(TRUE,INDEX(OFFSET(Feedstock!$C$1:$AM$1,MATCH($D4,Feedstock!A:A,0),0,,37),0)&lt;&gt;0,0))</f>
        <v>80</v>
      </c>
      <c r="I4" cm="1">
        <f t="array" aca="1" ref="I4" ca="1">LOOKUP(2,1/(INDEX(OFFSET(Feedstock!$C$1:$AM$1,MATCH($D4,Feedstock!A:A,0),0,,37),0)&lt;&gt;0=TRUE),Feedstock!$C$1:$AM$1)</f>
        <v>80</v>
      </c>
      <c r="K4" t="s">
        <v>34</v>
      </c>
      <c r="L4">
        <v>55</v>
      </c>
      <c r="M4" t="s">
        <v>69</v>
      </c>
      <c r="N4">
        <v>1</v>
      </c>
      <c r="P4">
        <v>1.7000000000000001E-2</v>
      </c>
      <c r="Q4" t="s">
        <v>36</v>
      </c>
      <c r="R4" t="s">
        <v>122</v>
      </c>
      <c r="S4" t="s">
        <v>59</v>
      </c>
      <c r="T4" t="s">
        <v>75</v>
      </c>
      <c r="U4" t="s">
        <v>38</v>
      </c>
      <c r="V4" t="s">
        <v>104</v>
      </c>
      <c r="W4">
        <f>1/126.13/1000000</f>
        <v>7.9283279156425911E-9</v>
      </c>
    </row>
    <row r="5" spans="1:24" x14ac:dyDescent="0.25">
      <c r="A5">
        <v>2022</v>
      </c>
      <c r="B5" t="s">
        <v>38</v>
      </c>
      <c r="C5" t="s">
        <v>30</v>
      </c>
      <c r="D5" t="s">
        <v>37</v>
      </c>
      <c r="E5" s="29">
        <f>330+53</f>
        <v>383</v>
      </c>
      <c r="F5" t="s">
        <v>35</v>
      </c>
      <c r="G5">
        <v>34064</v>
      </c>
      <c r="H5" cm="1">
        <f t="array" aca="1" ref="H5" ca="1">INDEX(Feedstock!$C$1:$AM$1,MATCH(TRUE,INDEX(OFFSET(Feedstock!$C$1:$AM$1,MATCH($D5,Feedstock!A:A,0),0,,37),0)&lt;&gt;0,0))</f>
        <v>600</v>
      </c>
      <c r="I5" cm="1">
        <f t="array" aca="1" ref="I5" ca="1">LOOKUP(2,1/(INDEX(OFFSET(Feedstock!$C$1:$AM$1,MATCH($D5,Feedstock!A:A,0),0,,37),0)&lt;&gt;0=TRUE),Feedstock!$C$1:$AM$1)</f>
        <v>2200</v>
      </c>
      <c r="K5" t="s">
        <v>34</v>
      </c>
      <c r="L5">
        <v>25</v>
      </c>
      <c r="M5" t="s">
        <v>69</v>
      </c>
      <c r="N5">
        <v>1</v>
      </c>
      <c r="P5">
        <v>1.7000000000000001E-2</v>
      </c>
      <c r="Q5" t="s">
        <v>36</v>
      </c>
      <c r="R5" t="s">
        <v>82</v>
      </c>
      <c r="S5" t="s">
        <v>59</v>
      </c>
      <c r="T5" t="s">
        <v>75</v>
      </c>
      <c r="U5" t="s">
        <v>38</v>
      </c>
      <c r="V5" t="s">
        <v>104</v>
      </c>
      <c r="W5">
        <f>1/126.13/1000000</f>
        <v>7.9283279156425911E-9</v>
      </c>
    </row>
    <row r="6" spans="1:24" x14ac:dyDescent="0.25">
      <c r="A6">
        <v>2039</v>
      </c>
      <c r="B6" t="s">
        <v>128</v>
      </c>
      <c r="C6" t="s">
        <v>29</v>
      </c>
      <c r="D6" t="s">
        <v>130</v>
      </c>
      <c r="E6">
        <v>11.4</v>
      </c>
      <c r="F6" t="s">
        <v>66</v>
      </c>
      <c r="G6">
        <v>1055</v>
      </c>
      <c r="H6" cm="1">
        <f t="array" aca="1" ref="H6" ca="1">INDEX(Feedstock!$C$1:$AM$1,MATCH(TRUE,INDEX(OFFSET(Feedstock!$C$1:$AM$1,MATCH($D6,Feedstock!A:A,0),0,,37),0)&lt;&gt;0,0))</f>
        <v>50</v>
      </c>
      <c r="I6" cm="1">
        <f t="array" aca="1" ref="I6" ca="1">LOOKUP(2,1/(INDEX(OFFSET(Feedstock!$C$1:$AM$1,MATCH($D6,Feedstock!A:A,0),0,,37),0)&lt;&gt;0=TRUE),Feedstock!$C$1:$AM$1)</f>
        <v>125</v>
      </c>
      <c r="K6" t="s">
        <v>81</v>
      </c>
      <c r="L6">
        <v>-293</v>
      </c>
      <c r="M6" t="s">
        <v>69</v>
      </c>
      <c r="N6">
        <v>0.9</v>
      </c>
      <c r="P6" s="10">
        <f>3/7700*1000000/1055</f>
        <v>0.36929894749799963</v>
      </c>
      <c r="Q6" t="s">
        <v>36</v>
      </c>
      <c r="R6" t="s">
        <v>167</v>
      </c>
      <c r="S6" t="s">
        <v>59</v>
      </c>
      <c r="U6" t="s">
        <v>131</v>
      </c>
      <c r="V6" t="s">
        <v>106</v>
      </c>
      <c r="W6">
        <f>1/134.47/1000000</f>
        <v>7.436602959767978E-9</v>
      </c>
    </row>
    <row r="7" spans="1:24" x14ac:dyDescent="0.25">
      <c r="A7">
        <v>2022</v>
      </c>
      <c r="B7" t="s">
        <v>132</v>
      </c>
      <c r="C7" t="s">
        <v>29</v>
      </c>
      <c r="D7" t="s">
        <v>50</v>
      </c>
      <c r="E7">
        <v>11.4</v>
      </c>
      <c r="F7" t="s">
        <v>66</v>
      </c>
      <c r="G7">
        <v>1055</v>
      </c>
      <c r="H7" cm="1">
        <f t="array" aca="1" ref="H7" ca="1">INDEX(Feedstock!$C$1:$AM$1,MATCH(TRUE,INDEX(OFFSET(Feedstock!$C$1:$AM$1,MATCH($D7,Feedstock!A:A,0),0,,37),0)&lt;&gt;0,0))</f>
        <v>0</v>
      </c>
      <c r="I7" cm="1">
        <f t="array" aca="1" ref="I7" ca="1">LOOKUP(2,1/(INDEX(OFFSET(Feedstock!$C$1:$AM$1,MATCH($D7,Feedstock!A:A,0),0,,37),0)&lt;&gt;0=TRUE),Feedstock!$C$1:$AM$1)</f>
        <v>0</v>
      </c>
      <c r="K7" t="s">
        <v>81</v>
      </c>
      <c r="L7">
        <v>45</v>
      </c>
      <c r="M7" t="s">
        <v>69</v>
      </c>
      <c r="N7">
        <v>0.9</v>
      </c>
      <c r="P7" s="10">
        <f>3/7700*1000000/1055</f>
        <v>0.36929894749799963</v>
      </c>
      <c r="Q7" t="s">
        <v>36</v>
      </c>
      <c r="R7" t="s">
        <v>82</v>
      </c>
      <c r="S7" t="s">
        <v>59</v>
      </c>
      <c r="U7" t="s">
        <v>133</v>
      </c>
      <c r="V7" t="s">
        <v>106</v>
      </c>
      <c r="W7">
        <f>1/134.47/1000000</f>
        <v>7.436602959767978E-9</v>
      </c>
    </row>
    <row r="8" spans="1:24" x14ac:dyDescent="0.25">
      <c r="A8">
        <v>2039</v>
      </c>
      <c r="B8" t="s">
        <v>89</v>
      </c>
      <c r="C8" t="s">
        <v>46</v>
      </c>
      <c r="D8" t="s">
        <v>134</v>
      </c>
      <c r="E8">
        <v>0</v>
      </c>
      <c r="F8" t="s">
        <v>66</v>
      </c>
      <c r="G8">
        <v>601.34999999999991</v>
      </c>
      <c r="H8" cm="1">
        <f t="array" aca="1" ref="H8" ca="1">INDEX(Feedstock!$C$1:$AM$1,MATCH(TRUE,INDEX(OFFSET(Feedstock!$C$1:$AM$1,MATCH($D8,Feedstock!A:A,0),0,,37),0)&lt;&gt;0,0))</f>
        <v>0</v>
      </c>
      <c r="I8" cm="1">
        <f t="array" aca="1" ref="I8" ca="1">LOOKUP(2,1/(INDEX(OFFSET(Feedstock!$C$1:$AM$1,MATCH($D8,Feedstock!A:A,0),0,,37),0)&lt;&gt;0=TRUE),Feedstock!$C$1:$AM$1)</f>
        <v>0</v>
      </c>
      <c r="K8" t="s">
        <v>81</v>
      </c>
      <c r="L8" s="29">
        <v>-440</v>
      </c>
      <c r="M8" t="s">
        <v>69</v>
      </c>
      <c r="N8">
        <v>3.4</v>
      </c>
      <c r="R8" t="s">
        <v>183</v>
      </c>
      <c r="S8" t="s">
        <v>60</v>
      </c>
      <c r="U8" t="s">
        <v>181</v>
      </c>
      <c r="V8" t="s">
        <v>108</v>
      </c>
      <c r="W8">
        <f>1/3.6/1000000</f>
        <v>2.7777777777777781E-7</v>
      </c>
    </row>
    <row r="9" spans="1:24" x14ac:dyDescent="0.25">
      <c r="A9">
        <v>2022</v>
      </c>
      <c r="B9" t="s">
        <v>91</v>
      </c>
      <c r="C9" t="s">
        <v>46</v>
      </c>
      <c r="D9" t="s">
        <v>45</v>
      </c>
      <c r="E9">
        <v>0</v>
      </c>
      <c r="F9" t="s">
        <v>62</v>
      </c>
      <c r="G9">
        <v>3600</v>
      </c>
      <c r="H9" cm="1">
        <f t="array" aca="1" ref="H9" ca="1">INDEX(Feedstock!$C$1:$AM$1,MATCH(TRUE,INDEX(OFFSET(Feedstock!$C$1:$AM$1,MATCH($D9,Feedstock!A:A,0),0,,37),0)&lt;&gt;0,0))</f>
        <v>7</v>
      </c>
      <c r="I9" cm="1">
        <f t="array" aca="1" ref="I9" ca="1">LOOKUP(2,1/(INDEX(OFFSET(Feedstock!$C$1:$AM$1,MATCH($D9,Feedstock!A:A,0),0,,37),0)&lt;&gt;0=TRUE),Feedstock!$C$1:$AM$1)</f>
        <v>7</v>
      </c>
      <c r="K9" t="s">
        <v>63</v>
      </c>
      <c r="L9">
        <v>76.73</v>
      </c>
      <c r="M9" t="s">
        <v>69</v>
      </c>
      <c r="N9">
        <v>3.4</v>
      </c>
      <c r="R9" t="s">
        <v>82</v>
      </c>
      <c r="S9" t="s">
        <v>60</v>
      </c>
      <c r="U9" t="s">
        <v>95</v>
      </c>
      <c r="V9" t="s">
        <v>108</v>
      </c>
      <c r="W9">
        <f>1/3.6/1000000</f>
        <v>2.7777777777777781E-7</v>
      </c>
    </row>
    <row r="10" spans="1:24" x14ac:dyDescent="0.25">
      <c r="A10">
        <v>2022</v>
      </c>
      <c r="B10" t="s">
        <v>90</v>
      </c>
      <c r="C10" t="s">
        <v>46</v>
      </c>
      <c r="D10" t="s">
        <v>45</v>
      </c>
      <c r="E10">
        <v>18</v>
      </c>
      <c r="F10" t="s">
        <v>62</v>
      </c>
      <c r="G10">
        <v>3600</v>
      </c>
      <c r="H10" cm="1">
        <f t="array" aca="1" ref="H10" ca="1">INDEX(Feedstock!$C$1:$AM$1,MATCH(TRUE,INDEX(OFFSET(Feedstock!$C$1:$AM$1,MATCH($D10,Feedstock!A:A,0),0,,37),0)&lt;&gt;0,0))</f>
        <v>7</v>
      </c>
      <c r="I10" cm="1">
        <f t="array" aca="1" ref="I10" ca="1">LOOKUP(2,1/(INDEX(OFFSET(Feedstock!$C$1:$AM$1,MATCH($D10,Feedstock!A:A,0),0,,37),0)&lt;&gt;0=TRUE),Feedstock!$C$1:$AM$1)</f>
        <v>7</v>
      </c>
      <c r="K10" t="s">
        <v>63</v>
      </c>
      <c r="L10">
        <v>0</v>
      </c>
      <c r="M10" t="s">
        <v>69</v>
      </c>
      <c r="N10">
        <v>3.4</v>
      </c>
      <c r="O10" s="29" t="s">
        <v>178</v>
      </c>
      <c r="P10" s="29">
        <v>5.0000000000000001E-3</v>
      </c>
      <c r="Q10" s="29" t="s">
        <v>36</v>
      </c>
      <c r="R10" t="s">
        <v>82</v>
      </c>
      <c r="S10" t="s">
        <v>60</v>
      </c>
      <c r="U10" t="s">
        <v>95</v>
      </c>
      <c r="V10" t="s">
        <v>108</v>
      </c>
      <c r="W10">
        <f>1/3.6/1000000</f>
        <v>2.7777777777777781E-7</v>
      </c>
    </row>
    <row r="11" spans="1:24" x14ac:dyDescent="0.25">
      <c r="A11">
        <v>2022</v>
      </c>
      <c r="B11" t="s">
        <v>42</v>
      </c>
      <c r="C11" t="s">
        <v>31</v>
      </c>
      <c r="D11" t="s">
        <v>43</v>
      </c>
      <c r="E11" s="29">
        <v>0.75</v>
      </c>
      <c r="F11" t="s">
        <v>72</v>
      </c>
      <c r="G11">
        <v>235</v>
      </c>
      <c r="H11" cm="1">
        <f t="array" aca="1" ref="H11" ca="1">INDEX(Feedstock!$C$1:$AM$1,MATCH(TRUE,INDEX(OFFSET(Feedstock!$C$1:$AM$1,MATCH($D11,Feedstock!A:A,0),0,,37),0)&lt;&gt;0,0))</f>
        <v>90</v>
      </c>
      <c r="I11" cm="1">
        <f t="array" aca="1" ref="I11" ca="1">LOOKUP(2,1/(INDEX(OFFSET(Feedstock!$C$1:$AM$1,MATCH($D11,Feedstock!A:A,0),0,,37),0)&lt;&gt;0=TRUE),Feedstock!$C$1:$AM$1)</f>
        <v>90</v>
      </c>
      <c r="K11" t="s">
        <v>73</v>
      </c>
      <c r="L11">
        <v>66</v>
      </c>
      <c r="M11" t="s">
        <v>69</v>
      </c>
      <c r="N11">
        <v>1</v>
      </c>
      <c r="O11" t="s">
        <v>80</v>
      </c>
      <c r="P11" s="11">
        <v>1.4E-2</v>
      </c>
      <c r="Q11" t="s">
        <v>36</v>
      </c>
      <c r="R11" t="s">
        <v>82</v>
      </c>
      <c r="S11" t="s">
        <v>60</v>
      </c>
      <c r="T11" t="s">
        <v>74</v>
      </c>
      <c r="U11" t="s">
        <v>42</v>
      </c>
      <c r="V11" t="s">
        <v>104</v>
      </c>
      <c r="W11">
        <f>1/81.51/1000000</f>
        <v>1.2268433321064899E-8</v>
      </c>
    </row>
    <row r="12" spans="1:24" x14ac:dyDescent="0.25">
      <c r="A12">
        <v>2022</v>
      </c>
      <c r="B12" t="s">
        <v>110</v>
      </c>
      <c r="C12" t="s">
        <v>31</v>
      </c>
      <c r="D12" t="s">
        <v>41</v>
      </c>
      <c r="E12">
        <v>22</v>
      </c>
      <c r="F12" t="s">
        <v>64</v>
      </c>
      <c r="G12">
        <v>4687</v>
      </c>
      <c r="H12" cm="1">
        <f t="array" aca="1" ref="H12" ca="1">INDEX(Feedstock!$C$1:$AM$1,MATCH(TRUE,INDEX(OFFSET(Feedstock!$C$1:$AM$1,MATCH($D12,Feedstock!A:A,0),0,,37),0)&lt;&gt;0,0))</f>
        <v>6</v>
      </c>
      <c r="I12" cm="1">
        <f t="array" aca="1" ref="I12" ca="1">LOOKUP(2,1/(INDEX(OFFSET(Feedstock!$C$1:$AM$1,MATCH($D12,Feedstock!A:A,0),0,,37),0)&lt;&gt;0=TRUE),Feedstock!$C$1:$AM$1)</f>
        <v>6</v>
      </c>
      <c r="K12" t="s">
        <v>68</v>
      </c>
      <c r="L12">
        <v>100.82</v>
      </c>
      <c r="M12" t="s">
        <v>69</v>
      </c>
      <c r="N12">
        <v>1</v>
      </c>
      <c r="O12" t="s">
        <v>84</v>
      </c>
      <c r="R12" t="s">
        <v>161</v>
      </c>
      <c r="S12" t="s">
        <v>60</v>
      </c>
      <c r="U12" t="s">
        <v>110</v>
      </c>
      <c r="V12" t="s">
        <v>104</v>
      </c>
      <c r="W12">
        <f>1/119.53/1000000</f>
        <v>8.3661005605287371E-9</v>
      </c>
    </row>
    <row r="13" spans="1:24" x14ac:dyDescent="0.25">
      <c r="A13">
        <v>2022</v>
      </c>
      <c r="B13" t="s">
        <v>109</v>
      </c>
      <c r="C13" t="s">
        <v>30</v>
      </c>
      <c r="D13" t="s">
        <v>41</v>
      </c>
      <c r="E13">
        <v>10</v>
      </c>
      <c r="F13" t="s">
        <v>64</v>
      </c>
      <c r="G13">
        <v>4528</v>
      </c>
      <c r="H13" cm="1">
        <f t="array" aca="1" ref="H13" ca="1">INDEX(Feedstock!$C$1:$AM$1,MATCH(TRUE,INDEX(OFFSET(Feedstock!$C$1:$AM$1,MATCH($D13,Feedstock!A:A,0),0,,37),0)&lt;&gt;0,0))</f>
        <v>6</v>
      </c>
      <c r="I13" cm="1">
        <f t="array" aca="1" ref="I13" ca="1">LOOKUP(2,1/(INDEX(OFFSET(Feedstock!$C$1:$AM$1,MATCH($D13,Feedstock!A:A,0),0,,37),0)&lt;&gt;0=TRUE),Feedstock!$C$1:$AM$1)</f>
        <v>6</v>
      </c>
      <c r="K13" t="s">
        <v>68</v>
      </c>
      <c r="L13">
        <v>100.45</v>
      </c>
      <c r="M13" t="s">
        <v>69</v>
      </c>
      <c r="N13">
        <v>1</v>
      </c>
      <c r="O13" t="s">
        <v>84</v>
      </c>
      <c r="R13" t="s">
        <v>162</v>
      </c>
      <c r="S13" t="s">
        <v>59</v>
      </c>
      <c r="U13" t="s">
        <v>109</v>
      </c>
      <c r="V13" t="s">
        <v>104</v>
      </c>
      <c r="W13">
        <f>1/134.47/1000000</f>
        <v>7.436602959767978E-9</v>
      </c>
    </row>
    <row r="14" spans="1:24" x14ac:dyDescent="0.25">
      <c r="A14">
        <v>2022</v>
      </c>
      <c r="B14" t="s">
        <v>47</v>
      </c>
      <c r="C14" t="s">
        <v>31</v>
      </c>
      <c r="D14" t="s">
        <v>43</v>
      </c>
      <c r="E14" s="29">
        <v>0.75</v>
      </c>
      <c r="F14" t="s">
        <v>72</v>
      </c>
      <c r="G14">
        <v>235</v>
      </c>
      <c r="H14" cm="1">
        <f t="array" aca="1" ref="H14" ca="1">INDEX(Feedstock!$C$1:$AM$1,MATCH(TRUE,INDEX(OFFSET(Feedstock!$C$1:$AM$1,MATCH($D14,Feedstock!A:A,0),0,,37),0)&lt;&gt;0,0))</f>
        <v>90</v>
      </c>
      <c r="I14" cm="1">
        <f t="array" aca="1" ref="I14" ca="1">LOOKUP(2,1/(INDEX(OFFSET(Feedstock!$C$1:$AM$1,MATCH($D14,Feedstock!A:A,0),0,,37),0)&lt;&gt;0=TRUE),Feedstock!$C$1:$AM$1)</f>
        <v>90</v>
      </c>
      <c r="K14" t="s">
        <v>73</v>
      </c>
      <c r="L14">
        <v>66</v>
      </c>
      <c r="M14" t="s">
        <v>69</v>
      </c>
      <c r="N14">
        <v>1</v>
      </c>
      <c r="O14" t="s">
        <v>149</v>
      </c>
      <c r="P14" s="11"/>
      <c r="Q14" t="s">
        <v>36</v>
      </c>
      <c r="R14" t="s">
        <v>82</v>
      </c>
      <c r="S14" t="s">
        <v>60</v>
      </c>
      <c r="U14" t="s">
        <v>47</v>
      </c>
      <c r="V14" t="s">
        <v>104</v>
      </c>
      <c r="W14">
        <f>1/81.51/1000000</f>
        <v>1.2268433321064899E-8</v>
      </c>
    </row>
    <row r="15" spans="1:24" x14ac:dyDescent="0.25">
      <c r="A15">
        <v>2022</v>
      </c>
      <c r="B15" t="s">
        <v>39</v>
      </c>
      <c r="C15" t="s">
        <v>31</v>
      </c>
      <c r="D15" t="s">
        <v>33</v>
      </c>
      <c r="E15" s="29">
        <f>872+53+33</f>
        <v>958</v>
      </c>
      <c r="F15" t="s">
        <v>35</v>
      </c>
      <c r="G15" s="29">
        <v>38878</v>
      </c>
      <c r="H15" cm="1">
        <f t="array" aca="1" ref="H15" ca="1">INDEX(Feedstock!$C$1:$AM$1,MATCH(TRUE,INDEX(OFFSET(Feedstock!$C$1:$AM$1,MATCH($D15,Feedstock!A:A,0),0,,37),0)&lt;&gt;0,0))</f>
        <v>80</v>
      </c>
      <c r="I15" cm="1">
        <f t="array" aca="1" ref="I15" ca="1">LOOKUP(2,1/(INDEX(OFFSET(Feedstock!$C$1:$AM$1,MATCH($D15,Feedstock!A:A,0),0,,37),0)&lt;&gt;0=TRUE),Feedstock!$C$1:$AM$1)</f>
        <v>80</v>
      </c>
      <c r="K15" t="s">
        <v>34</v>
      </c>
      <c r="L15">
        <f>L2</f>
        <v>56</v>
      </c>
      <c r="M15" t="s">
        <v>69</v>
      </c>
      <c r="N15">
        <v>1</v>
      </c>
      <c r="P15">
        <v>1.9E-2</v>
      </c>
      <c r="Q15" t="s">
        <v>36</v>
      </c>
      <c r="R15" t="s">
        <v>122</v>
      </c>
      <c r="S15" t="s">
        <v>60</v>
      </c>
      <c r="U15" t="s">
        <v>39</v>
      </c>
      <c r="V15" t="s">
        <v>104</v>
      </c>
      <c r="W15">
        <f>1/119.53/1000000</f>
        <v>8.3661005605287371E-9</v>
      </c>
    </row>
    <row r="16" spans="1:24" x14ac:dyDescent="0.25">
      <c r="A16">
        <v>2022</v>
      </c>
      <c r="B16" t="s">
        <v>39</v>
      </c>
      <c r="C16" t="s">
        <v>31</v>
      </c>
      <c r="D16" t="s">
        <v>37</v>
      </c>
      <c r="E16" s="29">
        <f>1069+53+33</f>
        <v>1155</v>
      </c>
      <c r="F16" t="s">
        <v>35</v>
      </c>
      <c r="G16" s="29">
        <v>37655</v>
      </c>
      <c r="H16" cm="1">
        <f t="array" aca="1" ref="H16" ca="1">INDEX(Feedstock!$C$1:$AM$1,MATCH(TRUE,INDEX(OFFSET(Feedstock!$C$1:$AM$1,MATCH($D16,Feedstock!A:A,0),0,,37),0)&lt;&gt;0,0))</f>
        <v>600</v>
      </c>
      <c r="I16" cm="1">
        <f t="array" aca="1" ref="I16" ca="1">LOOKUP(2,1/(INDEX(OFFSET(Feedstock!$C$1:$AM$1,MATCH($D16,Feedstock!A:A,0),0,,37),0)&lt;&gt;0=TRUE),Feedstock!$C$1:$AM$1)</f>
        <v>2200</v>
      </c>
      <c r="K16" t="s">
        <v>34</v>
      </c>
      <c r="L16">
        <f>L3</f>
        <v>31</v>
      </c>
      <c r="M16" t="s">
        <v>69</v>
      </c>
      <c r="N16">
        <v>1</v>
      </c>
      <c r="P16">
        <v>1.9E-2</v>
      </c>
      <c r="Q16" t="s">
        <v>36</v>
      </c>
      <c r="R16" t="s">
        <v>82</v>
      </c>
      <c r="S16" t="s">
        <v>60</v>
      </c>
      <c r="U16" t="s">
        <v>39</v>
      </c>
      <c r="V16" t="s">
        <v>104</v>
      </c>
      <c r="W16">
        <f>1/119.53/1000000</f>
        <v>8.3661005605287371E-9</v>
      </c>
    </row>
    <row r="17" spans="1:23" x14ac:dyDescent="0.25">
      <c r="A17">
        <v>2022</v>
      </c>
      <c r="B17" t="s">
        <v>29</v>
      </c>
      <c r="C17" t="s">
        <v>29</v>
      </c>
      <c r="D17" t="s">
        <v>40</v>
      </c>
      <c r="E17">
        <v>11.4</v>
      </c>
      <c r="F17" t="s">
        <v>66</v>
      </c>
      <c r="G17">
        <v>1055</v>
      </c>
      <c r="H17" cm="1">
        <f t="array" aca="1" ref="H17" ca="1">INDEX(Feedstock!$C$1:$AM$1,MATCH(TRUE,INDEX(OFFSET(Feedstock!$C$1:$AM$1,MATCH($D17,Feedstock!A:A,0),0,,37),0)&lt;&gt;0,0))</f>
        <v>7</v>
      </c>
      <c r="I17" cm="1">
        <f t="array" aca="1" ref="I17" ca="1">LOOKUP(2,1/(INDEX(OFFSET(Feedstock!$C$1:$AM$1,MATCH($D17,Feedstock!A:A,0),0,,37),0)&lt;&gt;0=TRUE),Feedstock!$C$1:$AM$1)</f>
        <v>40</v>
      </c>
      <c r="K17" t="s">
        <v>81</v>
      </c>
      <c r="L17">
        <v>79.2</v>
      </c>
      <c r="M17" t="s">
        <v>69</v>
      </c>
      <c r="N17">
        <v>1</v>
      </c>
      <c r="O17" t="s">
        <v>85</v>
      </c>
      <c r="R17" t="s">
        <v>82</v>
      </c>
      <c r="S17" t="s">
        <v>59</v>
      </c>
      <c r="U17" t="s">
        <v>135</v>
      </c>
      <c r="V17" t="s">
        <v>106</v>
      </c>
      <c r="W17">
        <f>1/134.47/1000000</f>
        <v>7.436602959767978E-9</v>
      </c>
    </row>
    <row r="18" spans="1:23" x14ac:dyDescent="0.25">
      <c r="A18">
        <v>2022</v>
      </c>
      <c r="B18" t="s">
        <v>52</v>
      </c>
      <c r="C18" t="s">
        <v>49</v>
      </c>
      <c r="D18" t="s">
        <v>40</v>
      </c>
      <c r="E18">
        <v>51.2</v>
      </c>
      <c r="F18" t="s">
        <v>66</v>
      </c>
      <c r="G18">
        <v>865.1</v>
      </c>
      <c r="H18" cm="1">
        <f t="array" aca="1" ref="H18" ca="1">INDEX(Feedstock!$C$1:$AM$1,MATCH(TRUE,INDEX(OFFSET(Feedstock!$C$1:$AM$1,MATCH($D18,Feedstock!A:A,0),0,,37),0)&lt;&gt;0,0))</f>
        <v>7</v>
      </c>
      <c r="I18" cm="1">
        <f t="array" aca="1" ref="I18" ca="1">LOOKUP(2,1/(INDEX(OFFSET(Feedstock!$C$1:$AM$1,MATCH($D18,Feedstock!A:A,0),0,,37),0)&lt;&gt;0=TRUE),Feedstock!$C$1:$AM$1)</f>
        <v>40</v>
      </c>
      <c r="K18" t="s">
        <v>81</v>
      </c>
      <c r="L18" s="29">
        <v>118</v>
      </c>
      <c r="M18" t="s">
        <v>69</v>
      </c>
      <c r="N18">
        <v>1.9</v>
      </c>
      <c r="R18" t="s">
        <v>82</v>
      </c>
      <c r="S18" t="s">
        <v>59</v>
      </c>
      <c r="U18" t="s">
        <v>96</v>
      </c>
      <c r="V18" t="s">
        <v>105</v>
      </c>
      <c r="W18">
        <f>1/120/1000000</f>
        <v>8.3333333333333335E-9</v>
      </c>
    </row>
    <row r="19" spans="1:23" x14ac:dyDescent="0.25">
      <c r="A19">
        <v>2022</v>
      </c>
      <c r="B19" t="s">
        <v>53</v>
      </c>
      <c r="C19" t="s">
        <v>49</v>
      </c>
      <c r="D19" t="s">
        <v>40</v>
      </c>
      <c r="E19">
        <v>56.5</v>
      </c>
      <c r="F19" t="s">
        <v>66</v>
      </c>
      <c r="G19">
        <v>865.1</v>
      </c>
      <c r="H19" cm="1">
        <f t="array" aca="1" ref="H19" ca="1">INDEX(Feedstock!$C$1:$AM$1,MATCH(TRUE,INDEX(OFFSET(Feedstock!$C$1:$AM$1,MATCH($D19,Feedstock!A:A,0),0,,37),0)&lt;&gt;0,0))</f>
        <v>7</v>
      </c>
      <c r="I19" cm="1">
        <f t="array" aca="1" ref="I19" ca="1">LOOKUP(2,1/(INDEX(OFFSET(Feedstock!$C$1:$AM$1,MATCH($D19,Feedstock!A:A,0),0,,37),0)&lt;&gt;0=TRUE),Feedstock!$C$1:$AM$1)</f>
        <v>40</v>
      </c>
      <c r="K19" t="s">
        <v>81</v>
      </c>
      <c r="L19" s="29">
        <v>60</v>
      </c>
      <c r="M19" t="s">
        <v>69</v>
      </c>
      <c r="N19">
        <v>1.9</v>
      </c>
      <c r="R19" t="s">
        <v>82</v>
      </c>
      <c r="S19" t="s">
        <v>59</v>
      </c>
      <c r="U19" t="s">
        <v>96</v>
      </c>
      <c r="V19" t="s">
        <v>105</v>
      </c>
      <c r="W19">
        <f>1/120/1000000</f>
        <v>8.3333333333333335E-9</v>
      </c>
    </row>
    <row r="20" spans="1:23" x14ac:dyDescent="0.25">
      <c r="A20">
        <v>2022</v>
      </c>
      <c r="B20" t="s">
        <v>52</v>
      </c>
      <c r="C20" t="s">
        <v>49</v>
      </c>
      <c r="D20" t="s">
        <v>50</v>
      </c>
      <c r="E20">
        <v>51.2</v>
      </c>
      <c r="F20" t="s">
        <v>66</v>
      </c>
      <c r="G20">
        <v>865.1</v>
      </c>
      <c r="H20" cm="1">
        <f t="array" aca="1" ref="H20" ca="1">INDEX(Feedstock!$C$1:$AM$1,MATCH(TRUE,INDEX(OFFSET(Feedstock!$C$1:$AM$1,MATCH($D20,Feedstock!A:A,0),0,,37),0)&lt;&gt;0,0))</f>
        <v>0</v>
      </c>
      <c r="I20" cm="1">
        <f t="array" aca="1" ref="I20" ca="1">LOOKUP(2,1/(INDEX(OFFSET(Feedstock!$C$1:$AM$1,MATCH($D20,Feedstock!A:A,0),0,,37),0)&lt;&gt;0=TRUE),Feedstock!$C$1:$AM$1)</f>
        <v>0</v>
      </c>
      <c r="K20" t="s">
        <v>81</v>
      </c>
      <c r="L20" s="29">
        <v>99</v>
      </c>
      <c r="M20" t="s">
        <v>69</v>
      </c>
      <c r="N20">
        <v>1.9</v>
      </c>
      <c r="R20" t="s">
        <v>82</v>
      </c>
      <c r="S20" t="s">
        <v>59</v>
      </c>
      <c r="U20" t="s">
        <v>96</v>
      </c>
      <c r="V20" t="s">
        <v>105</v>
      </c>
      <c r="W20">
        <f>1/120/1000000</f>
        <v>8.3333333333333335E-9</v>
      </c>
    </row>
    <row r="21" spans="1:23" x14ac:dyDescent="0.25">
      <c r="A21">
        <v>2039</v>
      </c>
      <c r="B21" t="s">
        <v>198</v>
      </c>
      <c r="C21" t="s">
        <v>49</v>
      </c>
      <c r="D21" t="s">
        <v>130</v>
      </c>
      <c r="E21">
        <v>51.2</v>
      </c>
      <c r="F21" t="s">
        <v>66</v>
      </c>
      <c r="G21">
        <v>865.1</v>
      </c>
      <c r="H21" cm="1">
        <f t="array" aca="1" ref="H21" ca="1">INDEX(Feedstock!$C$1:$AM$1,MATCH(TRUE,INDEX(OFFSET(Feedstock!$C$1:$AM$1,MATCH($D21,Feedstock!A:A,0),0,,37),0)&lt;&gt;0,0))</f>
        <v>50</v>
      </c>
      <c r="I21" cm="1">
        <f t="array" aca="1" ref="I21" ca="1">LOOKUP(2,1/(INDEX(OFFSET(Feedstock!$C$1:$AM$1,MATCH($D21,Feedstock!A:A,0),0,,37),0)&lt;&gt;0=TRUE),Feedstock!$C$1:$AM$1)</f>
        <v>125</v>
      </c>
      <c r="K21" t="s">
        <v>81</v>
      </c>
      <c r="L21">
        <v>-353</v>
      </c>
      <c r="M21" t="s">
        <v>69</v>
      </c>
      <c r="N21">
        <v>1.9</v>
      </c>
      <c r="R21" t="s">
        <v>167</v>
      </c>
      <c r="S21" t="s">
        <v>59</v>
      </c>
      <c r="U21" t="s">
        <v>96</v>
      </c>
      <c r="V21" t="s">
        <v>105</v>
      </c>
      <c r="W21">
        <f>1/120/1000000</f>
        <v>8.3333333333333335E-9</v>
      </c>
    </row>
    <row r="22" spans="1:23" x14ac:dyDescent="0.25">
      <c r="A22">
        <v>2022</v>
      </c>
      <c r="B22" t="s">
        <v>51</v>
      </c>
      <c r="C22" t="s">
        <v>44</v>
      </c>
      <c r="D22" t="s">
        <v>33</v>
      </c>
      <c r="E22" s="29">
        <f>633+53</f>
        <v>686</v>
      </c>
      <c r="F22" t="s">
        <v>35</v>
      </c>
      <c r="G22" s="29">
        <v>32552</v>
      </c>
      <c r="H22" cm="1">
        <f t="array" aca="1" ref="H22" ca="1">INDEX(Feedstock!$C$1:$AM$1,MATCH(TRUE,INDEX(OFFSET(Feedstock!$C$1:$AM$1,MATCH($D22,Feedstock!A:A,0),0,,37),0)&lt;&gt;0,0))</f>
        <v>80</v>
      </c>
      <c r="I22" cm="1">
        <f t="array" aca="1" ref="I22" ca="1">LOOKUP(2,1/(INDEX(OFFSET(Feedstock!$C$1:$AM$1,MATCH($D22,Feedstock!A:A,0),0,,37),0)&lt;&gt;0=TRUE),Feedstock!$C$1:$AM$1)</f>
        <v>80</v>
      </c>
      <c r="K22" t="s">
        <v>34</v>
      </c>
      <c r="L22" s="31">
        <v>56</v>
      </c>
      <c r="M22" t="s">
        <v>69</v>
      </c>
      <c r="N22">
        <v>1</v>
      </c>
      <c r="O22" s="29" t="s">
        <v>172</v>
      </c>
      <c r="P22" s="29">
        <v>2.1000000000000001E-2</v>
      </c>
      <c r="Q22" s="29" t="s">
        <v>36</v>
      </c>
      <c r="R22" t="s">
        <v>82</v>
      </c>
      <c r="S22" t="s">
        <v>61</v>
      </c>
      <c r="U22" t="s">
        <v>97</v>
      </c>
      <c r="V22" t="s">
        <v>104</v>
      </c>
      <c r="W22">
        <f>1/129.69/1000000</f>
        <v>7.7106947335954979E-9</v>
      </c>
    </row>
    <row r="23" spans="1:23" x14ac:dyDescent="0.25">
      <c r="A23">
        <v>2022</v>
      </c>
      <c r="B23" t="s">
        <v>51</v>
      </c>
      <c r="C23" t="s">
        <v>44</v>
      </c>
      <c r="D23" t="s">
        <v>37</v>
      </c>
      <c r="E23" s="29">
        <f>776+53</f>
        <v>829</v>
      </c>
      <c r="F23" t="s">
        <v>35</v>
      </c>
      <c r="G23" s="29">
        <v>31528</v>
      </c>
      <c r="H23" cm="1">
        <f t="array" aca="1" ref="H23" ca="1">INDEX(Feedstock!$C$1:$AM$1,MATCH(TRUE,INDEX(OFFSET(Feedstock!$C$1:$AM$1,MATCH($D23,Feedstock!A:A,0),0,,37),0)&lt;&gt;0,0))</f>
        <v>600</v>
      </c>
      <c r="I23" cm="1">
        <f t="array" aca="1" ref="I23" ca="1">LOOKUP(2,1/(INDEX(OFFSET(Feedstock!$C$1:$AM$1,MATCH($D23,Feedstock!A:A,0),0,,37),0)&lt;&gt;0=TRUE),Feedstock!$C$1:$AM$1)</f>
        <v>2200</v>
      </c>
      <c r="K23" t="s">
        <v>34</v>
      </c>
      <c r="L23" s="31">
        <v>31</v>
      </c>
      <c r="M23" t="s">
        <v>69</v>
      </c>
      <c r="N23">
        <v>1</v>
      </c>
      <c r="O23" s="29" t="s">
        <v>173</v>
      </c>
      <c r="P23" s="29">
        <v>2.4E-2</v>
      </c>
      <c r="Q23" s="29" t="s">
        <v>36</v>
      </c>
      <c r="R23" t="s">
        <v>122</v>
      </c>
      <c r="S23" t="s">
        <v>61</v>
      </c>
      <c r="U23" t="s">
        <v>97</v>
      </c>
      <c r="V23" t="s">
        <v>104</v>
      </c>
      <c r="W23">
        <f>1/129.69/1000000</f>
        <v>7.7106947335954979E-9</v>
      </c>
    </row>
    <row r="24" spans="1:23" x14ac:dyDescent="0.25">
      <c r="A24">
        <v>2022</v>
      </c>
      <c r="B24" t="s">
        <v>54</v>
      </c>
      <c r="C24" t="s">
        <v>44</v>
      </c>
      <c r="D24" t="s">
        <v>41</v>
      </c>
      <c r="E24">
        <v>0</v>
      </c>
      <c r="F24" t="s">
        <v>35</v>
      </c>
      <c r="G24">
        <f>ROUND(33.78*126.37,0)</f>
        <v>4269</v>
      </c>
      <c r="H24" cm="1">
        <f t="array" aca="1" ref="H24" ca="1">INDEX(Feedstock!$C$1:$AM$1,MATCH(TRUE,INDEX(OFFSET(Feedstock!$C$1:$AM$1,MATCH($D24,Feedstock!A:A,0),0,,37),0)&lt;&gt;0,0))</f>
        <v>6</v>
      </c>
      <c r="I24" cm="1">
        <f t="array" aca="1" ref="I24" ca="1">LOOKUP(2,1/(INDEX(OFFSET(Feedstock!$C$1:$AM$1,MATCH($D24,Feedstock!A:A,0),0,,37),0)&lt;&gt;0=TRUE),Feedstock!$C$1:$AM$1)</f>
        <v>6</v>
      </c>
      <c r="K24" t="s">
        <v>68</v>
      </c>
      <c r="L24">
        <v>89.37</v>
      </c>
      <c r="M24" t="s">
        <v>69</v>
      </c>
      <c r="N24">
        <v>1</v>
      </c>
      <c r="R24" t="s">
        <v>208</v>
      </c>
      <c r="S24" t="s">
        <v>61</v>
      </c>
      <c r="U24" t="s">
        <v>98</v>
      </c>
      <c r="V24" t="s">
        <v>104</v>
      </c>
      <c r="W24">
        <f>1/129.69/1000000</f>
        <v>7.7106947335954979E-9</v>
      </c>
    </row>
    <row r="25" spans="1:23" x14ac:dyDescent="0.25">
      <c r="A25">
        <v>2022</v>
      </c>
      <c r="B25" t="s">
        <v>55</v>
      </c>
      <c r="C25" t="s">
        <v>55</v>
      </c>
      <c r="D25" t="s">
        <v>48</v>
      </c>
      <c r="E25">
        <v>1000</v>
      </c>
      <c r="F25" t="s">
        <v>56</v>
      </c>
      <c r="G25">
        <v>1</v>
      </c>
      <c r="H25" cm="1">
        <f t="array" aca="1" ref="H25" ca="1">INDEX(Feedstock!$C$1:$AM$1,MATCH(TRUE,INDEX(OFFSET(Feedstock!$C$1:$AM$1,MATCH($D25,Feedstock!A:A,0),0,,37),0)&lt;&gt;0,0))</f>
        <v>30</v>
      </c>
      <c r="I25" cm="1">
        <f t="array" aca="1" ref="I25" ca="1">LOOKUP(2,1/(INDEX(OFFSET(Feedstock!$C$1:$AM$1,MATCH($D25,Feedstock!A:A,0),0,,37),0)&lt;&gt;0=TRUE),Feedstock!$C$1:$AM$1)</f>
        <v>40</v>
      </c>
      <c r="K25" t="s">
        <v>57</v>
      </c>
      <c r="L25">
        <f>-1000000</f>
        <v>-1000000</v>
      </c>
      <c r="M25" t="s">
        <v>70</v>
      </c>
      <c r="N25">
        <v>1</v>
      </c>
      <c r="O25" s="29" t="s">
        <v>171</v>
      </c>
      <c r="P25" s="29">
        <v>130</v>
      </c>
      <c r="Q25" s="29" t="s">
        <v>35</v>
      </c>
      <c r="R25" t="s">
        <v>82</v>
      </c>
      <c r="S25" t="s">
        <v>67</v>
      </c>
      <c r="U25" t="s">
        <v>99</v>
      </c>
      <c r="V25" t="s">
        <v>107</v>
      </c>
      <c r="W25">
        <f>1/1000000</f>
        <v>9.9999999999999995E-7</v>
      </c>
    </row>
    <row r="26" spans="1:23" x14ac:dyDescent="0.25">
      <c r="A26">
        <v>2022</v>
      </c>
      <c r="B26" t="s">
        <v>58</v>
      </c>
      <c r="C26" t="s">
        <v>31</v>
      </c>
      <c r="D26" t="s">
        <v>43</v>
      </c>
      <c r="E26" s="29">
        <v>1.17</v>
      </c>
      <c r="F26" t="s">
        <v>72</v>
      </c>
      <c r="G26">
        <v>235</v>
      </c>
      <c r="H26" cm="1">
        <f t="array" aca="1" ref="H26" ca="1">INDEX(Feedstock!$C$1:$AM$1,MATCH(TRUE,INDEX(OFFSET(Feedstock!$C$1:$AM$1,MATCH($D26,Feedstock!A:A,0),0,,37),0)&lt;&gt;0,0))</f>
        <v>90</v>
      </c>
      <c r="I26" cm="1">
        <f t="array" aca="1" ref="I26" ca="1">LOOKUP(2,1/(INDEX(OFFSET(Feedstock!$C$1:$AM$1,MATCH($D26,Feedstock!A:A,0),0,,37),0)&lt;&gt;0=TRUE),Feedstock!$C$1:$AM$1)</f>
        <v>90</v>
      </c>
      <c r="K26" t="s">
        <v>73</v>
      </c>
      <c r="L26">
        <v>35</v>
      </c>
      <c r="M26" t="s">
        <v>69</v>
      </c>
      <c r="N26">
        <v>1</v>
      </c>
      <c r="O26" s="29" t="s">
        <v>174</v>
      </c>
      <c r="P26" s="33">
        <v>1.6E-2</v>
      </c>
      <c r="Q26" s="29" t="s">
        <v>36</v>
      </c>
      <c r="R26" t="s">
        <v>82</v>
      </c>
      <c r="S26" t="s">
        <v>60</v>
      </c>
      <c r="T26" t="s">
        <v>74</v>
      </c>
      <c r="U26" t="s">
        <v>42</v>
      </c>
      <c r="V26" t="s">
        <v>104</v>
      </c>
      <c r="W26">
        <f>1/81.51/1000000</f>
        <v>1.2268433321064899E-8</v>
      </c>
    </row>
    <row r="27" spans="1:23" x14ac:dyDescent="0.25">
      <c r="A27">
        <v>2022</v>
      </c>
      <c r="B27" t="s">
        <v>47</v>
      </c>
      <c r="C27" t="s">
        <v>31</v>
      </c>
      <c r="D27" t="s">
        <v>43</v>
      </c>
      <c r="E27" s="29">
        <v>1.17</v>
      </c>
      <c r="F27" t="s">
        <v>72</v>
      </c>
      <c r="G27">
        <v>235</v>
      </c>
      <c r="H27" cm="1">
        <f t="array" aca="1" ref="H27" ca="1">INDEX(Feedstock!$C$1:$AM$1,MATCH(TRUE,INDEX(OFFSET(Feedstock!$C$1:$AM$1,MATCH($D27,Feedstock!A:A,0),0,,37),0)&lt;&gt;0,0))</f>
        <v>90</v>
      </c>
      <c r="I27" cm="1">
        <f t="array" aca="1" ref="I27" ca="1">LOOKUP(2,1/(INDEX(OFFSET(Feedstock!$C$1:$AM$1,MATCH($D27,Feedstock!A:A,0),0,,37),0)&lt;&gt;0=TRUE),Feedstock!$C$1:$AM$1)</f>
        <v>90</v>
      </c>
      <c r="K27" t="s">
        <v>73</v>
      </c>
      <c r="L27">
        <v>35</v>
      </c>
      <c r="M27" t="s">
        <v>69</v>
      </c>
      <c r="N27">
        <v>1</v>
      </c>
      <c r="O27" t="s">
        <v>149</v>
      </c>
      <c r="P27" s="11"/>
      <c r="Q27" t="s">
        <v>36</v>
      </c>
      <c r="R27" t="s">
        <v>82</v>
      </c>
      <c r="S27" t="s">
        <v>60</v>
      </c>
      <c r="U27" t="s">
        <v>47</v>
      </c>
      <c r="V27" t="s">
        <v>104</v>
      </c>
      <c r="W27">
        <f>1/81.51/1000000</f>
        <v>1.2268433321064899E-8</v>
      </c>
    </row>
    <row r="28" spans="1:23" x14ac:dyDescent="0.25">
      <c r="A28">
        <v>2022</v>
      </c>
      <c r="B28" t="s">
        <v>87</v>
      </c>
      <c r="C28" t="s">
        <v>86</v>
      </c>
      <c r="D28" t="s">
        <v>40</v>
      </c>
      <c r="E28">
        <v>51.2</v>
      </c>
      <c r="F28" t="s">
        <v>66</v>
      </c>
      <c r="G28">
        <v>865.1</v>
      </c>
      <c r="H28" cm="1">
        <f t="array" aca="1" ref="H28" ca="1">INDEX(Feedstock!$C$1:$AM$1,MATCH(TRUE,INDEX(OFFSET(Feedstock!$C$1:$AM$1,MATCH($D28,Feedstock!A:A,0),0,,37),0)&lt;&gt;0,0))</f>
        <v>7</v>
      </c>
      <c r="I28" cm="1">
        <f t="array" aca="1" ref="I28" ca="1">LOOKUP(2,1/(INDEX(OFFSET(Feedstock!$C$1:$AM$1,MATCH($D28,Feedstock!A:A,0),0,,37),0)&lt;&gt;0=TRUE),Feedstock!$C$1:$AM$1)</f>
        <v>40</v>
      </c>
      <c r="K28" t="s">
        <v>81</v>
      </c>
      <c r="L28" s="29">
        <v>118</v>
      </c>
      <c r="M28" t="s">
        <v>69</v>
      </c>
      <c r="N28">
        <v>2.5</v>
      </c>
      <c r="R28" t="s">
        <v>82</v>
      </c>
      <c r="S28" t="s">
        <v>60</v>
      </c>
      <c r="U28" t="s">
        <v>100</v>
      </c>
      <c r="V28" t="s">
        <v>105</v>
      </c>
      <c r="W28">
        <f>1/120/1000000</f>
        <v>8.3333333333333335E-9</v>
      </c>
    </row>
    <row r="29" spans="1:23" x14ac:dyDescent="0.25">
      <c r="A29">
        <v>2022</v>
      </c>
      <c r="B29" t="s">
        <v>88</v>
      </c>
      <c r="C29" t="s">
        <v>86</v>
      </c>
      <c r="D29" t="s">
        <v>40</v>
      </c>
      <c r="E29">
        <v>56.5</v>
      </c>
      <c r="F29" t="s">
        <v>66</v>
      </c>
      <c r="G29">
        <v>865.1</v>
      </c>
      <c r="H29" cm="1">
        <f t="array" aca="1" ref="H29" ca="1">INDEX(Feedstock!$C$1:$AM$1,MATCH(TRUE,INDEX(OFFSET(Feedstock!$C$1:$AM$1,MATCH($D29,Feedstock!A:A,0),0,,37),0)&lt;&gt;0,0))</f>
        <v>7</v>
      </c>
      <c r="I29" cm="1">
        <f t="array" aca="1" ref="I29" ca="1">LOOKUP(2,1/(INDEX(OFFSET(Feedstock!$C$1:$AM$1,MATCH($D29,Feedstock!A:A,0),0,,37),0)&lt;&gt;0=TRUE),Feedstock!$C$1:$AM$1)</f>
        <v>40</v>
      </c>
      <c r="K29" t="s">
        <v>81</v>
      </c>
      <c r="L29" s="29">
        <v>60</v>
      </c>
      <c r="M29" t="s">
        <v>69</v>
      </c>
      <c r="N29">
        <v>2.5</v>
      </c>
      <c r="R29" t="s">
        <v>82</v>
      </c>
      <c r="S29" t="s">
        <v>60</v>
      </c>
      <c r="U29" t="s">
        <v>100</v>
      </c>
      <c r="V29" t="s">
        <v>105</v>
      </c>
      <c r="W29">
        <f t="shared" ref="W29:W31" si="0">1/120/1000000</f>
        <v>8.3333333333333335E-9</v>
      </c>
    </row>
    <row r="30" spans="1:23" x14ac:dyDescent="0.25">
      <c r="A30">
        <v>2022</v>
      </c>
      <c r="B30" t="s">
        <v>87</v>
      </c>
      <c r="C30" t="s">
        <v>86</v>
      </c>
      <c r="D30" t="s">
        <v>50</v>
      </c>
      <c r="E30">
        <v>51.2</v>
      </c>
      <c r="F30" t="s">
        <v>66</v>
      </c>
      <c r="G30">
        <v>865.1</v>
      </c>
      <c r="H30" cm="1">
        <f t="array" aca="1" ref="H30" ca="1">INDEX(Feedstock!$C$1:$AM$1,MATCH(TRUE,INDEX(OFFSET(Feedstock!$C$1:$AM$1,MATCH($D30,Feedstock!A:A,0),0,,37),0)&lt;&gt;0,0))</f>
        <v>0</v>
      </c>
      <c r="I30" cm="1">
        <f t="array" aca="1" ref="I30" ca="1">LOOKUP(2,1/(INDEX(OFFSET(Feedstock!$C$1:$AM$1,MATCH($D30,Feedstock!A:A,0),0,,37),0)&lt;&gt;0=TRUE),Feedstock!$C$1:$AM$1)</f>
        <v>0</v>
      </c>
      <c r="K30" t="s">
        <v>81</v>
      </c>
      <c r="L30" s="29">
        <v>99</v>
      </c>
      <c r="M30" t="s">
        <v>69</v>
      </c>
      <c r="N30">
        <v>2.5</v>
      </c>
      <c r="R30" t="s">
        <v>82</v>
      </c>
      <c r="S30" t="s">
        <v>60</v>
      </c>
      <c r="U30" t="s">
        <v>100</v>
      </c>
      <c r="V30" t="s">
        <v>105</v>
      </c>
      <c r="W30">
        <f t="shared" si="0"/>
        <v>8.3333333333333335E-9</v>
      </c>
    </row>
    <row r="31" spans="1:23" x14ac:dyDescent="0.25">
      <c r="A31">
        <v>2039</v>
      </c>
      <c r="B31" t="s">
        <v>197</v>
      </c>
      <c r="C31" t="s">
        <v>86</v>
      </c>
      <c r="D31" t="s">
        <v>130</v>
      </c>
      <c r="E31">
        <v>51.2</v>
      </c>
      <c r="F31" t="s">
        <v>66</v>
      </c>
      <c r="G31">
        <v>865.1</v>
      </c>
      <c r="H31" cm="1">
        <f t="array" aca="1" ref="H31" ca="1">INDEX(Feedstock!$C$1:$AM$1,MATCH(TRUE,INDEX(OFFSET(Feedstock!$C$1:$AM$1,MATCH($D31,Feedstock!A:A,0),0,,37),0)&lt;&gt;0,0))</f>
        <v>50</v>
      </c>
      <c r="I31" cm="1">
        <f t="array" aca="1" ref="I31" ca="1">LOOKUP(2,1/(INDEX(OFFSET(Feedstock!$C$1:$AM$1,MATCH($D31,Feedstock!A:A,0),0,,37),0)&lt;&gt;0=TRUE),Feedstock!$C$1:$AM$1)</f>
        <v>125</v>
      </c>
      <c r="K31" t="s">
        <v>81</v>
      </c>
      <c r="L31">
        <v>-353</v>
      </c>
      <c r="M31" t="s">
        <v>69</v>
      </c>
      <c r="N31">
        <v>2.5</v>
      </c>
      <c r="R31" t="s">
        <v>167</v>
      </c>
      <c r="S31" t="s">
        <v>60</v>
      </c>
      <c r="U31" t="s">
        <v>100</v>
      </c>
      <c r="V31" t="s">
        <v>105</v>
      </c>
      <c r="W31">
        <f t="shared" si="0"/>
        <v>8.3333333333333335E-9</v>
      </c>
    </row>
    <row r="32" spans="1:23" x14ac:dyDescent="0.25">
      <c r="A32">
        <v>2022</v>
      </c>
      <c r="B32" t="s">
        <v>159</v>
      </c>
      <c r="C32" s="6" t="s">
        <v>115</v>
      </c>
      <c r="D32" t="s">
        <v>115</v>
      </c>
      <c r="E32">
        <v>1001</v>
      </c>
      <c r="F32" t="s">
        <v>119</v>
      </c>
      <c r="G32">
        <v>1</v>
      </c>
      <c r="H32" t="e" cm="1">
        <f t="array" aca="1" ref="H32" ca="1">INDEX(Feedstock!$C$1:$AM$1,MATCH(TRUE,INDEX(OFFSET(Feedstock!$C$1:$AM$1,MATCH($D32,Feedstock!A:A,0),0,,37),0)&lt;&gt;0,0))</f>
        <v>#N/A</v>
      </c>
      <c r="I32" t="e" cm="1">
        <f t="array" aca="1" ref="I32" ca="1">LOOKUP(2,1/(INDEX(OFFSET(Feedstock!$C$1:$AM$1,MATCH($D32,Feedstock!A:A,0),0,,37),0)&lt;&gt;0=TRUE),Feedstock!$C$1:$AM$1)</f>
        <v>#N/A</v>
      </c>
      <c r="K32" t="s">
        <v>118</v>
      </c>
      <c r="L32">
        <f>-1000000</f>
        <v>-1000000</v>
      </c>
      <c r="M32" t="s">
        <v>70</v>
      </c>
      <c r="N32">
        <v>1</v>
      </c>
      <c r="O32" t="s">
        <v>121</v>
      </c>
      <c r="R32" t="s">
        <v>159</v>
      </c>
      <c r="S32" t="s">
        <v>67</v>
      </c>
      <c r="U32" t="s">
        <v>159</v>
      </c>
      <c r="V32" t="s">
        <v>107</v>
      </c>
      <c r="W32">
        <f>1/1000000</f>
        <v>9.9999999999999995E-7</v>
      </c>
    </row>
    <row r="33" spans="1:23" x14ac:dyDescent="0.25">
      <c r="A33">
        <v>2022</v>
      </c>
      <c r="B33" t="s">
        <v>160</v>
      </c>
      <c r="C33" s="6" t="s">
        <v>115</v>
      </c>
      <c r="D33" t="s">
        <v>115</v>
      </c>
      <c r="E33">
        <v>1001</v>
      </c>
      <c r="F33" t="s">
        <v>119</v>
      </c>
      <c r="G33">
        <v>1</v>
      </c>
      <c r="H33" t="e" cm="1">
        <f t="array" aca="1" ref="H33" ca="1">INDEX(Feedstock!$C$1:$AM$1,MATCH(TRUE,INDEX(OFFSET(Feedstock!$C$1:$AM$1,MATCH($D33,Feedstock!A:A,0),0,,37),0)&lt;&gt;0,0))</f>
        <v>#N/A</v>
      </c>
      <c r="I33" t="e" cm="1">
        <f t="array" aca="1" ref="I33" ca="1">LOOKUP(2,1/(INDEX(OFFSET(Feedstock!$C$1:$AM$1,MATCH($D33,Feedstock!A:A,0),0,,37),0)&lt;&gt;0=TRUE),Feedstock!$C$1:$AM$1)</f>
        <v>#N/A</v>
      </c>
      <c r="K33" t="s">
        <v>118</v>
      </c>
      <c r="L33">
        <f>-1000000</f>
        <v>-1000000</v>
      </c>
      <c r="M33" t="s">
        <v>70</v>
      </c>
      <c r="N33">
        <v>1</v>
      </c>
      <c r="O33" t="s">
        <v>121</v>
      </c>
      <c r="R33" t="s">
        <v>160</v>
      </c>
      <c r="S33" t="s">
        <v>67</v>
      </c>
      <c r="U33" t="s">
        <v>160</v>
      </c>
      <c r="V33" t="s">
        <v>107</v>
      </c>
      <c r="W33">
        <f>1/1000000</f>
        <v>9.9999999999999995E-7</v>
      </c>
    </row>
    <row r="34" spans="1:23" x14ac:dyDescent="0.25">
      <c r="A34">
        <v>2022</v>
      </c>
      <c r="B34" t="s">
        <v>111</v>
      </c>
      <c r="C34" s="6" t="s">
        <v>115</v>
      </c>
      <c r="D34" t="s">
        <v>115</v>
      </c>
      <c r="E34">
        <v>1001</v>
      </c>
      <c r="F34" t="s">
        <v>119</v>
      </c>
      <c r="G34">
        <v>1</v>
      </c>
      <c r="H34" t="e" cm="1">
        <f t="array" aca="1" ref="H34" ca="1">INDEX(Feedstock!$C$1:$AM$1,MATCH(TRUE,INDEX(OFFSET(Feedstock!$C$1:$AM$1,MATCH($D34,Feedstock!A:A,0),0,,37),0)&lt;&gt;0,0))</f>
        <v>#N/A</v>
      </c>
      <c r="I34" t="e" cm="1">
        <f t="array" aca="1" ref="I34" ca="1">LOOKUP(2,1/(INDEX(OFFSET(Feedstock!$C$1:$AM$1,MATCH($D34,Feedstock!A:A,0),0,,37),0)&lt;&gt;0=TRUE),Feedstock!$C$1:$AM$1)</f>
        <v>#N/A</v>
      </c>
      <c r="K34" t="s">
        <v>118</v>
      </c>
      <c r="L34">
        <f t="shared" ref="L34:L40" si="1">-1000000</f>
        <v>-1000000</v>
      </c>
      <c r="M34" t="s">
        <v>70</v>
      </c>
      <c r="N34">
        <v>1</v>
      </c>
      <c r="O34" t="s">
        <v>121</v>
      </c>
      <c r="R34" t="s">
        <v>111</v>
      </c>
      <c r="S34" t="s">
        <v>67</v>
      </c>
      <c r="U34" t="s">
        <v>111</v>
      </c>
      <c r="V34" t="s">
        <v>107</v>
      </c>
      <c r="W34">
        <f t="shared" ref="W34:W40" si="2">1/1000000</f>
        <v>9.9999999999999995E-7</v>
      </c>
    </row>
    <row r="35" spans="1:23" x14ac:dyDescent="0.25">
      <c r="A35">
        <v>2022</v>
      </c>
      <c r="B35" t="s">
        <v>112</v>
      </c>
      <c r="C35" s="6" t="s">
        <v>115</v>
      </c>
      <c r="D35" t="s">
        <v>115</v>
      </c>
      <c r="E35">
        <v>1001</v>
      </c>
      <c r="F35" t="s">
        <v>119</v>
      </c>
      <c r="G35">
        <v>1</v>
      </c>
      <c r="H35" t="e" cm="1">
        <f t="array" aca="1" ref="H35" ca="1">INDEX(Feedstock!$C$1:$AM$1,MATCH(TRUE,INDEX(OFFSET(Feedstock!$C$1:$AM$1,MATCH($D35,Feedstock!A:A,0),0,,37),0)&lt;&gt;0,0))</f>
        <v>#N/A</v>
      </c>
      <c r="I35" t="e" cm="1">
        <f t="array" aca="1" ref="I35" ca="1">LOOKUP(2,1/(INDEX(OFFSET(Feedstock!$C$1:$AM$1,MATCH($D35,Feedstock!A:A,0),0,,37),0)&lt;&gt;0=TRUE),Feedstock!$C$1:$AM$1)</f>
        <v>#N/A</v>
      </c>
      <c r="K35" t="s">
        <v>118</v>
      </c>
      <c r="L35">
        <f t="shared" si="1"/>
        <v>-1000000</v>
      </c>
      <c r="M35" t="s">
        <v>70</v>
      </c>
      <c r="N35">
        <v>1</v>
      </c>
      <c r="O35" t="s">
        <v>121</v>
      </c>
      <c r="R35" t="s">
        <v>112</v>
      </c>
      <c r="S35" t="s">
        <v>67</v>
      </c>
      <c r="U35" t="s">
        <v>112</v>
      </c>
      <c r="V35" t="s">
        <v>107</v>
      </c>
      <c r="W35">
        <f t="shared" si="2"/>
        <v>9.9999999999999995E-7</v>
      </c>
    </row>
    <row r="36" spans="1:23" x14ac:dyDescent="0.25">
      <c r="A36">
        <v>2022</v>
      </c>
      <c r="B36" t="s">
        <v>113</v>
      </c>
      <c r="C36" s="6" t="s">
        <v>115</v>
      </c>
      <c r="D36" t="s">
        <v>115</v>
      </c>
      <c r="E36">
        <v>1001</v>
      </c>
      <c r="F36" t="s">
        <v>119</v>
      </c>
      <c r="G36">
        <v>1</v>
      </c>
      <c r="H36" t="e" cm="1">
        <f t="array" aca="1" ref="H36" ca="1">INDEX(Feedstock!$C$1:$AM$1,MATCH(TRUE,INDEX(OFFSET(Feedstock!$C$1:$AM$1,MATCH($D36,Feedstock!A:A,0),0,,37),0)&lt;&gt;0,0))</f>
        <v>#N/A</v>
      </c>
      <c r="I36" t="e" cm="1">
        <f t="array" aca="1" ref="I36" ca="1">LOOKUP(2,1/(INDEX(OFFSET(Feedstock!$C$1:$AM$1,MATCH($D36,Feedstock!A:A,0),0,,37),0)&lt;&gt;0=TRUE),Feedstock!$C$1:$AM$1)</f>
        <v>#N/A</v>
      </c>
      <c r="K36" t="s">
        <v>118</v>
      </c>
      <c r="L36">
        <f t="shared" si="1"/>
        <v>-1000000</v>
      </c>
      <c r="M36" t="s">
        <v>70</v>
      </c>
      <c r="N36">
        <v>1</v>
      </c>
      <c r="O36" t="s">
        <v>121</v>
      </c>
      <c r="R36" t="s">
        <v>113</v>
      </c>
      <c r="S36" t="s">
        <v>67</v>
      </c>
      <c r="U36" t="s">
        <v>113</v>
      </c>
      <c r="V36" t="s">
        <v>107</v>
      </c>
      <c r="W36">
        <f t="shared" si="2"/>
        <v>9.9999999999999995E-7</v>
      </c>
    </row>
    <row r="37" spans="1:23" x14ac:dyDescent="0.25">
      <c r="A37">
        <v>2022</v>
      </c>
      <c r="B37" t="s">
        <v>114</v>
      </c>
      <c r="C37" s="6" t="s">
        <v>115</v>
      </c>
      <c r="D37" t="s">
        <v>115</v>
      </c>
      <c r="E37">
        <v>1001</v>
      </c>
      <c r="F37" t="s">
        <v>119</v>
      </c>
      <c r="G37">
        <v>1</v>
      </c>
      <c r="H37" t="e" cm="1">
        <f t="array" aca="1" ref="H37" ca="1">INDEX(Feedstock!$C$1:$AM$1,MATCH(TRUE,INDEX(OFFSET(Feedstock!$C$1:$AM$1,MATCH($D37,Feedstock!A:A,0),0,,37),0)&lt;&gt;0,0))</f>
        <v>#N/A</v>
      </c>
      <c r="I37" t="e" cm="1">
        <f t="array" aca="1" ref="I37" ca="1">LOOKUP(2,1/(INDEX(OFFSET(Feedstock!$C$1:$AM$1,MATCH($D37,Feedstock!A:A,0),0,,37),0)&lt;&gt;0=TRUE),Feedstock!$C$1:$AM$1)</f>
        <v>#N/A</v>
      </c>
      <c r="K37" t="s">
        <v>118</v>
      </c>
      <c r="L37">
        <f t="shared" si="1"/>
        <v>-1000000</v>
      </c>
      <c r="M37" t="s">
        <v>70</v>
      </c>
      <c r="N37">
        <v>1</v>
      </c>
      <c r="O37" t="s">
        <v>121</v>
      </c>
      <c r="R37" t="s">
        <v>114</v>
      </c>
      <c r="S37" t="s">
        <v>67</v>
      </c>
      <c r="U37" t="s">
        <v>114</v>
      </c>
      <c r="V37" t="s">
        <v>107</v>
      </c>
      <c r="W37">
        <f t="shared" si="2"/>
        <v>9.9999999999999995E-7</v>
      </c>
    </row>
    <row r="38" spans="1:23" x14ac:dyDescent="0.25">
      <c r="A38">
        <v>2022</v>
      </c>
      <c r="B38" t="s">
        <v>164</v>
      </c>
      <c r="C38" s="30" t="s">
        <v>115</v>
      </c>
      <c r="D38" t="s">
        <v>115</v>
      </c>
      <c r="E38">
        <v>1001</v>
      </c>
      <c r="F38" t="s">
        <v>119</v>
      </c>
      <c r="G38">
        <v>1</v>
      </c>
      <c r="H38" t="e" cm="1">
        <f t="array" aca="1" ref="H38" ca="1">INDEX(Feedstock!$C$1:$AM$1,MATCH(TRUE,INDEX(OFFSET(Feedstock!$C$1:$AM$1,MATCH($D38,Feedstock!A:A,0),0,,37),0)&lt;&gt;0,0))</f>
        <v>#N/A</v>
      </c>
      <c r="I38" t="e" cm="1">
        <f t="array" aca="1" ref="I38" ca="1">LOOKUP(2,1/(INDEX(OFFSET(Feedstock!$C$1:$AM$1,MATCH($D38,Feedstock!A:A,0),0,,37),0)&lt;&gt;0=TRUE),Feedstock!$C$1:$AM$1)</f>
        <v>#N/A</v>
      </c>
      <c r="K38" t="s">
        <v>118</v>
      </c>
      <c r="L38">
        <f t="shared" si="1"/>
        <v>-1000000</v>
      </c>
      <c r="M38" t="s">
        <v>70</v>
      </c>
      <c r="N38">
        <v>1</v>
      </c>
      <c r="O38" t="s">
        <v>121</v>
      </c>
      <c r="R38" t="s">
        <v>163</v>
      </c>
      <c r="S38" t="s">
        <v>67</v>
      </c>
      <c r="U38" t="s">
        <v>163</v>
      </c>
      <c r="V38" t="s">
        <v>107</v>
      </c>
      <c r="W38">
        <f t="shared" si="2"/>
        <v>9.9999999999999995E-7</v>
      </c>
    </row>
    <row r="39" spans="1:23" x14ac:dyDescent="0.25">
      <c r="A39">
        <v>2022</v>
      </c>
      <c r="B39" t="s">
        <v>165</v>
      </c>
      <c r="C39" s="30" t="s">
        <v>115</v>
      </c>
      <c r="D39" t="s">
        <v>115</v>
      </c>
      <c r="E39">
        <v>1001</v>
      </c>
      <c r="F39" t="s">
        <v>119</v>
      </c>
      <c r="G39">
        <v>1</v>
      </c>
      <c r="H39" t="e" cm="1">
        <f t="array" aca="1" ref="H39" ca="1">INDEX(Feedstock!$C$1:$AM$1,MATCH(TRUE,INDEX(OFFSET(Feedstock!$C$1:$AM$1,MATCH($D39,Feedstock!A:A,0),0,,37),0)&lt;&gt;0,0))</f>
        <v>#N/A</v>
      </c>
      <c r="I39" t="e" cm="1">
        <f t="array" aca="1" ref="I39" ca="1">LOOKUP(2,1/(INDEX(OFFSET(Feedstock!$C$1:$AM$1,MATCH($D39,Feedstock!A:A,0),0,,37),0)&lt;&gt;0=TRUE),Feedstock!$C$1:$AM$1)</f>
        <v>#N/A</v>
      </c>
      <c r="K39" t="s">
        <v>118</v>
      </c>
      <c r="L39">
        <f t="shared" si="1"/>
        <v>-1000000</v>
      </c>
      <c r="M39" t="s">
        <v>70</v>
      </c>
      <c r="N39">
        <v>1</v>
      </c>
      <c r="O39" t="s">
        <v>121</v>
      </c>
      <c r="R39" t="s">
        <v>165</v>
      </c>
      <c r="S39" t="s">
        <v>67</v>
      </c>
      <c r="U39" t="s">
        <v>165</v>
      </c>
      <c r="V39" t="s">
        <v>107</v>
      </c>
      <c r="W39">
        <f t="shared" si="2"/>
        <v>9.9999999999999995E-7</v>
      </c>
    </row>
    <row r="40" spans="1:23" x14ac:dyDescent="0.25">
      <c r="A40">
        <v>2022</v>
      </c>
      <c r="B40" t="s">
        <v>194</v>
      </c>
      <c r="C40" s="38" t="s">
        <v>115</v>
      </c>
      <c r="D40" t="s">
        <v>115</v>
      </c>
      <c r="E40">
        <v>1001</v>
      </c>
      <c r="F40" t="s">
        <v>119</v>
      </c>
      <c r="G40">
        <v>1</v>
      </c>
      <c r="H40" t="e" cm="1">
        <f t="array" aca="1" ref="H40" ca="1">INDEX(Feedstock!$C$1:$AM$1,MATCH(TRUE,INDEX(OFFSET(Feedstock!$C$1:$AM$1,MATCH($D40,Feedstock!A:A,0),0,,37),0)&lt;&gt;0,0))</f>
        <v>#N/A</v>
      </c>
      <c r="I40" t="e" cm="1">
        <f t="array" aca="1" ref="I40" ca="1">LOOKUP(2,1/(INDEX(OFFSET(Feedstock!$C$1:$AM$1,MATCH($D40,Feedstock!A:A,0),0,,37),0)&lt;&gt;0=TRUE),Feedstock!$C$1:$AM$1)</f>
        <v>#N/A</v>
      </c>
      <c r="K40" t="s">
        <v>118</v>
      </c>
      <c r="L40">
        <f t="shared" si="1"/>
        <v>-1000000</v>
      </c>
      <c r="M40" t="s">
        <v>70</v>
      </c>
      <c r="N40">
        <v>1</v>
      </c>
      <c r="O40" t="s">
        <v>121</v>
      </c>
      <c r="R40" t="s">
        <v>194</v>
      </c>
      <c r="S40" t="s">
        <v>67</v>
      </c>
      <c r="U40" t="s">
        <v>194</v>
      </c>
      <c r="V40" t="s">
        <v>107</v>
      </c>
      <c r="W40">
        <f t="shared" si="2"/>
        <v>9.9999999999999995E-7</v>
      </c>
    </row>
    <row r="41" spans="1:23" x14ac:dyDescent="0.25">
      <c r="A41">
        <v>2039</v>
      </c>
      <c r="B41" t="s">
        <v>124</v>
      </c>
      <c r="C41" t="s">
        <v>123</v>
      </c>
      <c r="D41" t="s">
        <v>134</v>
      </c>
      <c r="E41">
        <v>0</v>
      </c>
      <c r="F41" t="s">
        <v>66</v>
      </c>
      <c r="G41">
        <v>601.34999999999991</v>
      </c>
      <c r="H41" cm="1">
        <f t="array" aca="1" ref="H41" ca="1">INDEX(Feedstock!$C$1:$AM$1,MATCH(TRUE,INDEX(OFFSET(Feedstock!$C$1:$AM$1,MATCH($D41,Feedstock!A:A,0),0,,37),0)&lt;&gt;0,0))</f>
        <v>0</v>
      </c>
      <c r="I41" cm="1">
        <f t="array" aca="1" ref="I41" ca="1">LOOKUP(2,1/(INDEX(OFFSET(Feedstock!$C$1:$AM$1,MATCH($D41,Feedstock!A:A,0),0,,37),0)&lt;&gt;0=TRUE),Feedstock!$C$1:$AM$1)</f>
        <v>0</v>
      </c>
      <c r="K41" t="s">
        <v>81</v>
      </c>
      <c r="L41" s="29">
        <v>-440</v>
      </c>
      <c r="M41" t="s">
        <v>69</v>
      </c>
      <c r="N41">
        <v>5</v>
      </c>
      <c r="R41" t="s">
        <v>183</v>
      </c>
      <c r="S41" t="s">
        <v>59</v>
      </c>
      <c r="U41" t="s">
        <v>182</v>
      </c>
      <c r="V41" t="s">
        <v>108</v>
      </c>
      <c r="W41">
        <f>1/3.6/1000000</f>
        <v>2.7777777777777781E-7</v>
      </c>
    </row>
    <row r="42" spans="1:23" x14ac:dyDescent="0.25">
      <c r="A42">
        <v>2022</v>
      </c>
      <c r="B42" t="s">
        <v>125</v>
      </c>
      <c r="C42" t="s">
        <v>123</v>
      </c>
      <c r="D42" t="s">
        <v>45</v>
      </c>
      <c r="E42">
        <v>0</v>
      </c>
      <c r="F42" t="s">
        <v>62</v>
      </c>
      <c r="G42">
        <v>3600</v>
      </c>
      <c r="H42" cm="1">
        <f t="array" aca="1" ref="H42" ca="1">INDEX(Feedstock!$C$1:$AM$1,MATCH(TRUE,INDEX(OFFSET(Feedstock!$C$1:$AM$1,MATCH($D42,Feedstock!A:A,0),0,,37),0)&lt;&gt;0,0))</f>
        <v>7</v>
      </c>
      <c r="I42" cm="1">
        <f t="array" aca="1" ref="I42" ca="1">LOOKUP(2,1/(INDEX(OFFSET(Feedstock!$C$1:$AM$1,MATCH($D42,Feedstock!A:A,0),0,,37),0)&lt;&gt;0=TRUE),Feedstock!$C$1:$AM$1)</f>
        <v>7</v>
      </c>
      <c r="K42" t="s">
        <v>63</v>
      </c>
      <c r="L42">
        <v>76.73</v>
      </c>
      <c r="M42" t="s">
        <v>69</v>
      </c>
      <c r="N42">
        <v>5</v>
      </c>
      <c r="R42" t="s">
        <v>82</v>
      </c>
      <c r="S42" t="s">
        <v>59</v>
      </c>
      <c r="U42" t="s">
        <v>127</v>
      </c>
      <c r="V42" t="s">
        <v>108</v>
      </c>
      <c r="W42">
        <f>1/3.6/1000000</f>
        <v>2.7777777777777781E-7</v>
      </c>
    </row>
    <row r="43" spans="1:23" x14ac:dyDescent="0.25">
      <c r="A43">
        <v>2022</v>
      </c>
      <c r="B43" t="s">
        <v>126</v>
      </c>
      <c r="C43" t="s">
        <v>123</v>
      </c>
      <c r="D43" t="s">
        <v>45</v>
      </c>
      <c r="E43">
        <v>18</v>
      </c>
      <c r="F43" t="s">
        <v>62</v>
      </c>
      <c r="G43">
        <v>3600</v>
      </c>
      <c r="H43" cm="1">
        <f t="array" aca="1" ref="H43" ca="1">INDEX(Feedstock!$C$1:$AM$1,MATCH(TRUE,INDEX(OFFSET(Feedstock!$C$1:$AM$1,MATCH($D43,Feedstock!A:A,0),0,,37),0)&lt;&gt;0,0))</f>
        <v>7</v>
      </c>
      <c r="I43" cm="1">
        <f t="array" aca="1" ref="I43" ca="1">LOOKUP(2,1/(INDEX(OFFSET(Feedstock!$C$1:$AM$1,MATCH($D43,Feedstock!A:A,0),0,,37),0)&lt;&gt;0=TRUE),Feedstock!$C$1:$AM$1)</f>
        <v>7</v>
      </c>
      <c r="K43" t="s">
        <v>63</v>
      </c>
      <c r="L43">
        <v>0</v>
      </c>
      <c r="M43" t="s">
        <v>69</v>
      </c>
      <c r="N43">
        <v>5</v>
      </c>
      <c r="O43" s="29" t="s">
        <v>177</v>
      </c>
      <c r="P43" s="29">
        <v>5.0000000000000001E-3</v>
      </c>
      <c r="Q43" s="29" t="s">
        <v>36</v>
      </c>
      <c r="R43" t="s">
        <v>82</v>
      </c>
      <c r="S43" t="s">
        <v>59</v>
      </c>
      <c r="U43" t="s">
        <v>127</v>
      </c>
      <c r="V43" t="s">
        <v>108</v>
      </c>
      <c r="W43">
        <f>1/3.6/1000000</f>
        <v>2.7777777777777781E-7</v>
      </c>
    </row>
    <row r="44" spans="1:23" x14ac:dyDescent="0.25">
      <c r="A44">
        <v>2022</v>
      </c>
      <c r="B44" t="s">
        <v>52</v>
      </c>
      <c r="C44" t="s">
        <v>49</v>
      </c>
      <c r="D44" t="s">
        <v>50</v>
      </c>
      <c r="E44">
        <v>42</v>
      </c>
      <c r="F44" t="s">
        <v>66</v>
      </c>
      <c r="G44">
        <v>865.1</v>
      </c>
      <c r="H44" cm="1">
        <f t="array" aca="1" ref="H44" ca="1">INDEX(Feedstock!$C$1:$AM$1,MATCH(TRUE,INDEX(OFFSET(Feedstock!$C$1:$AM$1,MATCH($D44,Feedstock!A:A,0),0,,37),0)&lt;&gt;0,0))</f>
        <v>0</v>
      </c>
      <c r="I44" cm="1">
        <f t="array" aca="1" ref="I44" ca="1">LOOKUP(2,1/(INDEX(OFFSET(Feedstock!$C$1:$AM$1,MATCH($D44,Feedstock!A:A,0),0,,37),0)&lt;&gt;0=TRUE),Feedstock!$C$1:$AM$1)</f>
        <v>0</v>
      </c>
      <c r="K44" t="s">
        <v>81</v>
      </c>
      <c r="L44" s="29">
        <v>99</v>
      </c>
      <c r="M44" t="s">
        <v>69</v>
      </c>
      <c r="N44">
        <v>1.9</v>
      </c>
      <c r="R44" t="s">
        <v>82</v>
      </c>
      <c r="S44" t="s">
        <v>59</v>
      </c>
      <c r="U44" t="s">
        <v>96</v>
      </c>
      <c r="V44" t="s">
        <v>105</v>
      </c>
      <c r="W44">
        <f>1/120/1000000</f>
        <v>8.3333333333333335E-9</v>
      </c>
    </row>
    <row r="45" spans="1:23" x14ac:dyDescent="0.25">
      <c r="A45">
        <v>2022</v>
      </c>
      <c r="B45" t="s">
        <v>52</v>
      </c>
      <c r="C45" t="s">
        <v>49</v>
      </c>
      <c r="D45" t="s">
        <v>45</v>
      </c>
      <c r="E45">
        <v>86</v>
      </c>
      <c r="F45" t="s">
        <v>62</v>
      </c>
      <c r="G45">
        <v>2066.4</v>
      </c>
      <c r="H45" cm="1">
        <f t="array" aca="1" ref="H45" ca="1">INDEX(Feedstock!$C$1:$AM$1,MATCH(TRUE,INDEX(OFFSET(Feedstock!$C$1:$AM$1,MATCH($D45,Feedstock!A:A,0),0,,37),0)&lt;&gt;0,0))</f>
        <v>7</v>
      </c>
      <c r="I45" cm="1">
        <f t="array" aca="1" ref="I45" ca="1">LOOKUP(2,1/(INDEX(OFFSET(Feedstock!$C$1:$AM$1,MATCH($D45,Feedstock!A:A,0),0,,37),0)&lt;&gt;0=TRUE),Feedstock!$C$1:$AM$1)</f>
        <v>7</v>
      </c>
      <c r="K45" t="s">
        <v>63</v>
      </c>
      <c r="L45">
        <v>164.46</v>
      </c>
      <c r="M45" t="s">
        <v>69</v>
      </c>
      <c r="N45">
        <v>1.9</v>
      </c>
      <c r="R45" t="s">
        <v>82</v>
      </c>
      <c r="S45" t="s">
        <v>59</v>
      </c>
      <c r="U45" t="s">
        <v>96</v>
      </c>
      <c r="V45" t="s">
        <v>105</v>
      </c>
      <c r="W45">
        <f>1/120/1000000</f>
        <v>8.3333333333333335E-9</v>
      </c>
    </row>
    <row r="46" spans="1:23" x14ac:dyDescent="0.25">
      <c r="A46">
        <v>2022</v>
      </c>
      <c r="B46" t="s">
        <v>87</v>
      </c>
      <c r="C46" t="s">
        <v>86</v>
      </c>
      <c r="D46" t="s">
        <v>45</v>
      </c>
      <c r="E46">
        <v>86</v>
      </c>
      <c r="F46" t="s">
        <v>62</v>
      </c>
      <c r="G46">
        <v>2066.4</v>
      </c>
      <c r="H46" cm="1">
        <f t="array" aca="1" ref="H46" ca="1">INDEX(Feedstock!$C$1:$AM$1,MATCH(TRUE,INDEX(OFFSET(Feedstock!$C$1:$AM$1,MATCH($D46,Feedstock!A:A,0),0,,37),0)&lt;&gt;0,0))</f>
        <v>7</v>
      </c>
      <c r="I46" cm="1">
        <f t="array" aca="1" ref="I46" ca="1">LOOKUP(2,1/(INDEX(OFFSET(Feedstock!$C$1:$AM$1,MATCH($D46,Feedstock!A:A,0),0,,37),0)&lt;&gt;0=TRUE),Feedstock!$C$1:$AM$1)</f>
        <v>7</v>
      </c>
      <c r="K46" s="12" t="s">
        <v>63</v>
      </c>
      <c r="L46">
        <v>164.46</v>
      </c>
      <c r="M46" t="s">
        <v>69</v>
      </c>
      <c r="N46">
        <v>2.5</v>
      </c>
      <c r="R46" t="s">
        <v>82</v>
      </c>
      <c r="S46" t="s">
        <v>60</v>
      </c>
      <c r="U46" t="s">
        <v>100</v>
      </c>
      <c r="V46" t="s">
        <v>105</v>
      </c>
      <c r="W46">
        <f>1/120/1000000</f>
        <v>8.3333333333333335E-9</v>
      </c>
    </row>
    <row r="47" spans="1:23" x14ac:dyDescent="0.25">
      <c r="A47">
        <v>2022</v>
      </c>
      <c r="B47" t="s">
        <v>136</v>
      </c>
      <c r="C47" t="s">
        <v>49</v>
      </c>
      <c r="D47" t="s">
        <v>45</v>
      </c>
      <c r="E47">
        <v>137</v>
      </c>
      <c r="F47" t="s">
        <v>62</v>
      </c>
      <c r="G47">
        <v>2066.4</v>
      </c>
      <c r="H47" cm="1">
        <f t="array" aca="1" ref="H47" ca="1">INDEX(Feedstock!$C$1:$AM$1,MATCH(TRUE,INDEX(OFFSET(Feedstock!$C$1:$AM$1,MATCH($D47,Feedstock!A:A,0),0,,37),0)&lt;&gt;0,0))</f>
        <v>7</v>
      </c>
      <c r="I47" cm="1">
        <f t="array" aca="1" ref="I47" ca="1">LOOKUP(2,1/(INDEX(OFFSET(Feedstock!$C$1:$AM$1,MATCH($D47,Feedstock!A:A,0),0,,37),0)&lt;&gt;0=TRUE),Feedstock!$C$1:$AM$1)</f>
        <v>7</v>
      </c>
      <c r="K47" t="s">
        <v>63</v>
      </c>
      <c r="L47">
        <v>10.51</v>
      </c>
      <c r="M47" t="s">
        <v>69</v>
      </c>
      <c r="N47">
        <v>1.9</v>
      </c>
      <c r="O47" s="29" t="s">
        <v>176</v>
      </c>
      <c r="P47" s="29">
        <v>2.5000000000000001E-2</v>
      </c>
      <c r="Q47" s="29" t="s">
        <v>36</v>
      </c>
      <c r="R47" t="s">
        <v>82</v>
      </c>
      <c r="S47" t="s">
        <v>59</v>
      </c>
      <c r="U47" t="s">
        <v>96</v>
      </c>
      <c r="V47" t="s">
        <v>105</v>
      </c>
      <c r="W47">
        <f>1/120/1000000</f>
        <v>8.3333333333333335E-9</v>
      </c>
    </row>
    <row r="48" spans="1:23" x14ac:dyDescent="0.25">
      <c r="A48">
        <v>2022</v>
      </c>
      <c r="B48" t="s">
        <v>137</v>
      </c>
      <c r="C48" t="s">
        <v>86</v>
      </c>
      <c r="D48" t="s">
        <v>45</v>
      </c>
      <c r="E48">
        <v>137</v>
      </c>
      <c r="F48" t="s">
        <v>62</v>
      </c>
      <c r="G48">
        <v>2066.4</v>
      </c>
      <c r="H48" cm="1">
        <f t="array" aca="1" ref="H48" ca="1">INDEX(Feedstock!$C$1:$AM$1,MATCH(TRUE,INDEX(OFFSET(Feedstock!$C$1:$AM$1,MATCH($D48,Feedstock!A:A,0),0,,37),0)&lt;&gt;0,0))</f>
        <v>7</v>
      </c>
      <c r="I48" cm="1">
        <f t="array" aca="1" ref="I48" ca="1">LOOKUP(2,1/(INDEX(OFFSET(Feedstock!$C$1:$AM$1,MATCH($D48,Feedstock!A:A,0),0,,37),0)&lt;&gt;0=TRUE),Feedstock!$C$1:$AM$1)</f>
        <v>7</v>
      </c>
      <c r="K48" t="s">
        <v>63</v>
      </c>
      <c r="L48">
        <v>10.51</v>
      </c>
      <c r="M48" t="s">
        <v>69</v>
      </c>
      <c r="N48">
        <v>2.5</v>
      </c>
      <c r="O48" s="29" t="s">
        <v>176</v>
      </c>
      <c r="P48" s="29">
        <v>2.5000000000000001E-2</v>
      </c>
      <c r="Q48" s="29" t="s">
        <v>36</v>
      </c>
      <c r="R48" t="s">
        <v>82</v>
      </c>
      <c r="S48" t="s">
        <v>60</v>
      </c>
      <c r="U48" t="s">
        <v>100</v>
      </c>
      <c r="V48" t="s">
        <v>105</v>
      </c>
      <c r="W48">
        <f>1/120/1000000</f>
        <v>8.3333333333333335E-9</v>
      </c>
    </row>
    <row r="49" spans="1:23" x14ac:dyDescent="0.25">
      <c r="A49">
        <v>2030</v>
      </c>
      <c r="B49" t="s">
        <v>55</v>
      </c>
      <c r="C49" t="s">
        <v>55</v>
      </c>
      <c r="D49" t="s">
        <v>48</v>
      </c>
      <c r="E49" s="19">
        <v>1000</v>
      </c>
      <c r="F49" t="s">
        <v>56</v>
      </c>
      <c r="G49">
        <v>1</v>
      </c>
      <c r="H49" cm="1">
        <f t="array" aca="1" ref="H49" ca="1">INDEX(Feedstock!$C$1:$AM$1,MATCH(TRUE,INDEX(OFFSET(Feedstock!$C$1:$AM$1,MATCH($D49,Feedstock!A:A,0),0,,37),0)&lt;&gt;0,0))</f>
        <v>30</v>
      </c>
      <c r="I49" cm="1">
        <f t="array" aca="1" ref="I49" ca="1">LOOKUP(2,1/(INDEX(OFFSET(Feedstock!$C$1:$AM$1,MATCH($D49,Feedstock!A:A,0),0,,37),0)&lt;&gt;0=TRUE),Feedstock!$C$1:$AM$1)</f>
        <v>40</v>
      </c>
      <c r="K49" t="s">
        <v>57</v>
      </c>
      <c r="L49">
        <f>-1000000</f>
        <v>-1000000</v>
      </c>
      <c r="M49" t="s">
        <v>70</v>
      </c>
      <c r="N49">
        <v>1</v>
      </c>
      <c r="O49" t="s">
        <v>171</v>
      </c>
      <c r="P49">
        <v>130</v>
      </c>
      <c r="Q49" t="s">
        <v>35</v>
      </c>
      <c r="R49" t="s">
        <v>55</v>
      </c>
      <c r="S49" t="s">
        <v>67</v>
      </c>
      <c r="U49" t="s">
        <v>99</v>
      </c>
      <c r="V49" t="s">
        <v>107</v>
      </c>
      <c r="W49">
        <f>1/1000000</f>
        <v>9.9999999999999995E-7</v>
      </c>
    </row>
    <row r="50" spans="1:23" x14ac:dyDescent="0.25">
      <c r="A50">
        <v>2031</v>
      </c>
      <c r="B50" t="s">
        <v>55</v>
      </c>
      <c r="C50" t="s">
        <v>55</v>
      </c>
      <c r="D50" t="s">
        <v>48</v>
      </c>
      <c r="E50" s="19">
        <v>908</v>
      </c>
      <c r="F50" t="s">
        <v>56</v>
      </c>
      <c r="G50">
        <v>1</v>
      </c>
      <c r="H50" cm="1">
        <f t="array" aca="1" ref="H50" ca="1">INDEX(Feedstock!$C$1:$AM$1,MATCH(TRUE,INDEX(OFFSET(Feedstock!$C$1:$AM$1,MATCH($D50,Feedstock!A:A,0),0,,37),0)&lt;&gt;0,0))</f>
        <v>30</v>
      </c>
      <c r="I50" cm="1">
        <f t="array" aca="1" ref="I50" ca="1">LOOKUP(2,1/(INDEX(OFFSET(Feedstock!$C$1:$AM$1,MATCH($D50,Feedstock!A:A,0),0,,37),0)&lt;&gt;0=TRUE),Feedstock!$C$1:$AM$1)</f>
        <v>40</v>
      </c>
      <c r="K50" t="s">
        <v>57</v>
      </c>
      <c r="L50">
        <f t="shared" ref="L50:L64" si="3">-1000000</f>
        <v>-1000000</v>
      </c>
      <c r="M50" t="s">
        <v>70</v>
      </c>
      <c r="N50">
        <v>1</v>
      </c>
      <c r="O50" t="s">
        <v>171</v>
      </c>
      <c r="P50">
        <v>130</v>
      </c>
      <c r="Q50" t="s">
        <v>35</v>
      </c>
      <c r="R50" t="s">
        <v>55</v>
      </c>
      <c r="S50" t="s">
        <v>67</v>
      </c>
      <c r="U50" t="s">
        <v>99</v>
      </c>
      <c r="V50" t="s">
        <v>107</v>
      </c>
      <c r="W50">
        <f t="shared" ref="W50:W64" si="4">1/1000000</f>
        <v>9.9999999999999995E-7</v>
      </c>
    </row>
    <row r="51" spans="1:23" x14ac:dyDescent="0.25">
      <c r="A51">
        <v>2032</v>
      </c>
      <c r="B51" t="s">
        <v>55</v>
      </c>
      <c r="C51" t="s">
        <v>55</v>
      </c>
      <c r="D51" t="s">
        <v>48</v>
      </c>
      <c r="E51" s="19">
        <v>825</v>
      </c>
      <c r="F51" t="s">
        <v>56</v>
      </c>
      <c r="G51">
        <v>1</v>
      </c>
      <c r="H51" cm="1">
        <f t="array" aca="1" ref="H51" ca="1">INDEX(Feedstock!$C$1:$AM$1,MATCH(TRUE,INDEX(OFFSET(Feedstock!$C$1:$AM$1,MATCH($D51,Feedstock!A:A,0),0,,37),0)&lt;&gt;0,0))</f>
        <v>30</v>
      </c>
      <c r="I51" cm="1">
        <f t="array" aca="1" ref="I51" ca="1">LOOKUP(2,1/(INDEX(OFFSET(Feedstock!$C$1:$AM$1,MATCH($D51,Feedstock!A:A,0),0,,37),0)&lt;&gt;0=TRUE),Feedstock!$C$1:$AM$1)</f>
        <v>40</v>
      </c>
      <c r="K51" t="s">
        <v>57</v>
      </c>
      <c r="L51">
        <f t="shared" si="3"/>
        <v>-1000000</v>
      </c>
      <c r="M51" t="s">
        <v>70</v>
      </c>
      <c r="N51">
        <v>1</v>
      </c>
      <c r="O51" t="s">
        <v>171</v>
      </c>
      <c r="P51">
        <v>130</v>
      </c>
      <c r="Q51" t="s">
        <v>35</v>
      </c>
      <c r="R51" t="s">
        <v>55</v>
      </c>
      <c r="S51" t="s">
        <v>67</v>
      </c>
      <c r="U51" t="s">
        <v>99</v>
      </c>
      <c r="V51" t="s">
        <v>107</v>
      </c>
      <c r="W51">
        <f t="shared" si="4"/>
        <v>9.9999999999999995E-7</v>
      </c>
    </row>
    <row r="52" spans="1:23" x14ac:dyDescent="0.25">
      <c r="A52">
        <v>2033</v>
      </c>
      <c r="B52" t="s">
        <v>55</v>
      </c>
      <c r="C52" t="s">
        <v>55</v>
      </c>
      <c r="D52" t="s">
        <v>48</v>
      </c>
      <c r="E52" s="19">
        <v>749</v>
      </c>
      <c r="F52" t="s">
        <v>56</v>
      </c>
      <c r="G52">
        <v>1</v>
      </c>
      <c r="H52" cm="1">
        <f t="array" aca="1" ref="H52" ca="1">INDEX(Feedstock!$C$1:$AM$1,MATCH(TRUE,INDEX(OFFSET(Feedstock!$C$1:$AM$1,MATCH($D52,Feedstock!A:A,0),0,,37),0)&lt;&gt;0,0))</f>
        <v>30</v>
      </c>
      <c r="I52" cm="1">
        <f t="array" aca="1" ref="I52" ca="1">LOOKUP(2,1/(INDEX(OFFSET(Feedstock!$C$1:$AM$1,MATCH($D52,Feedstock!A:A,0),0,,37),0)&lt;&gt;0=TRUE),Feedstock!$C$1:$AM$1)</f>
        <v>40</v>
      </c>
      <c r="K52" t="s">
        <v>57</v>
      </c>
      <c r="L52">
        <f t="shared" si="3"/>
        <v>-1000000</v>
      </c>
      <c r="M52" t="s">
        <v>70</v>
      </c>
      <c r="N52">
        <v>1</v>
      </c>
      <c r="O52" t="s">
        <v>171</v>
      </c>
      <c r="P52">
        <v>130</v>
      </c>
      <c r="Q52" t="s">
        <v>35</v>
      </c>
      <c r="R52" t="s">
        <v>55</v>
      </c>
      <c r="S52" t="s">
        <v>67</v>
      </c>
      <c r="U52" t="s">
        <v>99</v>
      </c>
      <c r="V52" t="s">
        <v>107</v>
      </c>
      <c r="W52">
        <f t="shared" si="4"/>
        <v>9.9999999999999995E-7</v>
      </c>
    </row>
    <row r="53" spans="1:23" x14ac:dyDescent="0.25">
      <c r="A53">
        <v>2034</v>
      </c>
      <c r="B53" t="s">
        <v>55</v>
      </c>
      <c r="C53" t="s">
        <v>55</v>
      </c>
      <c r="D53" t="s">
        <v>48</v>
      </c>
      <c r="E53" s="19">
        <v>680</v>
      </c>
      <c r="F53" t="s">
        <v>56</v>
      </c>
      <c r="G53">
        <v>1</v>
      </c>
      <c r="H53" cm="1">
        <f t="array" aca="1" ref="H53" ca="1">INDEX(Feedstock!$C$1:$AM$1,MATCH(TRUE,INDEX(OFFSET(Feedstock!$C$1:$AM$1,MATCH($D53,Feedstock!A:A,0),0,,37),0)&lt;&gt;0,0))</f>
        <v>30</v>
      </c>
      <c r="I53" cm="1">
        <f t="array" aca="1" ref="I53" ca="1">LOOKUP(2,1/(INDEX(OFFSET(Feedstock!$C$1:$AM$1,MATCH($D53,Feedstock!A:A,0),0,,37),0)&lt;&gt;0=TRUE),Feedstock!$C$1:$AM$1)</f>
        <v>40</v>
      </c>
      <c r="K53" t="s">
        <v>57</v>
      </c>
      <c r="L53">
        <f t="shared" si="3"/>
        <v>-1000000</v>
      </c>
      <c r="M53" t="s">
        <v>70</v>
      </c>
      <c r="N53">
        <v>1</v>
      </c>
      <c r="O53" t="s">
        <v>171</v>
      </c>
      <c r="P53">
        <v>130</v>
      </c>
      <c r="Q53" t="s">
        <v>35</v>
      </c>
      <c r="R53" t="s">
        <v>55</v>
      </c>
      <c r="S53" t="s">
        <v>67</v>
      </c>
      <c r="U53" t="s">
        <v>99</v>
      </c>
      <c r="V53" t="s">
        <v>107</v>
      </c>
      <c r="W53">
        <f t="shared" si="4"/>
        <v>9.9999999999999995E-7</v>
      </c>
    </row>
    <row r="54" spans="1:23" x14ac:dyDescent="0.25">
      <c r="A54">
        <v>2035</v>
      </c>
      <c r="B54" t="s">
        <v>55</v>
      </c>
      <c r="C54" t="s">
        <v>55</v>
      </c>
      <c r="D54" t="s">
        <v>48</v>
      </c>
      <c r="E54" s="19">
        <v>618</v>
      </c>
      <c r="F54" t="s">
        <v>56</v>
      </c>
      <c r="G54">
        <v>1</v>
      </c>
      <c r="H54" cm="1">
        <f t="array" aca="1" ref="H54" ca="1">INDEX(Feedstock!$C$1:$AM$1,MATCH(TRUE,INDEX(OFFSET(Feedstock!$C$1:$AM$1,MATCH($D54,Feedstock!A:A,0),0,,37),0)&lt;&gt;0,0))</f>
        <v>30</v>
      </c>
      <c r="I54" cm="1">
        <f t="array" aca="1" ref="I54" ca="1">LOOKUP(2,1/(INDEX(OFFSET(Feedstock!$C$1:$AM$1,MATCH($D54,Feedstock!A:A,0),0,,37),0)&lt;&gt;0=TRUE),Feedstock!$C$1:$AM$1)</f>
        <v>40</v>
      </c>
      <c r="K54" t="s">
        <v>57</v>
      </c>
      <c r="L54">
        <f t="shared" si="3"/>
        <v>-1000000</v>
      </c>
      <c r="M54" t="s">
        <v>70</v>
      </c>
      <c r="N54">
        <v>1</v>
      </c>
      <c r="O54" t="s">
        <v>171</v>
      </c>
      <c r="P54">
        <v>130</v>
      </c>
      <c r="Q54" t="s">
        <v>35</v>
      </c>
      <c r="R54" t="s">
        <v>55</v>
      </c>
      <c r="S54" t="s">
        <v>67</v>
      </c>
      <c r="U54" t="s">
        <v>99</v>
      </c>
      <c r="V54" t="s">
        <v>107</v>
      </c>
      <c r="W54">
        <f t="shared" si="4"/>
        <v>9.9999999999999995E-7</v>
      </c>
    </row>
    <row r="55" spans="1:23" x14ac:dyDescent="0.25">
      <c r="A55">
        <v>2036</v>
      </c>
      <c r="B55" t="s">
        <v>55</v>
      </c>
      <c r="C55" t="s">
        <v>55</v>
      </c>
      <c r="D55" t="s">
        <v>48</v>
      </c>
      <c r="E55" s="19">
        <v>561</v>
      </c>
      <c r="F55" t="s">
        <v>56</v>
      </c>
      <c r="G55">
        <v>1</v>
      </c>
      <c r="H55" cm="1">
        <f t="array" aca="1" ref="H55" ca="1">INDEX(Feedstock!$C$1:$AM$1,MATCH(TRUE,INDEX(OFFSET(Feedstock!$C$1:$AM$1,MATCH($D55,Feedstock!A:A,0),0,,37),0)&lt;&gt;0,0))</f>
        <v>30</v>
      </c>
      <c r="I55" cm="1">
        <f t="array" aca="1" ref="I55" ca="1">LOOKUP(2,1/(INDEX(OFFSET(Feedstock!$C$1:$AM$1,MATCH($D55,Feedstock!A:A,0),0,,37),0)&lt;&gt;0=TRUE),Feedstock!$C$1:$AM$1)</f>
        <v>40</v>
      </c>
      <c r="K55" t="s">
        <v>57</v>
      </c>
      <c r="L55">
        <f t="shared" si="3"/>
        <v>-1000000</v>
      </c>
      <c r="M55" t="s">
        <v>70</v>
      </c>
      <c r="N55">
        <v>1</v>
      </c>
      <c r="O55" t="s">
        <v>171</v>
      </c>
      <c r="P55">
        <v>130</v>
      </c>
      <c r="Q55" t="s">
        <v>35</v>
      </c>
      <c r="R55" t="s">
        <v>55</v>
      </c>
      <c r="S55" t="s">
        <v>67</v>
      </c>
      <c r="U55" t="s">
        <v>99</v>
      </c>
      <c r="V55" t="s">
        <v>107</v>
      </c>
      <c r="W55">
        <f t="shared" si="4"/>
        <v>9.9999999999999995E-7</v>
      </c>
    </row>
    <row r="56" spans="1:23" x14ac:dyDescent="0.25">
      <c r="A56">
        <v>2037</v>
      </c>
      <c r="B56" t="s">
        <v>55</v>
      </c>
      <c r="C56" t="s">
        <v>55</v>
      </c>
      <c r="D56" t="s">
        <v>48</v>
      </c>
      <c r="E56" s="19">
        <v>510</v>
      </c>
      <c r="F56" t="s">
        <v>56</v>
      </c>
      <c r="G56">
        <v>1</v>
      </c>
      <c r="H56" cm="1">
        <f t="array" aca="1" ref="H56" ca="1">INDEX(Feedstock!$C$1:$AM$1,MATCH(TRUE,INDEX(OFFSET(Feedstock!$C$1:$AM$1,MATCH($D56,Feedstock!A:A,0),0,,37),0)&lt;&gt;0,0))</f>
        <v>30</v>
      </c>
      <c r="I56" cm="1">
        <f t="array" aca="1" ref="I56" ca="1">LOOKUP(2,1/(INDEX(OFFSET(Feedstock!$C$1:$AM$1,MATCH($D56,Feedstock!A:A,0),0,,37),0)&lt;&gt;0=TRUE),Feedstock!$C$1:$AM$1)</f>
        <v>40</v>
      </c>
      <c r="K56" t="s">
        <v>57</v>
      </c>
      <c r="L56">
        <f t="shared" si="3"/>
        <v>-1000000</v>
      </c>
      <c r="M56" t="s">
        <v>70</v>
      </c>
      <c r="N56">
        <v>1</v>
      </c>
      <c r="O56" t="s">
        <v>171</v>
      </c>
      <c r="P56">
        <v>130</v>
      </c>
      <c r="Q56" t="s">
        <v>35</v>
      </c>
      <c r="R56" t="s">
        <v>55</v>
      </c>
      <c r="S56" t="s">
        <v>67</v>
      </c>
      <c r="U56" t="s">
        <v>99</v>
      </c>
      <c r="V56" t="s">
        <v>107</v>
      </c>
      <c r="W56">
        <f t="shared" si="4"/>
        <v>9.9999999999999995E-7</v>
      </c>
    </row>
    <row r="57" spans="1:23" x14ac:dyDescent="0.25">
      <c r="A57">
        <v>2038</v>
      </c>
      <c r="B57" t="s">
        <v>55</v>
      </c>
      <c r="C57" t="s">
        <v>55</v>
      </c>
      <c r="D57" t="s">
        <v>48</v>
      </c>
      <c r="E57" s="19">
        <v>463</v>
      </c>
      <c r="F57" t="s">
        <v>56</v>
      </c>
      <c r="G57">
        <v>1</v>
      </c>
      <c r="H57" cm="1">
        <f t="array" aca="1" ref="H57" ca="1">INDEX(Feedstock!$C$1:$AM$1,MATCH(TRUE,INDEX(OFFSET(Feedstock!$C$1:$AM$1,MATCH($D57,Feedstock!A:A,0),0,,37),0)&lt;&gt;0,0))</f>
        <v>30</v>
      </c>
      <c r="I57" cm="1">
        <f t="array" aca="1" ref="I57" ca="1">LOOKUP(2,1/(INDEX(OFFSET(Feedstock!$C$1:$AM$1,MATCH($D57,Feedstock!A:A,0),0,,37),0)&lt;&gt;0=TRUE),Feedstock!$C$1:$AM$1)</f>
        <v>40</v>
      </c>
      <c r="K57" t="s">
        <v>57</v>
      </c>
      <c r="L57">
        <f t="shared" si="3"/>
        <v>-1000000</v>
      </c>
      <c r="M57" t="s">
        <v>70</v>
      </c>
      <c r="N57">
        <v>1</v>
      </c>
      <c r="O57" t="s">
        <v>171</v>
      </c>
      <c r="P57">
        <v>130</v>
      </c>
      <c r="Q57" t="s">
        <v>35</v>
      </c>
      <c r="R57" t="s">
        <v>55</v>
      </c>
      <c r="S57" t="s">
        <v>67</v>
      </c>
      <c r="U57" t="s">
        <v>99</v>
      </c>
      <c r="V57" t="s">
        <v>107</v>
      </c>
      <c r="W57">
        <f t="shared" si="4"/>
        <v>9.9999999999999995E-7</v>
      </c>
    </row>
    <row r="58" spans="1:23" x14ac:dyDescent="0.25">
      <c r="A58">
        <v>2039</v>
      </c>
      <c r="B58" t="s">
        <v>55</v>
      </c>
      <c r="C58" t="s">
        <v>55</v>
      </c>
      <c r="D58" t="s">
        <v>48</v>
      </c>
      <c r="E58" s="19">
        <v>420</v>
      </c>
      <c r="F58" t="s">
        <v>56</v>
      </c>
      <c r="G58">
        <v>1</v>
      </c>
      <c r="H58" cm="1">
        <f t="array" aca="1" ref="H58" ca="1">INDEX(Feedstock!$C$1:$AM$1,MATCH(TRUE,INDEX(OFFSET(Feedstock!$C$1:$AM$1,MATCH($D58,Feedstock!A:A,0),0,,37),0)&lt;&gt;0,0))</f>
        <v>30</v>
      </c>
      <c r="I58" cm="1">
        <f t="array" aca="1" ref="I58" ca="1">LOOKUP(2,1/(INDEX(OFFSET(Feedstock!$C$1:$AM$1,MATCH($D58,Feedstock!A:A,0),0,,37),0)&lt;&gt;0=TRUE),Feedstock!$C$1:$AM$1)</f>
        <v>40</v>
      </c>
      <c r="K58" t="s">
        <v>57</v>
      </c>
      <c r="L58">
        <f t="shared" si="3"/>
        <v>-1000000</v>
      </c>
      <c r="M58" t="s">
        <v>70</v>
      </c>
      <c r="N58">
        <v>1</v>
      </c>
      <c r="O58" t="s">
        <v>171</v>
      </c>
      <c r="P58">
        <v>130</v>
      </c>
      <c r="Q58" t="s">
        <v>35</v>
      </c>
      <c r="R58" t="s">
        <v>55</v>
      </c>
      <c r="S58" t="s">
        <v>67</v>
      </c>
      <c r="U58" t="s">
        <v>99</v>
      </c>
      <c r="V58" t="s">
        <v>107</v>
      </c>
      <c r="W58">
        <f t="shared" si="4"/>
        <v>9.9999999999999995E-7</v>
      </c>
    </row>
    <row r="59" spans="1:23" x14ac:dyDescent="0.25">
      <c r="A59">
        <v>2040</v>
      </c>
      <c r="B59" t="s">
        <v>55</v>
      </c>
      <c r="C59" t="s">
        <v>55</v>
      </c>
      <c r="D59" t="s">
        <v>48</v>
      </c>
      <c r="E59" s="19">
        <v>382</v>
      </c>
      <c r="F59" t="s">
        <v>56</v>
      </c>
      <c r="G59">
        <v>1</v>
      </c>
      <c r="H59" cm="1">
        <f t="array" aca="1" ref="H59" ca="1">INDEX(Feedstock!$C$1:$AM$1,MATCH(TRUE,INDEX(OFFSET(Feedstock!$C$1:$AM$1,MATCH($D59,Feedstock!A:A,0),0,,37),0)&lt;&gt;0,0))</f>
        <v>30</v>
      </c>
      <c r="I59" cm="1">
        <f t="array" aca="1" ref="I59" ca="1">LOOKUP(2,1/(INDEX(OFFSET(Feedstock!$C$1:$AM$1,MATCH($D59,Feedstock!A:A,0),0,,37),0)&lt;&gt;0=TRUE),Feedstock!$C$1:$AM$1)</f>
        <v>40</v>
      </c>
      <c r="K59" t="s">
        <v>57</v>
      </c>
      <c r="L59">
        <f t="shared" si="3"/>
        <v>-1000000</v>
      </c>
      <c r="M59" t="s">
        <v>70</v>
      </c>
      <c r="N59">
        <v>1</v>
      </c>
      <c r="O59" t="s">
        <v>171</v>
      </c>
      <c r="P59">
        <v>130</v>
      </c>
      <c r="Q59" t="s">
        <v>35</v>
      </c>
      <c r="R59" t="s">
        <v>55</v>
      </c>
      <c r="S59" t="s">
        <v>67</v>
      </c>
      <c r="U59" t="s">
        <v>99</v>
      </c>
      <c r="V59" t="s">
        <v>107</v>
      </c>
      <c r="W59">
        <f t="shared" si="4"/>
        <v>9.9999999999999995E-7</v>
      </c>
    </row>
    <row r="60" spans="1:23" x14ac:dyDescent="0.25">
      <c r="A60">
        <v>2041</v>
      </c>
      <c r="B60" t="s">
        <v>55</v>
      </c>
      <c r="C60" t="s">
        <v>55</v>
      </c>
      <c r="D60" t="s">
        <v>48</v>
      </c>
      <c r="E60" s="19">
        <v>347</v>
      </c>
      <c r="F60" t="s">
        <v>56</v>
      </c>
      <c r="G60">
        <v>1</v>
      </c>
      <c r="H60" cm="1">
        <f t="array" aca="1" ref="H60" ca="1">INDEX(Feedstock!$C$1:$AM$1,MATCH(TRUE,INDEX(OFFSET(Feedstock!$C$1:$AM$1,MATCH($D60,Feedstock!A:A,0),0,,37),0)&lt;&gt;0,0))</f>
        <v>30</v>
      </c>
      <c r="I60" cm="1">
        <f t="array" aca="1" ref="I60" ca="1">LOOKUP(2,1/(INDEX(OFFSET(Feedstock!$C$1:$AM$1,MATCH($D60,Feedstock!A:A,0),0,,37),0)&lt;&gt;0=TRUE),Feedstock!$C$1:$AM$1)</f>
        <v>40</v>
      </c>
      <c r="K60" t="s">
        <v>57</v>
      </c>
      <c r="L60">
        <f t="shared" si="3"/>
        <v>-1000000</v>
      </c>
      <c r="M60" t="s">
        <v>70</v>
      </c>
      <c r="N60">
        <v>1</v>
      </c>
      <c r="O60" t="s">
        <v>171</v>
      </c>
      <c r="P60">
        <v>130</v>
      </c>
      <c r="Q60" t="s">
        <v>35</v>
      </c>
      <c r="R60" t="s">
        <v>55</v>
      </c>
      <c r="S60" t="s">
        <v>67</v>
      </c>
      <c r="U60" t="s">
        <v>99</v>
      </c>
      <c r="V60" t="s">
        <v>107</v>
      </c>
      <c r="W60">
        <f t="shared" si="4"/>
        <v>9.9999999999999995E-7</v>
      </c>
    </row>
    <row r="61" spans="1:23" x14ac:dyDescent="0.25">
      <c r="A61">
        <v>2042</v>
      </c>
      <c r="B61" t="s">
        <v>55</v>
      </c>
      <c r="C61" t="s">
        <v>55</v>
      </c>
      <c r="D61" t="s">
        <v>48</v>
      </c>
      <c r="E61" s="19">
        <v>315</v>
      </c>
      <c r="F61" t="s">
        <v>56</v>
      </c>
      <c r="G61">
        <v>1</v>
      </c>
      <c r="H61" cm="1">
        <f t="array" aca="1" ref="H61" ca="1">INDEX(Feedstock!$C$1:$AM$1,MATCH(TRUE,INDEX(OFFSET(Feedstock!$C$1:$AM$1,MATCH($D61,Feedstock!A:A,0),0,,37),0)&lt;&gt;0,0))</f>
        <v>30</v>
      </c>
      <c r="I61" cm="1">
        <f t="array" aca="1" ref="I61" ca="1">LOOKUP(2,1/(INDEX(OFFSET(Feedstock!$C$1:$AM$1,MATCH($D61,Feedstock!A:A,0),0,,37),0)&lt;&gt;0=TRUE),Feedstock!$C$1:$AM$1)</f>
        <v>40</v>
      </c>
      <c r="K61" t="s">
        <v>57</v>
      </c>
      <c r="L61">
        <f t="shared" si="3"/>
        <v>-1000000</v>
      </c>
      <c r="M61" t="s">
        <v>70</v>
      </c>
      <c r="N61">
        <v>1</v>
      </c>
      <c r="O61" t="s">
        <v>171</v>
      </c>
      <c r="P61">
        <v>130</v>
      </c>
      <c r="Q61" t="s">
        <v>35</v>
      </c>
      <c r="R61" t="s">
        <v>55</v>
      </c>
      <c r="S61" t="s">
        <v>67</v>
      </c>
      <c r="U61" t="s">
        <v>99</v>
      </c>
      <c r="V61" t="s">
        <v>107</v>
      </c>
      <c r="W61">
        <f t="shared" si="4"/>
        <v>9.9999999999999995E-7</v>
      </c>
    </row>
    <row r="62" spans="1:23" x14ac:dyDescent="0.25">
      <c r="A62">
        <v>2043</v>
      </c>
      <c r="B62" t="s">
        <v>55</v>
      </c>
      <c r="C62" t="s">
        <v>55</v>
      </c>
      <c r="D62" t="s">
        <v>48</v>
      </c>
      <c r="E62" s="19">
        <v>286</v>
      </c>
      <c r="F62" t="s">
        <v>56</v>
      </c>
      <c r="G62">
        <v>1</v>
      </c>
      <c r="H62" cm="1">
        <f t="array" aca="1" ref="H62" ca="1">INDEX(Feedstock!$C$1:$AM$1,MATCH(TRUE,INDEX(OFFSET(Feedstock!$C$1:$AM$1,MATCH($D62,Feedstock!A:A,0),0,,37),0)&lt;&gt;0,0))</f>
        <v>30</v>
      </c>
      <c r="I62" cm="1">
        <f t="array" aca="1" ref="I62" ca="1">LOOKUP(2,1/(INDEX(OFFSET(Feedstock!$C$1:$AM$1,MATCH($D62,Feedstock!A:A,0),0,,37),0)&lt;&gt;0=TRUE),Feedstock!$C$1:$AM$1)</f>
        <v>40</v>
      </c>
      <c r="K62" t="s">
        <v>57</v>
      </c>
      <c r="L62">
        <f t="shared" si="3"/>
        <v>-1000000</v>
      </c>
      <c r="M62" t="s">
        <v>70</v>
      </c>
      <c r="N62">
        <v>1</v>
      </c>
      <c r="O62" t="s">
        <v>171</v>
      </c>
      <c r="P62">
        <v>130</v>
      </c>
      <c r="Q62" t="s">
        <v>35</v>
      </c>
      <c r="R62" t="s">
        <v>55</v>
      </c>
      <c r="S62" t="s">
        <v>67</v>
      </c>
      <c r="U62" t="s">
        <v>99</v>
      </c>
      <c r="V62" t="s">
        <v>107</v>
      </c>
      <c r="W62">
        <f t="shared" si="4"/>
        <v>9.9999999999999995E-7</v>
      </c>
    </row>
    <row r="63" spans="1:23" x14ac:dyDescent="0.25">
      <c r="A63">
        <v>2044</v>
      </c>
      <c r="B63" t="s">
        <v>55</v>
      </c>
      <c r="C63" t="s">
        <v>55</v>
      </c>
      <c r="D63" t="s">
        <v>48</v>
      </c>
      <c r="E63" s="19">
        <v>260</v>
      </c>
      <c r="F63" t="s">
        <v>56</v>
      </c>
      <c r="G63">
        <v>1</v>
      </c>
      <c r="H63" cm="1">
        <f t="array" aca="1" ref="H63" ca="1">INDEX(Feedstock!$C$1:$AM$1,MATCH(TRUE,INDEX(OFFSET(Feedstock!$C$1:$AM$1,MATCH($D63,Feedstock!A:A,0),0,,37),0)&lt;&gt;0,0))</f>
        <v>30</v>
      </c>
      <c r="I63" cm="1">
        <f t="array" aca="1" ref="I63" ca="1">LOOKUP(2,1/(INDEX(OFFSET(Feedstock!$C$1:$AM$1,MATCH($D63,Feedstock!A:A,0),0,,37),0)&lt;&gt;0=TRUE),Feedstock!$C$1:$AM$1)</f>
        <v>40</v>
      </c>
      <c r="K63" t="s">
        <v>57</v>
      </c>
      <c r="L63">
        <f t="shared" si="3"/>
        <v>-1000000</v>
      </c>
      <c r="M63" t="s">
        <v>70</v>
      </c>
      <c r="N63">
        <v>1</v>
      </c>
      <c r="O63" t="s">
        <v>171</v>
      </c>
      <c r="P63">
        <v>130</v>
      </c>
      <c r="Q63" t="s">
        <v>35</v>
      </c>
      <c r="R63" t="s">
        <v>55</v>
      </c>
      <c r="S63" t="s">
        <v>67</v>
      </c>
      <c r="U63" t="s">
        <v>99</v>
      </c>
      <c r="V63" t="s">
        <v>107</v>
      </c>
      <c r="W63">
        <f t="shared" si="4"/>
        <v>9.9999999999999995E-7</v>
      </c>
    </row>
    <row r="64" spans="1:23" x14ac:dyDescent="0.25">
      <c r="A64">
        <v>2045</v>
      </c>
      <c r="B64" t="s">
        <v>55</v>
      </c>
      <c r="C64" t="s">
        <v>55</v>
      </c>
      <c r="D64" t="s">
        <v>48</v>
      </c>
      <c r="E64" s="19">
        <v>236</v>
      </c>
      <c r="F64" t="s">
        <v>56</v>
      </c>
      <c r="G64">
        <v>1</v>
      </c>
      <c r="H64" cm="1">
        <f t="array" aca="1" ref="H64" ca="1">INDEX(Feedstock!$C$1:$AM$1,MATCH(TRUE,INDEX(OFFSET(Feedstock!$C$1:$AM$1,MATCH($D64,Feedstock!A:A,0),0,,37),0)&lt;&gt;0,0))</f>
        <v>30</v>
      </c>
      <c r="I64" cm="1">
        <f t="array" aca="1" ref="I64" ca="1">LOOKUP(2,1/(INDEX(OFFSET(Feedstock!$C$1:$AM$1,MATCH($D64,Feedstock!A:A,0),0,,37),0)&lt;&gt;0=TRUE),Feedstock!$C$1:$AM$1)</f>
        <v>40</v>
      </c>
      <c r="K64" t="s">
        <v>57</v>
      </c>
      <c r="L64">
        <f t="shared" si="3"/>
        <v>-1000000</v>
      </c>
      <c r="M64" t="s">
        <v>70</v>
      </c>
      <c r="N64">
        <v>1</v>
      </c>
      <c r="O64" t="s">
        <v>171</v>
      </c>
      <c r="P64">
        <v>130</v>
      </c>
      <c r="Q64" t="s">
        <v>35</v>
      </c>
      <c r="R64" t="s">
        <v>55</v>
      </c>
      <c r="S64" t="s">
        <v>67</v>
      </c>
      <c r="U64" t="s">
        <v>99</v>
      </c>
      <c r="V64" t="s">
        <v>107</v>
      </c>
      <c r="W64">
        <f t="shared" si="4"/>
        <v>9.9999999999999995E-7</v>
      </c>
    </row>
    <row r="65" spans="1:23" x14ac:dyDescent="0.25">
      <c r="A65">
        <v>2040</v>
      </c>
      <c r="B65" t="s">
        <v>128</v>
      </c>
      <c r="C65" t="s">
        <v>29</v>
      </c>
      <c r="D65" t="s">
        <v>130</v>
      </c>
      <c r="E65">
        <v>11.4</v>
      </c>
      <c r="F65" t="s">
        <v>66</v>
      </c>
      <c r="G65">
        <v>1055</v>
      </c>
      <c r="H65" cm="1">
        <f t="array" aca="1" ref="H65" ca="1">INDEX(Feedstock!$C$1:$AM$1,MATCH(TRUE,INDEX(OFFSET(Feedstock!$C$1:$AM$1,MATCH($D65,Feedstock!A:A,0),0,,37),0)&lt;&gt;0,0))</f>
        <v>50</v>
      </c>
      <c r="I65" cm="1">
        <f t="array" aca="1" ref="I65" ca="1">LOOKUP(2,1/(INDEX(OFFSET(Feedstock!$C$1:$AM$1,MATCH($D65,Feedstock!A:A,0),0,,37),0)&lt;&gt;0=TRUE),Feedstock!$C$1:$AM$1)</f>
        <v>125</v>
      </c>
      <c r="K65" t="s">
        <v>81</v>
      </c>
      <c r="L65" s="40">
        <v>9999</v>
      </c>
      <c r="M65" t="s">
        <v>69</v>
      </c>
      <c r="N65">
        <v>0.9</v>
      </c>
      <c r="P65" s="10">
        <v>0.36929894749799963</v>
      </c>
      <c r="Q65" t="s">
        <v>36</v>
      </c>
      <c r="R65" t="s">
        <v>167</v>
      </c>
      <c r="S65" t="s">
        <v>59</v>
      </c>
      <c r="U65" t="s">
        <v>131</v>
      </c>
      <c r="V65" t="s">
        <v>106</v>
      </c>
      <c r="W65">
        <v>7.436602959767978E-9</v>
      </c>
    </row>
    <row r="66" spans="1:23" x14ac:dyDescent="0.25">
      <c r="A66">
        <v>2040</v>
      </c>
      <c r="B66" t="s">
        <v>198</v>
      </c>
      <c r="C66" t="s">
        <v>49</v>
      </c>
      <c r="D66" t="s">
        <v>130</v>
      </c>
      <c r="E66">
        <v>51.2</v>
      </c>
      <c r="F66" t="s">
        <v>66</v>
      </c>
      <c r="G66">
        <v>865.1</v>
      </c>
      <c r="H66" cm="1">
        <f t="array" aca="1" ref="H66" ca="1">INDEX(Feedstock!$C$1:$AM$1,MATCH(TRUE,INDEX(OFFSET(Feedstock!$C$1:$AM$1,MATCH($D66,Feedstock!A:A,0),0,,37),0)&lt;&gt;0,0))</f>
        <v>50</v>
      </c>
      <c r="I66" cm="1">
        <f t="array" aca="1" ref="I66" ca="1">LOOKUP(2,1/(INDEX(OFFSET(Feedstock!$C$1:$AM$1,MATCH($D66,Feedstock!A:A,0),0,,37),0)&lt;&gt;0=TRUE),Feedstock!$C$1:$AM$1)</f>
        <v>125</v>
      </c>
      <c r="K66" t="s">
        <v>81</v>
      </c>
      <c r="L66">
        <v>319</v>
      </c>
      <c r="M66" t="s">
        <v>69</v>
      </c>
      <c r="N66">
        <v>1.9</v>
      </c>
      <c r="R66" t="s">
        <v>167</v>
      </c>
      <c r="S66" t="s">
        <v>59</v>
      </c>
      <c r="U66" t="s">
        <v>96</v>
      </c>
      <c r="V66" t="s">
        <v>105</v>
      </c>
      <c r="W66">
        <v>8.3333333333333335E-9</v>
      </c>
    </row>
    <row r="67" spans="1:23" x14ac:dyDescent="0.25">
      <c r="A67">
        <v>2040</v>
      </c>
      <c r="B67" t="s">
        <v>197</v>
      </c>
      <c r="C67" t="s">
        <v>86</v>
      </c>
      <c r="D67" t="s">
        <v>130</v>
      </c>
      <c r="E67">
        <v>51.2</v>
      </c>
      <c r="F67" t="s">
        <v>66</v>
      </c>
      <c r="G67">
        <v>865.1</v>
      </c>
      <c r="H67" cm="1">
        <f t="array" aca="1" ref="H67" ca="1">INDEX(Feedstock!$C$1:$AM$1,MATCH(TRUE,INDEX(OFFSET(Feedstock!$C$1:$AM$1,MATCH($D67,Feedstock!A:A,0),0,,37),0)&lt;&gt;0,0))</f>
        <v>50</v>
      </c>
      <c r="I67" cm="1">
        <f t="array" aca="1" ref="I67" ca="1">LOOKUP(2,1/(INDEX(OFFSET(Feedstock!$C$1:$AM$1,MATCH($D67,Feedstock!A:A,0),0,,37),0)&lt;&gt;0=TRUE),Feedstock!$C$1:$AM$1)</f>
        <v>125</v>
      </c>
      <c r="K67" t="s">
        <v>81</v>
      </c>
      <c r="L67">
        <v>319</v>
      </c>
      <c r="M67" t="s">
        <v>69</v>
      </c>
      <c r="N67">
        <v>2.5</v>
      </c>
      <c r="R67" t="s">
        <v>167</v>
      </c>
      <c r="S67" t="s">
        <v>60</v>
      </c>
      <c r="U67" t="s">
        <v>100</v>
      </c>
      <c r="V67" t="s">
        <v>105</v>
      </c>
      <c r="W67">
        <v>8.3333333333333335E-9</v>
      </c>
    </row>
    <row r="68" spans="1:23" x14ac:dyDescent="0.25">
      <c r="A68">
        <v>2040</v>
      </c>
      <c r="B68" t="s">
        <v>89</v>
      </c>
      <c r="C68" t="s">
        <v>46</v>
      </c>
      <c r="D68" t="s">
        <v>134</v>
      </c>
      <c r="E68">
        <v>0</v>
      </c>
      <c r="F68" t="s">
        <v>66</v>
      </c>
      <c r="G68">
        <v>601.34999999999991</v>
      </c>
      <c r="H68" cm="1">
        <f t="array" aca="1" ref="H68" ca="1">INDEX(Feedstock!$C$1:$AM$1,MATCH(TRUE,INDEX(OFFSET(Feedstock!$C$1:$AM$1,MATCH($D68,Feedstock!A:A,0),0,,37),0)&lt;&gt;0,0))</f>
        <v>0</v>
      </c>
      <c r="I68" cm="1">
        <f t="array" aca="1" ref="I68" ca="1">LOOKUP(2,1/(INDEX(OFFSET(Feedstock!$C$1:$AM$1,MATCH($D68,Feedstock!A:A,0),0,,37),0)&lt;&gt;0=TRUE),Feedstock!$C$1:$AM$1)</f>
        <v>0</v>
      </c>
      <c r="K68" t="s">
        <v>81</v>
      </c>
      <c r="L68" s="29">
        <v>94</v>
      </c>
      <c r="M68" t="s">
        <v>69</v>
      </c>
      <c r="N68">
        <v>3.4</v>
      </c>
      <c r="R68" t="s">
        <v>183</v>
      </c>
      <c r="S68" t="s">
        <v>60</v>
      </c>
      <c r="U68" t="s">
        <v>181</v>
      </c>
      <c r="V68" t="s">
        <v>108</v>
      </c>
      <c r="W68">
        <f>1/3.6/1000000</f>
        <v>2.7777777777777781E-7</v>
      </c>
    </row>
    <row r="69" spans="1:23" x14ac:dyDescent="0.25">
      <c r="A69">
        <v>2040</v>
      </c>
      <c r="B69" t="s">
        <v>124</v>
      </c>
      <c r="C69" t="s">
        <v>123</v>
      </c>
      <c r="D69" t="s">
        <v>134</v>
      </c>
      <c r="E69">
        <v>0</v>
      </c>
      <c r="F69" t="s">
        <v>66</v>
      </c>
      <c r="G69">
        <v>601.34999999999991</v>
      </c>
      <c r="H69" cm="1">
        <f t="array" aca="1" ref="H69" ca="1">INDEX(Feedstock!$C$1:$AM$1,MATCH(TRUE,INDEX(OFFSET(Feedstock!$C$1:$AM$1,MATCH($D69,Feedstock!A:A,0),0,,37),0)&lt;&gt;0,0))</f>
        <v>0</v>
      </c>
      <c r="I69" cm="1">
        <f t="array" aca="1" ref="I69" ca="1">LOOKUP(2,1/(INDEX(OFFSET(Feedstock!$C$1:$AM$1,MATCH($D69,Feedstock!A:A,0),0,,37),0)&lt;&gt;0=TRUE),Feedstock!$C$1:$AM$1)</f>
        <v>0</v>
      </c>
      <c r="K69" t="s">
        <v>81</v>
      </c>
      <c r="L69" s="29">
        <v>94</v>
      </c>
      <c r="M69" t="s">
        <v>69</v>
      </c>
      <c r="N69">
        <v>5</v>
      </c>
      <c r="R69" t="s">
        <v>183</v>
      </c>
      <c r="S69" t="s">
        <v>59</v>
      </c>
      <c r="U69" t="s">
        <v>182</v>
      </c>
      <c r="V69" t="s">
        <v>108</v>
      </c>
      <c r="W69">
        <f>1/3.6/1000000</f>
        <v>2.7777777777777781E-7</v>
      </c>
    </row>
  </sheetData>
  <phoneticPr fontId="5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E8CD-8C32-4144-B6AB-B258227B53B7}">
  <dimension ref="A1:E3"/>
  <sheetViews>
    <sheetView workbookViewId="0">
      <selection activeCell="D11" sqref="D11"/>
    </sheetView>
  </sheetViews>
  <sheetFormatPr defaultRowHeight="15" x14ac:dyDescent="0.25"/>
  <cols>
    <col min="1" max="1" width="29.140625" customWidth="1"/>
    <col min="2" max="2" width="17.28515625" bestFit="1" customWidth="1"/>
    <col min="3" max="3" width="20.42578125" bestFit="1" customWidth="1"/>
    <col min="4" max="4" width="20.42578125" customWidth="1"/>
    <col min="5" max="5" width="42.140625" bestFit="1" customWidth="1"/>
  </cols>
  <sheetData>
    <row r="1" spans="1:5" x14ac:dyDescent="0.25">
      <c r="A1" s="14" t="s">
        <v>3</v>
      </c>
      <c r="B1" s="14" t="s">
        <v>93</v>
      </c>
      <c r="C1" s="14" t="s">
        <v>92</v>
      </c>
      <c r="D1" s="14" t="s">
        <v>175</v>
      </c>
      <c r="E1" s="14" t="s">
        <v>76</v>
      </c>
    </row>
    <row r="2" spans="1:5" x14ac:dyDescent="0.25">
      <c r="A2" t="s">
        <v>51</v>
      </c>
      <c r="B2" t="s">
        <v>32</v>
      </c>
      <c r="C2">
        <v>5.0000000000000001E-3</v>
      </c>
      <c r="D2" t="b">
        <v>1</v>
      </c>
      <c r="E2" t="s">
        <v>179</v>
      </c>
    </row>
    <row r="3" spans="1:5" x14ac:dyDescent="0.25">
      <c r="A3" t="s">
        <v>39</v>
      </c>
      <c r="B3" t="s">
        <v>32</v>
      </c>
      <c r="C3">
        <v>0.01</v>
      </c>
      <c r="D3" t="b">
        <v>0</v>
      </c>
      <c r="E3" t="s">
        <v>185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45"/>
  <sheetViews>
    <sheetView topLeftCell="A25" zoomScaleNormal="100" workbookViewId="0">
      <selection activeCell="D145" sqref="D145"/>
    </sheetView>
  </sheetViews>
  <sheetFormatPr defaultRowHeight="15" x14ac:dyDescent="0.25"/>
  <cols>
    <col min="2" max="2" width="18.85546875" bestFit="1" customWidth="1"/>
    <col min="3" max="3" width="17.7109375" bestFit="1" customWidth="1"/>
    <col min="4" max="4" width="28.7109375" bestFit="1" customWidth="1"/>
    <col min="5" max="5" width="11.85546875" bestFit="1" customWidth="1"/>
    <col min="7" max="7" width="10.85546875" bestFit="1" customWidth="1"/>
    <col min="9" max="9" width="10.85546875" bestFit="1" customWidth="1"/>
    <col min="10" max="10" width="11.85546875" bestFit="1" customWidth="1"/>
    <col min="11" max="11" width="10.85546875" bestFit="1" customWidth="1"/>
  </cols>
  <sheetData>
    <row r="1" spans="1:4" x14ac:dyDescent="0.25">
      <c r="A1" s="1" t="s">
        <v>0</v>
      </c>
      <c r="B1" s="1" t="s">
        <v>3</v>
      </c>
      <c r="C1" s="1" t="s">
        <v>18</v>
      </c>
      <c r="D1" s="1" t="s">
        <v>19</v>
      </c>
    </row>
    <row r="2" spans="1:4" x14ac:dyDescent="0.25">
      <c r="A2">
        <v>2022</v>
      </c>
      <c r="B2" t="s">
        <v>58</v>
      </c>
      <c r="C2" s="4">
        <f>20*80*1000000</f>
        <v>1600000000</v>
      </c>
      <c r="D2" s="7">
        <v>0.4</v>
      </c>
    </row>
    <row r="3" spans="1:4" x14ac:dyDescent="0.25">
      <c r="A3">
        <v>2022</v>
      </c>
      <c r="B3" t="s">
        <v>91</v>
      </c>
      <c r="C3" t="s">
        <v>71</v>
      </c>
      <c r="D3" t="s">
        <v>71</v>
      </c>
    </row>
    <row r="4" spans="1:4" x14ac:dyDescent="0.25">
      <c r="A4">
        <v>2022</v>
      </c>
      <c r="B4" t="s">
        <v>90</v>
      </c>
      <c r="C4" t="s">
        <v>71</v>
      </c>
      <c r="D4" t="s">
        <v>71</v>
      </c>
    </row>
    <row r="5" spans="1:4" x14ac:dyDescent="0.25">
      <c r="A5">
        <f>A3+1</f>
        <v>2023</v>
      </c>
      <c r="B5" t="s">
        <v>91</v>
      </c>
      <c r="C5" t="s">
        <v>71</v>
      </c>
      <c r="D5" t="s">
        <v>71</v>
      </c>
    </row>
    <row r="6" spans="1:4" x14ac:dyDescent="0.25">
      <c r="A6">
        <f t="shared" ref="A6:A60" si="0">A4+1</f>
        <v>2023</v>
      </c>
      <c r="B6" t="s">
        <v>90</v>
      </c>
      <c r="C6" t="s">
        <v>71</v>
      </c>
      <c r="D6" t="s">
        <v>71</v>
      </c>
    </row>
    <row r="7" spans="1:4" x14ac:dyDescent="0.25">
      <c r="A7">
        <f t="shared" si="0"/>
        <v>2024</v>
      </c>
      <c r="B7" t="s">
        <v>91</v>
      </c>
      <c r="C7" t="s">
        <v>71</v>
      </c>
      <c r="D7" t="s">
        <v>71</v>
      </c>
    </row>
    <row r="8" spans="1:4" x14ac:dyDescent="0.25">
      <c r="A8">
        <f t="shared" si="0"/>
        <v>2024</v>
      </c>
      <c r="B8" t="s">
        <v>90</v>
      </c>
      <c r="C8" t="s">
        <v>71</v>
      </c>
      <c r="D8" t="s">
        <v>71</v>
      </c>
    </row>
    <row r="9" spans="1:4" x14ac:dyDescent="0.25">
      <c r="A9">
        <f t="shared" si="0"/>
        <v>2025</v>
      </c>
      <c r="B9" t="s">
        <v>91</v>
      </c>
      <c r="C9" t="s">
        <v>71</v>
      </c>
      <c r="D9" t="s">
        <v>71</v>
      </c>
    </row>
    <row r="10" spans="1:4" x14ac:dyDescent="0.25">
      <c r="A10">
        <f t="shared" si="0"/>
        <v>2025</v>
      </c>
      <c r="B10" t="s">
        <v>90</v>
      </c>
      <c r="C10" t="s">
        <v>71</v>
      </c>
      <c r="D10" t="s">
        <v>71</v>
      </c>
    </row>
    <row r="11" spans="1:4" x14ac:dyDescent="0.25">
      <c r="A11">
        <f t="shared" si="0"/>
        <v>2026</v>
      </c>
      <c r="B11" t="s">
        <v>91</v>
      </c>
      <c r="C11" t="s">
        <v>71</v>
      </c>
      <c r="D11" t="s">
        <v>71</v>
      </c>
    </row>
    <row r="12" spans="1:4" x14ac:dyDescent="0.25">
      <c r="A12">
        <f t="shared" si="0"/>
        <v>2026</v>
      </c>
      <c r="B12" t="s">
        <v>90</v>
      </c>
      <c r="C12" t="s">
        <v>71</v>
      </c>
      <c r="D12" t="s">
        <v>71</v>
      </c>
    </row>
    <row r="13" spans="1:4" x14ac:dyDescent="0.25">
      <c r="A13">
        <f t="shared" si="0"/>
        <v>2027</v>
      </c>
      <c r="B13" t="s">
        <v>91</v>
      </c>
      <c r="C13" t="s">
        <v>71</v>
      </c>
      <c r="D13" t="s">
        <v>71</v>
      </c>
    </row>
    <row r="14" spans="1:4" x14ac:dyDescent="0.25">
      <c r="A14">
        <f t="shared" si="0"/>
        <v>2027</v>
      </c>
      <c r="B14" t="s">
        <v>90</v>
      </c>
      <c r="C14" t="s">
        <v>71</v>
      </c>
      <c r="D14" t="s">
        <v>71</v>
      </c>
    </row>
    <row r="15" spans="1:4" x14ac:dyDescent="0.25">
      <c r="A15">
        <f t="shared" si="0"/>
        <v>2028</v>
      </c>
      <c r="B15" t="s">
        <v>91</v>
      </c>
      <c r="C15" t="s">
        <v>71</v>
      </c>
      <c r="D15" t="s">
        <v>71</v>
      </c>
    </row>
    <row r="16" spans="1:4" x14ac:dyDescent="0.25">
      <c r="A16">
        <f t="shared" si="0"/>
        <v>2028</v>
      </c>
      <c r="B16" t="s">
        <v>90</v>
      </c>
      <c r="C16" t="s">
        <v>71</v>
      </c>
      <c r="D16" t="s">
        <v>71</v>
      </c>
    </row>
    <row r="17" spans="1:4" x14ac:dyDescent="0.25">
      <c r="A17">
        <f t="shared" si="0"/>
        <v>2029</v>
      </c>
      <c r="B17" t="s">
        <v>91</v>
      </c>
      <c r="C17" t="s">
        <v>71</v>
      </c>
      <c r="D17" t="s">
        <v>71</v>
      </c>
    </row>
    <row r="18" spans="1:4" x14ac:dyDescent="0.25">
      <c r="A18">
        <f t="shared" si="0"/>
        <v>2029</v>
      </c>
      <c r="B18" t="s">
        <v>90</v>
      </c>
      <c r="C18" t="s">
        <v>71</v>
      </c>
      <c r="D18" t="s">
        <v>71</v>
      </c>
    </row>
    <row r="19" spans="1:4" x14ac:dyDescent="0.25">
      <c r="A19">
        <f t="shared" si="0"/>
        <v>2030</v>
      </c>
      <c r="B19" t="s">
        <v>91</v>
      </c>
      <c r="C19" t="s">
        <v>71</v>
      </c>
      <c r="D19" t="s">
        <v>71</v>
      </c>
    </row>
    <row r="20" spans="1:4" x14ac:dyDescent="0.25">
      <c r="A20">
        <f t="shared" si="0"/>
        <v>2030</v>
      </c>
      <c r="B20" t="s">
        <v>90</v>
      </c>
      <c r="C20" t="s">
        <v>71</v>
      </c>
      <c r="D20" t="s">
        <v>71</v>
      </c>
    </row>
    <row r="21" spans="1:4" x14ac:dyDescent="0.25">
      <c r="A21">
        <f t="shared" si="0"/>
        <v>2031</v>
      </c>
      <c r="B21" t="s">
        <v>91</v>
      </c>
      <c r="C21" t="s">
        <v>71</v>
      </c>
      <c r="D21" t="s">
        <v>71</v>
      </c>
    </row>
    <row r="22" spans="1:4" x14ac:dyDescent="0.25">
      <c r="A22">
        <f t="shared" si="0"/>
        <v>2031</v>
      </c>
      <c r="B22" t="s">
        <v>90</v>
      </c>
      <c r="C22" t="s">
        <v>71</v>
      </c>
      <c r="D22" t="s">
        <v>71</v>
      </c>
    </row>
    <row r="23" spans="1:4" x14ac:dyDescent="0.25">
      <c r="A23">
        <f t="shared" si="0"/>
        <v>2032</v>
      </c>
      <c r="B23" t="s">
        <v>91</v>
      </c>
      <c r="C23" t="s">
        <v>71</v>
      </c>
      <c r="D23" t="s">
        <v>71</v>
      </c>
    </row>
    <row r="24" spans="1:4" x14ac:dyDescent="0.25">
      <c r="A24">
        <f t="shared" si="0"/>
        <v>2032</v>
      </c>
      <c r="B24" t="s">
        <v>90</v>
      </c>
      <c r="C24" t="s">
        <v>71</v>
      </c>
      <c r="D24" t="s">
        <v>71</v>
      </c>
    </row>
    <row r="25" spans="1:4" x14ac:dyDescent="0.25">
      <c r="A25">
        <f t="shared" si="0"/>
        <v>2033</v>
      </c>
      <c r="B25" t="s">
        <v>91</v>
      </c>
      <c r="C25" t="s">
        <v>71</v>
      </c>
      <c r="D25" t="s">
        <v>71</v>
      </c>
    </row>
    <row r="26" spans="1:4" x14ac:dyDescent="0.25">
      <c r="A26">
        <f t="shared" si="0"/>
        <v>2033</v>
      </c>
      <c r="B26" t="s">
        <v>90</v>
      </c>
      <c r="C26" t="s">
        <v>71</v>
      </c>
      <c r="D26" t="s">
        <v>71</v>
      </c>
    </row>
    <row r="27" spans="1:4" x14ac:dyDescent="0.25">
      <c r="A27">
        <f t="shared" si="0"/>
        <v>2034</v>
      </c>
      <c r="B27" t="s">
        <v>91</v>
      </c>
      <c r="C27" t="s">
        <v>71</v>
      </c>
      <c r="D27" t="s">
        <v>71</v>
      </c>
    </row>
    <row r="28" spans="1:4" x14ac:dyDescent="0.25">
      <c r="A28">
        <f t="shared" si="0"/>
        <v>2034</v>
      </c>
      <c r="B28" t="s">
        <v>90</v>
      </c>
      <c r="C28" t="s">
        <v>71</v>
      </c>
      <c r="D28" t="s">
        <v>71</v>
      </c>
    </row>
    <row r="29" spans="1:4" x14ac:dyDescent="0.25">
      <c r="A29">
        <f t="shared" si="0"/>
        <v>2035</v>
      </c>
      <c r="B29" t="s">
        <v>91</v>
      </c>
      <c r="C29" t="s">
        <v>71</v>
      </c>
      <c r="D29" t="s">
        <v>71</v>
      </c>
    </row>
    <row r="30" spans="1:4" x14ac:dyDescent="0.25">
      <c r="A30">
        <f t="shared" si="0"/>
        <v>2035</v>
      </c>
      <c r="B30" t="s">
        <v>90</v>
      </c>
      <c r="C30" t="s">
        <v>71</v>
      </c>
      <c r="D30" t="s">
        <v>71</v>
      </c>
    </row>
    <row r="31" spans="1:4" x14ac:dyDescent="0.25">
      <c r="A31">
        <f t="shared" si="0"/>
        <v>2036</v>
      </c>
      <c r="B31" t="s">
        <v>91</v>
      </c>
      <c r="C31" t="s">
        <v>71</v>
      </c>
      <c r="D31" t="s">
        <v>71</v>
      </c>
    </row>
    <row r="32" spans="1:4" x14ac:dyDescent="0.25">
      <c r="A32">
        <f t="shared" si="0"/>
        <v>2036</v>
      </c>
      <c r="B32" t="s">
        <v>90</v>
      </c>
      <c r="C32" t="s">
        <v>71</v>
      </c>
      <c r="D32" t="s">
        <v>71</v>
      </c>
    </row>
    <row r="33" spans="1:4" x14ac:dyDescent="0.25">
      <c r="A33">
        <f t="shared" si="0"/>
        <v>2037</v>
      </c>
      <c r="B33" t="s">
        <v>91</v>
      </c>
      <c r="C33" t="s">
        <v>71</v>
      </c>
      <c r="D33" t="s">
        <v>71</v>
      </c>
    </row>
    <row r="34" spans="1:4" x14ac:dyDescent="0.25">
      <c r="A34">
        <f t="shared" si="0"/>
        <v>2037</v>
      </c>
      <c r="B34" t="s">
        <v>90</v>
      </c>
      <c r="C34" t="s">
        <v>71</v>
      </c>
      <c r="D34" t="s">
        <v>71</v>
      </c>
    </row>
    <row r="35" spans="1:4" x14ac:dyDescent="0.25">
      <c r="A35">
        <f t="shared" si="0"/>
        <v>2038</v>
      </c>
      <c r="B35" t="s">
        <v>91</v>
      </c>
      <c r="C35" t="s">
        <v>71</v>
      </c>
      <c r="D35" t="s">
        <v>71</v>
      </c>
    </row>
    <row r="36" spans="1:4" x14ac:dyDescent="0.25">
      <c r="A36">
        <f t="shared" si="0"/>
        <v>2038</v>
      </c>
      <c r="B36" t="s">
        <v>90</v>
      </c>
      <c r="C36" t="s">
        <v>71</v>
      </c>
      <c r="D36" t="s">
        <v>71</v>
      </c>
    </row>
    <row r="37" spans="1:4" x14ac:dyDescent="0.25">
      <c r="A37">
        <f t="shared" si="0"/>
        <v>2039</v>
      </c>
      <c r="B37" t="s">
        <v>91</v>
      </c>
      <c r="C37" t="s">
        <v>71</v>
      </c>
      <c r="D37" t="s">
        <v>71</v>
      </c>
    </row>
    <row r="38" spans="1:4" x14ac:dyDescent="0.25">
      <c r="A38">
        <f t="shared" si="0"/>
        <v>2039</v>
      </c>
      <c r="B38" t="s">
        <v>90</v>
      </c>
      <c r="C38" t="s">
        <v>71</v>
      </c>
      <c r="D38" t="s">
        <v>71</v>
      </c>
    </row>
    <row r="39" spans="1:4" x14ac:dyDescent="0.25">
      <c r="A39">
        <f t="shared" si="0"/>
        <v>2040</v>
      </c>
      <c r="B39" t="s">
        <v>91</v>
      </c>
      <c r="C39" t="s">
        <v>71</v>
      </c>
      <c r="D39" t="s">
        <v>71</v>
      </c>
    </row>
    <row r="40" spans="1:4" x14ac:dyDescent="0.25">
      <c r="A40">
        <f t="shared" si="0"/>
        <v>2040</v>
      </c>
      <c r="B40" t="s">
        <v>90</v>
      </c>
      <c r="C40" t="s">
        <v>71</v>
      </c>
      <c r="D40" t="s">
        <v>71</v>
      </c>
    </row>
    <row r="41" spans="1:4" x14ac:dyDescent="0.25">
      <c r="A41">
        <f t="shared" si="0"/>
        <v>2041</v>
      </c>
      <c r="B41" t="s">
        <v>91</v>
      </c>
      <c r="C41" t="s">
        <v>71</v>
      </c>
      <c r="D41" t="s">
        <v>71</v>
      </c>
    </row>
    <row r="42" spans="1:4" x14ac:dyDescent="0.25">
      <c r="A42">
        <f t="shared" si="0"/>
        <v>2041</v>
      </c>
      <c r="B42" t="s">
        <v>90</v>
      </c>
      <c r="C42" t="s">
        <v>71</v>
      </c>
      <c r="D42" t="s">
        <v>71</v>
      </c>
    </row>
    <row r="43" spans="1:4" x14ac:dyDescent="0.25">
      <c r="A43">
        <f t="shared" si="0"/>
        <v>2042</v>
      </c>
      <c r="B43" t="s">
        <v>91</v>
      </c>
      <c r="C43" t="s">
        <v>71</v>
      </c>
      <c r="D43" t="s">
        <v>71</v>
      </c>
    </row>
    <row r="44" spans="1:4" x14ac:dyDescent="0.25">
      <c r="A44">
        <f t="shared" si="0"/>
        <v>2042</v>
      </c>
      <c r="B44" t="s">
        <v>90</v>
      </c>
      <c r="C44" t="s">
        <v>71</v>
      </c>
      <c r="D44" t="s">
        <v>71</v>
      </c>
    </row>
    <row r="45" spans="1:4" x14ac:dyDescent="0.25">
      <c r="A45">
        <f t="shared" si="0"/>
        <v>2043</v>
      </c>
      <c r="B45" t="s">
        <v>91</v>
      </c>
      <c r="C45" t="s">
        <v>71</v>
      </c>
      <c r="D45" t="s">
        <v>71</v>
      </c>
    </row>
    <row r="46" spans="1:4" x14ac:dyDescent="0.25">
      <c r="A46">
        <f t="shared" si="0"/>
        <v>2043</v>
      </c>
      <c r="B46" t="s">
        <v>90</v>
      </c>
      <c r="C46" t="s">
        <v>71</v>
      </c>
      <c r="D46" t="s">
        <v>71</v>
      </c>
    </row>
    <row r="47" spans="1:4" x14ac:dyDescent="0.25">
      <c r="A47">
        <f t="shared" si="0"/>
        <v>2044</v>
      </c>
      <c r="B47" t="s">
        <v>91</v>
      </c>
      <c r="C47" t="s">
        <v>71</v>
      </c>
      <c r="D47" t="s">
        <v>71</v>
      </c>
    </row>
    <row r="48" spans="1:4" x14ac:dyDescent="0.25">
      <c r="A48">
        <f t="shared" si="0"/>
        <v>2044</v>
      </c>
      <c r="B48" t="s">
        <v>90</v>
      </c>
      <c r="C48" t="s">
        <v>71</v>
      </c>
      <c r="D48" t="s">
        <v>71</v>
      </c>
    </row>
    <row r="49" spans="1:5" x14ac:dyDescent="0.25">
      <c r="A49">
        <f t="shared" si="0"/>
        <v>2045</v>
      </c>
      <c r="B49" t="s">
        <v>91</v>
      </c>
      <c r="C49" t="s">
        <v>71</v>
      </c>
      <c r="D49" t="s">
        <v>71</v>
      </c>
    </row>
    <row r="50" spans="1:5" x14ac:dyDescent="0.25">
      <c r="A50">
        <f t="shared" si="0"/>
        <v>2045</v>
      </c>
      <c r="B50" t="s">
        <v>90</v>
      </c>
      <c r="C50" t="s">
        <v>71</v>
      </c>
      <c r="D50" t="s">
        <v>71</v>
      </c>
    </row>
    <row r="51" spans="1:5" x14ac:dyDescent="0.25">
      <c r="A51">
        <f t="shared" si="0"/>
        <v>2046</v>
      </c>
      <c r="B51" t="s">
        <v>91</v>
      </c>
      <c r="C51" t="s">
        <v>71</v>
      </c>
      <c r="D51" t="s">
        <v>71</v>
      </c>
    </row>
    <row r="52" spans="1:5" x14ac:dyDescent="0.25">
      <c r="A52">
        <f t="shared" si="0"/>
        <v>2046</v>
      </c>
      <c r="B52" t="s">
        <v>90</v>
      </c>
      <c r="C52" t="s">
        <v>71</v>
      </c>
      <c r="D52" t="s">
        <v>71</v>
      </c>
    </row>
    <row r="53" spans="1:5" x14ac:dyDescent="0.25">
      <c r="A53">
        <f t="shared" si="0"/>
        <v>2047</v>
      </c>
      <c r="B53" t="s">
        <v>91</v>
      </c>
      <c r="C53" t="s">
        <v>71</v>
      </c>
      <c r="D53" t="s">
        <v>71</v>
      </c>
    </row>
    <row r="54" spans="1:5" x14ac:dyDescent="0.25">
      <c r="A54">
        <f t="shared" si="0"/>
        <v>2047</v>
      </c>
      <c r="B54" t="s">
        <v>90</v>
      </c>
      <c r="C54" t="s">
        <v>71</v>
      </c>
      <c r="D54" t="s">
        <v>71</v>
      </c>
    </row>
    <row r="55" spans="1:5" x14ac:dyDescent="0.25">
      <c r="A55">
        <f t="shared" si="0"/>
        <v>2048</v>
      </c>
      <c r="B55" t="s">
        <v>91</v>
      </c>
      <c r="C55" t="s">
        <v>71</v>
      </c>
      <c r="D55" t="s">
        <v>71</v>
      </c>
    </row>
    <row r="56" spans="1:5" x14ac:dyDescent="0.25">
      <c r="A56">
        <f t="shared" si="0"/>
        <v>2048</v>
      </c>
      <c r="B56" t="s">
        <v>90</v>
      </c>
      <c r="C56" t="s">
        <v>71</v>
      </c>
      <c r="D56" t="s">
        <v>71</v>
      </c>
    </row>
    <row r="57" spans="1:5" x14ac:dyDescent="0.25">
      <c r="A57">
        <f t="shared" si="0"/>
        <v>2049</v>
      </c>
      <c r="B57" t="s">
        <v>91</v>
      </c>
      <c r="C57" t="s">
        <v>71</v>
      </c>
      <c r="D57" t="s">
        <v>71</v>
      </c>
    </row>
    <row r="58" spans="1:5" x14ac:dyDescent="0.25">
      <c r="A58">
        <f t="shared" si="0"/>
        <v>2049</v>
      </c>
      <c r="B58" t="s">
        <v>90</v>
      </c>
      <c r="C58" t="s">
        <v>71</v>
      </c>
      <c r="D58" t="s">
        <v>71</v>
      </c>
    </row>
    <row r="59" spans="1:5" x14ac:dyDescent="0.25">
      <c r="A59">
        <f t="shared" si="0"/>
        <v>2050</v>
      </c>
      <c r="B59" t="s">
        <v>91</v>
      </c>
      <c r="C59" t="s">
        <v>71</v>
      </c>
      <c r="D59" t="s">
        <v>71</v>
      </c>
    </row>
    <row r="60" spans="1:5" x14ac:dyDescent="0.25">
      <c r="A60">
        <f t="shared" si="0"/>
        <v>2050</v>
      </c>
      <c r="B60" t="s">
        <v>91</v>
      </c>
      <c r="C60" t="s">
        <v>71</v>
      </c>
      <c r="D60" t="s">
        <v>71</v>
      </c>
    </row>
    <row r="61" spans="1:5" x14ac:dyDescent="0.25">
      <c r="A61">
        <v>2022</v>
      </c>
      <c r="B61" t="s">
        <v>32</v>
      </c>
      <c r="C61">
        <f>1340000000*129.65</f>
        <v>173731000000</v>
      </c>
      <c r="D61" t="s">
        <v>71</v>
      </c>
      <c r="E61" t="s">
        <v>166</v>
      </c>
    </row>
    <row r="62" spans="1:5" x14ac:dyDescent="0.25">
      <c r="A62">
        <v>2022</v>
      </c>
      <c r="B62" t="s">
        <v>125</v>
      </c>
      <c r="C62" t="s">
        <v>71</v>
      </c>
      <c r="D62" t="s">
        <v>71</v>
      </c>
    </row>
    <row r="63" spans="1:5" x14ac:dyDescent="0.25">
      <c r="A63">
        <v>2022</v>
      </c>
      <c r="B63" t="s">
        <v>126</v>
      </c>
      <c r="C63" t="s">
        <v>71</v>
      </c>
      <c r="D63" t="s">
        <v>71</v>
      </c>
    </row>
    <row r="64" spans="1:5" x14ac:dyDescent="0.25">
      <c r="A64">
        <f>A62+1</f>
        <v>2023</v>
      </c>
      <c r="B64" t="str">
        <f>B62</f>
        <v>HDV-e (grid)</v>
      </c>
      <c r="C64" t="str">
        <f>C62</f>
        <v>inf</v>
      </c>
      <c r="D64" t="s">
        <v>71</v>
      </c>
    </row>
    <row r="65" spans="1:4" x14ac:dyDescent="0.25">
      <c r="A65">
        <f t="shared" ref="A65:A109" si="1">A63+1</f>
        <v>2023</v>
      </c>
      <c r="B65" t="str">
        <f t="shared" ref="B65:C80" si="2">B63</f>
        <v>HDV-e (0-CI)</v>
      </c>
      <c r="C65" t="str">
        <f t="shared" si="2"/>
        <v>inf</v>
      </c>
      <c r="D65" t="s">
        <v>71</v>
      </c>
    </row>
    <row r="66" spans="1:4" x14ac:dyDescent="0.25">
      <c r="A66">
        <f t="shared" si="1"/>
        <v>2024</v>
      </c>
      <c r="B66" t="str">
        <f t="shared" si="2"/>
        <v>HDV-e (grid)</v>
      </c>
      <c r="C66" t="str">
        <f t="shared" si="2"/>
        <v>inf</v>
      </c>
      <c r="D66" t="s">
        <v>71</v>
      </c>
    </row>
    <row r="67" spans="1:4" x14ac:dyDescent="0.25">
      <c r="A67">
        <f t="shared" si="1"/>
        <v>2024</v>
      </c>
      <c r="B67" t="str">
        <f t="shared" si="2"/>
        <v>HDV-e (0-CI)</v>
      </c>
      <c r="C67" t="str">
        <f t="shared" si="2"/>
        <v>inf</v>
      </c>
      <c r="D67" t="s">
        <v>71</v>
      </c>
    </row>
    <row r="68" spans="1:4" x14ac:dyDescent="0.25">
      <c r="A68">
        <f t="shared" si="1"/>
        <v>2025</v>
      </c>
      <c r="B68" t="str">
        <f t="shared" si="2"/>
        <v>HDV-e (grid)</v>
      </c>
      <c r="C68" t="str">
        <f t="shared" si="2"/>
        <v>inf</v>
      </c>
      <c r="D68" t="s">
        <v>71</v>
      </c>
    </row>
    <row r="69" spans="1:4" x14ac:dyDescent="0.25">
      <c r="A69">
        <f t="shared" si="1"/>
        <v>2025</v>
      </c>
      <c r="B69" t="str">
        <f t="shared" si="2"/>
        <v>HDV-e (0-CI)</v>
      </c>
      <c r="C69" t="str">
        <f t="shared" si="2"/>
        <v>inf</v>
      </c>
      <c r="D69" t="s">
        <v>71</v>
      </c>
    </row>
    <row r="70" spans="1:4" x14ac:dyDescent="0.25">
      <c r="A70">
        <f t="shared" si="1"/>
        <v>2026</v>
      </c>
      <c r="B70" t="str">
        <f t="shared" si="2"/>
        <v>HDV-e (grid)</v>
      </c>
      <c r="C70" t="str">
        <f t="shared" si="2"/>
        <v>inf</v>
      </c>
      <c r="D70" t="s">
        <v>71</v>
      </c>
    </row>
    <row r="71" spans="1:4" x14ac:dyDescent="0.25">
      <c r="A71">
        <f t="shared" si="1"/>
        <v>2026</v>
      </c>
      <c r="B71" t="str">
        <f t="shared" si="2"/>
        <v>HDV-e (0-CI)</v>
      </c>
      <c r="C71" t="str">
        <f t="shared" si="2"/>
        <v>inf</v>
      </c>
      <c r="D71" t="s">
        <v>71</v>
      </c>
    </row>
    <row r="72" spans="1:4" x14ac:dyDescent="0.25">
      <c r="A72">
        <f t="shared" si="1"/>
        <v>2027</v>
      </c>
      <c r="B72" t="str">
        <f t="shared" si="2"/>
        <v>HDV-e (grid)</v>
      </c>
      <c r="C72" t="str">
        <f t="shared" si="2"/>
        <v>inf</v>
      </c>
      <c r="D72" t="s">
        <v>71</v>
      </c>
    </row>
    <row r="73" spans="1:4" x14ac:dyDescent="0.25">
      <c r="A73">
        <f t="shared" si="1"/>
        <v>2027</v>
      </c>
      <c r="B73" t="str">
        <f t="shared" si="2"/>
        <v>HDV-e (0-CI)</v>
      </c>
      <c r="C73" t="str">
        <f t="shared" si="2"/>
        <v>inf</v>
      </c>
      <c r="D73" t="s">
        <v>71</v>
      </c>
    </row>
    <row r="74" spans="1:4" x14ac:dyDescent="0.25">
      <c r="A74">
        <f t="shared" si="1"/>
        <v>2028</v>
      </c>
      <c r="B74" t="str">
        <f t="shared" si="2"/>
        <v>HDV-e (grid)</v>
      </c>
      <c r="C74" t="str">
        <f t="shared" si="2"/>
        <v>inf</v>
      </c>
      <c r="D74" t="s">
        <v>71</v>
      </c>
    </row>
    <row r="75" spans="1:4" x14ac:dyDescent="0.25">
      <c r="A75">
        <f t="shared" si="1"/>
        <v>2028</v>
      </c>
      <c r="B75" t="str">
        <f t="shared" si="2"/>
        <v>HDV-e (0-CI)</v>
      </c>
      <c r="C75" t="str">
        <f t="shared" si="2"/>
        <v>inf</v>
      </c>
      <c r="D75" t="s">
        <v>71</v>
      </c>
    </row>
    <row r="76" spans="1:4" x14ac:dyDescent="0.25">
      <c r="A76">
        <f t="shared" si="1"/>
        <v>2029</v>
      </c>
      <c r="B76" t="str">
        <f t="shared" si="2"/>
        <v>HDV-e (grid)</v>
      </c>
      <c r="C76" t="str">
        <f t="shared" si="2"/>
        <v>inf</v>
      </c>
      <c r="D76" t="s">
        <v>71</v>
      </c>
    </row>
    <row r="77" spans="1:4" x14ac:dyDescent="0.25">
      <c r="A77">
        <f t="shared" si="1"/>
        <v>2029</v>
      </c>
      <c r="B77" t="str">
        <f t="shared" si="2"/>
        <v>HDV-e (0-CI)</v>
      </c>
      <c r="C77" t="str">
        <f t="shared" si="2"/>
        <v>inf</v>
      </c>
      <c r="D77" t="s">
        <v>71</v>
      </c>
    </row>
    <row r="78" spans="1:4" x14ac:dyDescent="0.25">
      <c r="A78">
        <f t="shared" si="1"/>
        <v>2030</v>
      </c>
      <c r="B78" t="str">
        <f t="shared" si="2"/>
        <v>HDV-e (grid)</v>
      </c>
      <c r="C78" t="str">
        <f t="shared" si="2"/>
        <v>inf</v>
      </c>
      <c r="D78" t="s">
        <v>71</v>
      </c>
    </row>
    <row r="79" spans="1:4" x14ac:dyDescent="0.25">
      <c r="A79">
        <f t="shared" si="1"/>
        <v>2030</v>
      </c>
      <c r="B79" t="str">
        <f t="shared" si="2"/>
        <v>HDV-e (0-CI)</v>
      </c>
      <c r="C79" t="str">
        <f t="shared" si="2"/>
        <v>inf</v>
      </c>
      <c r="D79" t="s">
        <v>71</v>
      </c>
    </row>
    <row r="80" spans="1:4" x14ac:dyDescent="0.25">
      <c r="A80">
        <f t="shared" si="1"/>
        <v>2031</v>
      </c>
      <c r="B80" t="str">
        <f t="shared" si="2"/>
        <v>HDV-e (grid)</v>
      </c>
      <c r="C80" t="str">
        <f t="shared" si="2"/>
        <v>inf</v>
      </c>
      <c r="D80" t="s">
        <v>71</v>
      </c>
    </row>
    <row r="81" spans="1:4" x14ac:dyDescent="0.25">
      <c r="A81">
        <f t="shared" si="1"/>
        <v>2031</v>
      </c>
      <c r="B81" t="str">
        <f t="shared" ref="B81:C96" si="3">B79</f>
        <v>HDV-e (0-CI)</v>
      </c>
      <c r="C81" t="str">
        <f t="shared" si="3"/>
        <v>inf</v>
      </c>
      <c r="D81" t="s">
        <v>71</v>
      </c>
    </row>
    <row r="82" spans="1:4" x14ac:dyDescent="0.25">
      <c r="A82">
        <f t="shared" si="1"/>
        <v>2032</v>
      </c>
      <c r="B82" t="str">
        <f t="shared" si="3"/>
        <v>HDV-e (grid)</v>
      </c>
      <c r="C82" t="str">
        <f t="shared" si="3"/>
        <v>inf</v>
      </c>
      <c r="D82" t="s">
        <v>71</v>
      </c>
    </row>
    <row r="83" spans="1:4" x14ac:dyDescent="0.25">
      <c r="A83">
        <f t="shared" si="1"/>
        <v>2032</v>
      </c>
      <c r="B83" t="str">
        <f t="shared" si="3"/>
        <v>HDV-e (0-CI)</v>
      </c>
      <c r="C83" t="str">
        <f t="shared" si="3"/>
        <v>inf</v>
      </c>
      <c r="D83" t="s">
        <v>71</v>
      </c>
    </row>
    <row r="84" spans="1:4" x14ac:dyDescent="0.25">
      <c r="A84">
        <f t="shared" si="1"/>
        <v>2033</v>
      </c>
      <c r="B84" t="str">
        <f t="shared" si="3"/>
        <v>HDV-e (grid)</v>
      </c>
      <c r="C84" t="str">
        <f t="shared" si="3"/>
        <v>inf</v>
      </c>
      <c r="D84" t="s">
        <v>71</v>
      </c>
    </row>
    <row r="85" spans="1:4" x14ac:dyDescent="0.25">
      <c r="A85">
        <f t="shared" si="1"/>
        <v>2033</v>
      </c>
      <c r="B85" t="str">
        <f t="shared" si="3"/>
        <v>HDV-e (0-CI)</v>
      </c>
      <c r="C85" t="str">
        <f t="shared" si="3"/>
        <v>inf</v>
      </c>
      <c r="D85" t="s">
        <v>71</v>
      </c>
    </row>
    <row r="86" spans="1:4" x14ac:dyDescent="0.25">
      <c r="A86">
        <f t="shared" si="1"/>
        <v>2034</v>
      </c>
      <c r="B86" t="str">
        <f t="shared" si="3"/>
        <v>HDV-e (grid)</v>
      </c>
      <c r="C86" t="str">
        <f t="shared" si="3"/>
        <v>inf</v>
      </c>
      <c r="D86" t="s">
        <v>71</v>
      </c>
    </row>
    <row r="87" spans="1:4" x14ac:dyDescent="0.25">
      <c r="A87">
        <f t="shared" si="1"/>
        <v>2034</v>
      </c>
      <c r="B87" t="str">
        <f t="shared" si="3"/>
        <v>HDV-e (0-CI)</v>
      </c>
      <c r="C87" t="str">
        <f t="shared" si="3"/>
        <v>inf</v>
      </c>
      <c r="D87" t="s">
        <v>71</v>
      </c>
    </row>
    <row r="88" spans="1:4" x14ac:dyDescent="0.25">
      <c r="A88">
        <f t="shared" si="1"/>
        <v>2035</v>
      </c>
      <c r="B88" t="str">
        <f t="shared" si="3"/>
        <v>HDV-e (grid)</v>
      </c>
      <c r="C88" t="str">
        <f t="shared" si="3"/>
        <v>inf</v>
      </c>
      <c r="D88" t="s">
        <v>71</v>
      </c>
    </row>
    <row r="89" spans="1:4" x14ac:dyDescent="0.25">
      <c r="A89">
        <f t="shared" si="1"/>
        <v>2035</v>
      </c>
      <c r="B89" t="str">
        <f t="shared" si="3"/>
        <v>HDV-e (0-CI)</v>
      </c>
      <c r="C89" t="str">
        <f t="shared" si="3"/>
        <v>inf</v>
      </c>
      <c r="D89" t="s">
        <v>71</v>
      </c>
    </row>
    <row r="90" spans="1:4" x14ac:dyDescent="0.25">
      <c r="A90">
        <f t="shared" si="1"/>
        <v>2036</v>
      </c>
      <c r="B90" t="str">
        <f t="shared" si="3"/>
        <v>HDV-e (grid)</v>
      </c>
      <c r="C90" t="str">
        <f t="shared" si="3"/>
        <v>inf</v>
      </c>
      <c r="D90" t="s">
        <v>71</v>
      </c>
    </row>
    <row r="91" spans="1:4" x14ac:dyDescent="0.25">
      <c r="A91">
        <f t="shared" si="1"/>
        <v>2036</v>
      </c>
      <c r="B91" t="str">
        <f t="shared" si="3"/>
        <v>HDV-e (0-CI)</v>
      </c>
      <c r="C91" t="str">
        <f t="shared" si="3"/>
        <v>inf</v>
      </c>
      <c r="D91" t="s">
        <v>71</v>
      </c>
    </row>
    <row r="92" spans="1:4" x14ac:dyDescent="0.25">
      <c r="A92">
        <f t="shared" si="1"/>
        <v>2037</v>
      </c>
      <c r="B92" t="str">
        <f t="shared" si="3"/>
        <v>HDV-e (grid)</v>
      </c>
      <c r="C92" t="str">
        <f t="shared" si="3"/>
        <v>inf</v>
      </c>
      <c r="D92" t="s">
        <v>71</v>
      </c>
    </row>
    <row r="93" spans="1:4" x14ac:dyDescent="0.25">
      <c r="A93">
        <f t="shared" si="1"/>
        <v>2037</v>
      </c>
      <c r="B93" t="str">
        <f t="shared" si="3"/>
        <v>HDV-e (0-CI)</v>
      </c>
      <c r="C93" t="str">
        <f t="shared" si="3"/>
        <v>inf</v>
      </c>
      <c r="D93" t="s">
        <v>71</v>
      </c>
    </row>
    <row r="94" spans="1:4" x14ac:dyDescent="0.25">
      <c r="A94">
        <f t="shared" si="1"/>
        <v>2038</v>
      </c>
      <c r="B94" t="str">
        <f t="shared" si="3"/>
        <v>HDV-e (grid)</v>
      </c>
      <c r="C94" t="str">
        <f t="shared" si="3"/>
        <v>inf</v>
      </c>
      <c r="D94" t="s">
        <v>71</v>
      </c>
    </row>
    <row r="95" spans="1:4" x14ac:dyDescent="0.25">
      <c r="A95">
        <f t="shared" si="1"/>
        <v>2038</v>
      </c>
      <c r="B95" t="str">
        <f t="shared" si="3"/>
        <v>HDV-e (0-CI)</v>
      </c>
      <c r="C95" t="str">
        <f t="shared" si="3"/>
        <v>inf</v>
      </c>
      <c r="D95" t="s">
        <v>71</v>
      </c>
    </row>
    <row r="96" spans="1:4" x14ac:dyDescent="0.25">
      <c r="A96">
        <f t="shared" si="1"/>
        <v>2039</v>
      </c>
      <c r="B96" t="str">
        <f t="shared" si="3"/>
        <v>HDV-e (grid)</v>
      </c>
      <c r="C96" t="str">
        <f t="shared" si="3"/>
        <v>inf</v>
      </c>
      <c r="D96" t="s">
        <v>71</v>
      </c>
    </row>
    <row r="97" spans="1:5" x14ac:dyDescent="0.25">
      <c r="A97">
        <f t="shared" si="1"/>
        <v>2039</v>
      </c>
      <c r="B97" t="str">
        <f t="shared" ref="B97:C109" si="4">B95</f>
        <v>HDV-e (0-CI)</v>
      </c>
      <c r="C97" t="str">
        <f t="shared" si="4"/>
        <v>inf</v>
      </c>
      <c r="D97" t="s">
        <v>71</v>
      </c>
    </row>
    <row r="98" spans="1:5" x14ac:dyDescent="0.25">
      <c r="A98">
        <f t="shared" si="1"/>
        <v>2040</v>
      </c>
      <c r="B98" t="str">
        <f t="shared" si="4"/>
        <v>HDV-e (grid)</v>
      </c>
      <c r="C98" t="str">
        <f t="shared" si="4"/>
        <v>inf</v>
      </c>
      <c r="D98" t="s">
        <v>71</v>
      </c>
    </row>
    <row r="99" spans="1:5" x14ac:dyDescent="0.25">
      <c r="A99">
        <f t="shared" si="1"/>
        <v>2040</v>
      </c>
      <c r="B99" t="str">
        <f t="shared" si="4"/>
        <v>HDV-e (0-CI)</v>
      </c>
      <c r="C99" t="str">
        <f t="shared" si="4"/>
        <v>inf</v>
      </c>
      <c r="D99" t="s">
        <v>71</v>
      </c>
    </row>
    <row r="100" spans="1:5" x14ac:dyDescent="0.25">
      <c r="A100">
        <f t="shared" si="1"/>
        <v>2041</v>
      </c>
      <c r="B100" t="str">
        <f t="shared" si="4"/>
        <v>HDV-e (grid)</v>
      </c>
      <c r="C100" t="str">
        <f t="shared" si="4"/>
        <v>inf</v>
      </c>
      <c r="D100" t="s">
        <v>71</v>
      </c>
    </row>
    <row r="101" spans="1:5" x14ac:dyDescent="0.25">
      <c r="A101">
        <f t="shared" si="1"/>
        <v>2041</v>
      </c>
      <c r="B101" t="str">
        <f t="shared" si="4"/>
        <v>HDV-e (0-CI)</v>
      </c>
      <c r="C101" t="str">
        <f t="shared" si="4"/>
        <v>inf</v>
      </c>
      <c r="D101" t="s">
        <v>71</v>
      </c>
    </row>
    <row r="102" spans="1:5" x14ac:dyDescent="0.25">
      <c r="A102">
        <f t="shared" si="1"/>
        <v>2042</v>
      </c>
      <c r="B102" t="str">
        <f t="shared" si="4"/>
        <v>HDV-e (grid)</v>
      </c>
      <c r="C102" t="str">
        <f t="shared" si="4"/>
        <v>inf</v>
      </c>
      <c r="D102" t="s">
        <v>71</v>
      </c>
    </row>
    <row r="103" spans="1:5" x14ac:dyDescent="0.25">
      <c r="A103">
        <f t="shared" si="1"/>
        <v>2042</v>
      </c>
      <c r="B103" t="str">
        <f t="shared" si="4"/>
        <v>HDV-e (0-CI)</v>
      </c>
      <c r="C103" t="str">
        <f t="shared" si="4"/>
        <v>inf</v>
      </c>
      <c r="D103" t="s">
        <v>71</v>
      </c>
    </row>
    <row r="104" spans="1:5" x14ac:dyDescent="0.25">
      <c r="A104">
        <f t="shared" si="1"/>
        <v>2043</v>
      </c>
      <c r="B104" t="str">
        <f t="shared" si="4"/>
        <v>HDV-e (grid)</v>
      </c>
      <c r="C104" t="str">
        <f t="shared" si="4"/>
        <v>inf</v>
      </c>
      <c r="D104" t="s">
        <v>71</v>
      </c>
    </row>
    <row r="105" spans="1:5" x14ac:dyDescent="0.25">
      <c r="A105">
        <f t="shared" si="1"/>
        <v>2043</v>
      </c>
      <c r="B105" t="str">
        <f t="shared" si="4"/>
        <v>HDV-e (0-CI)</v>
      </c>
      <c r="C105" t="str">
        <f t="shared" si="4"/>
        <v>inf</v>
      </c>
      <c r="D105" t="s">
        <v>71</v>
      </c>
    </row>
    <row r="106" spans="1:5" x14ac:dyDescent="0.25">
      <c r="A106">
        <f t="shared" si="1"/>
        <v>2044</v>
      </c>
      <c r="B106" t="str">
        <f t="shared" si="4"/>
        <v>HDV-e (grid)</v>
      </c>
      <c r="C106" t="str">
        <f t="shared" si="4"/>
        <v>inf</v>
      </c>
      <c r="D106" t="s">
        <v>71</v>
      </c>
    </row>
    <row r="107" spans="1:5" x14ac:dyDescent="0.25">
      <c r="A107">
        <f t="shared" si="1"/>
        <v>2044</v>
      </c>
      <c r="B107" t="str">
        <f t="shared" si="4"/>
        <v>HDV-e (0-CI)</v>
      </c>
      <c r="C107" t="str">
        <f t="shared" si="4"/>
        <v>inf</v>
      </c>
      <c r="D107" t="s">
        <v>71</v>
      </c>
    </row>
    <row r="108" spans="1:5" x14ac:dyDescent="0.25">
      <c r="A108">
        <f t="shared" si="1"/>
        <v>2045</v>
      </c>
      <c r="B108" t="str">
        <f t="shared" si="4"/>
        <v>HDV-e (grid)</v>
      </c>
      <c r="C108" t="str">
        <f t="shared" si="4"/>
        <v>inf</v>
      </c>
      <c r="D108" t="s">
        <v>71</v>
      </c>
    </row>
    <row r="109" spans="1:5" x14ac:dyDescent="0.25">
      <c r="A109">
        <f t="shared" si="1"/>
        <v>2045</v>
      </c>
      <c r="B109" t="str">
        <f t="shared" si="4"/>
        <v>HDV-e (0-CI)</v>
      </c>
      <c r="C109" t="str">
        <f t="shared" si="4"/>
        <v>inf</v>
      </c>
      <c r="D109" t="s">
        <v>71</v>
      </c>
    </row>
    <row r="110" spans="1:5" x14ac:dyDescent="0.25">
      <c r="A110">
        <v>2022</v>
      </c>
      <c r="B110" t="s">
        <v>38</v>
      </c>
      <c r="C110">
        <v>36810856097.940002</v>
      </c>
      <c r="D110" s="7" t="s">
        <v>71</v>
      </c>
      <c r="E110" t="s">
        <v>170</v>
      </c>
    </row>
    <row r="111" spans="1:5" x14ac:dyDescent="0.25">
      <c r="A111">
        <v>2022</v>
      </c>
      <c r="B111" t="s">
        <v>47</v>
      </c>
      <c r="C111" s="32">
        <f>50*1000000*80</f>
        <v>4000000000</v>
      </c>
      <c r="D111" s="7">
        <v>0.4</v>
      </c>
      <c r="E111" t="s">
        <v>201</v>
      </c>
    </row>
    <row r="112" spans="1:5" x14ac:dyDescent="0.25">
      <c r="A112">
        <v>2025</v>
      </c>
      <c r="B112" t="s">
        <v>47</v>
      </c>
      <c r="C112" s="32">
        <f t="shared" ref="C112:C132" si="5">200*1000000*80</f>
        <v>16000000000</v>
      </c>
      <c r="D112" s="7">
        <v>0.4</v>
      </c>
    </row>
    <row r="113" spans="1:4" x14ac:dyDescent="0.25">
      <c r="A113">
        <v>2026</v>
      </c>
      <c r="B113" t="s">
        <v>47</v>
      </c>
      <c r="C113">
        <f t="shared" si="5"/>
        <v>16000000000</v>
      </c>
      <c r="D113" s="7">
        <v>0.4</v>
      </c>
    </row>
    <row r="114" spans="1:4" x14ac:dyDescent="0.25">
      <c r="A114">
        <v>2027</v>
      </c>
      <c r="B114" t="s">
        <v>47</v>
      </c>
      <c r="C114">
        <f t="shared" si="5"/>
        <v>16000000000</v>
      </c>
      <c r="D114" s="7">
        <v>0.4</v>
      </c>
    </row>
    <row r="115" spans="1:4" x14ac:dyDescent="0.25">
      <c r="A115">
        <v>2028</v>
      </c>
      <c r="B115" t="s">
        <v>47</v>
      </c>
      <c r="C115">
        <f t="shared" si="5"/>
        <v>16000000000</v>
      </c>
      <c r="D115" s="7">
        <v>0.4</v>
      </c>
    </row>
    <row r="116" spans="1:4" x14ac:dyDescent="0.25">
      <c r="A116">
        <v>2029</v>
      </c>
      <c r="B116" t="s">
        <v>47</v>
      </c>
      <c r="C116">
        <f t="shared" si="5"/>
        <v>16000000000</v>
      </c>
      <c r="D116" s="7">
        <v>0.4</v>
      </c>
    </row>
    <row r="117" spans="1:4" x14ac:dyDescent="0.25">
      <c r="A117">
        <v>2030</v>
      </c>
      <c r="B117" t="s">
        <v>47</v>
      </c>
      <c r="C117">
        <f t="shared" si="5"/>
        <v>16000000000</v>
      </c>
      <c r="D117" s="7">
        <v>0.4</v>
      </c>
    </row>
    <row r="118" spans="1:4" x14ac:dyDescent="0.25">
      <c r="A118">
        <v>2031</v>
      </c>
      <c r="B118" t="s">
        <v>47</v>
      </c>
      <c r="C118">
        <f t="shared" si="5"/>
        <v>16000000000</v>
      </c>
      <c r="D118" s="7">
        <v>0.4</v>
      </c>
    </row>
    <row r="119" spans="1:4" x14ac:dyDescent="0.25">
      <c r="A119">
        <v>2032</v>
      </c>
      <c r="B119" t="s">
        <v>47</v>
      </c>
      <c r="C119">
        <f t="shared" si="5"/>
        <v>16000000000</v>
      </c>
      <c r="D119" s="7">
        <v>0.4</v>
      </c>
    </row>
    <row r="120" spans="1:4" x14ac:dyDescent="0.25">
      <c r="A120">
        <v>2033</v>
      </c>
      <c r="B120" t="s">
        <v>47</v>
      </c>
      <c r="C120">
        <f t="shared" si="5"/>
        <v>16000000000</v>
      </c>
      <c r="D120" s="7">
        <v>0.4</v>
      </c>
    </row>
    <row r="121" spans="1:4" x14ac:dyDescent="0.25">
      <c r="A121">
        <v>2034</v>
      </c>
      <c r="B121" t="s">
        <v>47</v>
      </c>
      <c r="C121">
        <f t="shared" si="5"/>
        <v>16000000000</v>
      </c>
      <c r="D121" s="7">
        <v>0.4</v>
      </c>
    </row>
    <row r="122" spans="1:4" x14ac:dyDescent="0.25">
      <c r="A122">
        <v>2035</v>
      </c>
      <c r="B122" t="s">
        <v>47</v>
      </c>
      <c r="C122">
        <f t="shared" si="5"/>
        <v>16000000000</v>
      </c>
      <c r="D122" s="7">
        <v>0.4</v>
      </c>
    </row>
    <row r="123" spans="1:4" x14ac:dyDescent="0.25">
      <c r="A123">
        <v>2036</v>
      </c>
      <c r="B123" t="s">
        <v>47</v>
      </c>
      <c r="C123">
        <f t="shared" si="5"/>
        <v>16000000000</v>
      </c>
      <c r="D123" s="7">
        <v>0.4</v>
      </c>
    </row>
    <row r="124" spans="1:4" x14ac:dyDescent="0.25">
      <c r="A124">
        <v>2037</v>
      </c>
      <c r="B124" t="s">
        <v>47</v>
      </c>
      <c r="C124">
        <f t="shared" si="5"/>
        <v>16000000000</v>
      </c>
      <c r="D124" s="7">
        <v>0.4</v>
      </c>
    </row>
    <row r="125" spans="1:4" x14ac:dyDescent="0.25">
      <c r="A125">
        <v>2038</v>
      </c>
      <c r="B125" t="s">
        <v>47</v>
      </c>
      <c r="C125">
        <f t="shared" si="5"/>
        <v>16000000000</v>
      </c>
      <c r="D125" s="7">
        <v>0.4</v>
      </c>
    </row>
    <row r="126" spans="1:4" x14ac:dyDescent="0.25">
      <c r="A126">
        <v>2039</v>
      </c>
      <c r="B126" t="s">
        <v>47</v>
      </c>
      <c r="C126">
        <f t="shared" si="5"/>
        <v>16000000000</v>
      </c>
      <c r="D126" s="7">
        <v>0.4</v>
      </c>
    </row>
    <row r="127" spans="1:4" x14ac:dyDescent="0.25">
      <c r="A127">
        <v>2040</v>
      </c>
      <c r="B127" t="s">
        <v>47</v>
      </c>
      <c r="C127">
        <f t="shared" si="5"/>
        <v>16000000000</v>
      </c>
      <c r="D127" s="7">
        <v>0.4</v>
      </c>
    </row>
    <row r="128" spans="1:4" x14ac:dyDescent="0.25">
      <c r="A128">
        <v>2041</v>
      </c>
      <c r="B128" t="s">
        <v>47</v>
      </c>
      <c r="C128">
        <f t="shared" si="5"/>
        <v>16000000000</v>
      </c>
      <c r="D128" s="7" t="s">
        <v>71</v>
      </c>
    </row>
    <row r="129" spans="1:11" x14ac:dyDescent="0.25">
      <c r="A129">
        <v>2042</v>
      </c>
      <c r="B129" t="s">
        <v>47</v>
      </c>
      <c r="C129">
        <f t="shared" si="5"/>
        <v>16000000000</v>
      </c>
      <c r="D129" s="7" t="s">
        <v>71</v>
      </c>
    </row>
    <row r="130" spans="1:11" x14ac:dyDescent="0.25">
      <c r="A130">
        <v>2043</v>
      </c>
      <c r="B130" t="s">
        <v>47</v>
      </c>
      <c r="C130">
        <f t="shared" si="5"/>
        <v>16000000000</v>
      </c>
      <c r="D130" s="7" t="s">
        <v>71</v>
      </c>
    </row>
    <row r="131" spans="1:11" x14ac:dyDescent="0.25">
      <c r="A131">
        <v>2044</v>
      </c>
      <c r="B131" t="s">
        <v>47</v>
      </c>
      <c r="C131">
        <f t="shared" si="5"/>
        <v>16000000000</v>
      </c>
      <c r="D131" s="7" t="s">
        <v>71</v>
      </c>
    </row>
    <row r="132" spans="1:11" x14ac:dyDescent="0.25">
      <c r="A132">
        <v>2045</v>
      </c>
      <c r="B132" t="s">
        <v>47</v>
      </c>
      <c r="C132">
        <f t="shared" si="5"/>
        <v>16000000000</v>
      </c>
      <c r="D132" s="7" t="s">
        <v>71</v>
      </c>
    </row>
    <row r="133" spans="1:11" x14ac:dyDescent="0.25">
      <c r="A133">
        <v>2034</v>
      </c>
      <c r="B133" t="s">
        <v>137</v>
      </c>
      <c r="C133" t="s">
        <v>71</v>
      </c>
      <c r="D133" s="7" t="s">
        <v>71</v>
      </c>
    </row>
    <row r="134" spans="1:11" x14ac:dyDescent="0.25">
      <c r="A134">
        <v>2022</v>
      </c>
      <c r="B134" t="s">
        <v>51</v>
      </c>
      <c r="C134" s="29">
        <f>8330000*126.37</f>
        <v>1052662100</v>
      </c>
      <c r="D134" s="34" t="s">
        <v>71</v>
      </c>
    </row>
    <row r="135" spans="1:11" x14ac:dyDescent="0.25">
      <c r="A135">
        <v>2025</v>
      </c>
      <c r="B135" t="s">
        <v>39</v>
      </c>
      <c r="C135" t="s">
        <v>71</v>
      </c>
      <c r="D135" t="s">
        <v>71</v>
      </c>
    </row>
    <row r="136" spans="1:11" x14ac:dyDescent="0.25">
      <c r="A136">
        <v>2030</v>
      </c>
      <c r="B136" t="s">
        <v>128</v>
      </c>
      <c r="C136">
        <v>7061447325</v>
      </c>
      <c r="D136" s="7" t="s">
        <v>71</v>
      </c>
      <c r="E136" s="29" t="s">
        <v>213</v>
      </c>
      <c r="H136" t="s">
        <v>214</v>
      </c>
      <c r="I136" t="s">
        <v>215</v>
      </c>
      <c r="K136" t="s">
        <v>219</v>
      </c>
    </row>
    <row r="137" spans="1:11" x14ac:dyDescent="0.25">
      <c r="A137">
        <v>2031</v>
      </c>
      <c r="B137" t="s">
        <v>128</v>
      </c>
      <c r="C137">
        <v>7061447325</v>
      </c>
      <c r="D137" s="7" t="s">
        <v>71</v>
      </c>
      <c r="G137" t="s">
        <v>168</v>
      </c>
      <c r="H137">
        <v>2801212</v>
      </c>
      <c r="I137">
        <f>'[1]Fuel Production'!G6</f>
        <v>1055</v>
      </c>
      <c r="J137">
        <f>H137*I137</f>
        <v>2955278660</v>
      </c>
    </row>
    <row r="138" spans="1:11" x14ac:dyDescent="0.25">
      <c r="A138">
        <v>2032</v>
      </c>
      <c r="B138" t="s">
        <v>128</v>
      </c>
      <c r="C138">
        <v>7061447325</v>
      </c>
      <c r="D138" s="7" t="s">
        <v>71</v>
      </c>
      <c r="G138" t="s">
        <v>169</v>
      </c>
      <c r="H138" s="4">
        <v>2335645</v>
      </c>
      <c r="I138">
        <f>'[1]Fuel Production'!G6</f>
        <v>1055</v>
      </c>
      <c r="J138" s="4">
        <f>H138*I138</f>
        <v>2464105475</v>
      </c>
    </row>
    <row r="139" spans="1:11" x14ac:dyDescent="0.25">
      <c r="A139">
        <v>2033</v>
      </c>
      <c r="B139" t="s">
        <v>128</v>
      </c>
      <c r="C139">
        <v>7061447325</v>
      </c>
      <c r="D139" s="7" t="s">
        <v>71</v>
      </c>
      <c r="F139" t="s">
        <v>216</v>
      </c>
      <c r="G139" t="s">
        <v>217</v>
      </c>
      <c r="H139">
        <v>0</v>
      </c>
      <c r="I139">
        <f>'[1]Fuel Production'!G20</f>
        <v>865.1</v>
      </c>
      <c r="J139">
        <f>H139*I139</f>
        <v>0</v>
      </c>
    </row>
    <row r="140" spans="1:11" x14ac:dyDescent="0.25">
      <c r="A140">
        <v>2034</v>
      </c>
      <c r="B140" t="s">
        <v>128</v>
      </c>
      <c r="C140">
        <v>7061447325</v>
      </c>
      <c r="D140" s="7" t="s">
        <v>71</v>
      </c>
      <c r="F140" t="s">
        <v>216</v>
      </c>
      <c r="G140" t="s">
        <v>218</v>
      </c>
      <c r="H140">
        <v>1556457</v>
      </c>
      <c r="I140">
        <f>'[1]Fuel Production'!G20</f>
        <v>865.1</v>
      </c>
      <c r="J140">
        <f>H140*I140</f>
        <v>1346490950.7</v>
      </c>
    </row>
    <row r="141" spans="1:11" x14ac:dyDescent="0.25">
      <c r="A141">
        <v>2035</v>
      </c>
      <c r="B141" t="s">
        <v>128</v>
      </c>
      <c r="C141">
        <v>7061447325</v>
      </c>
      <c r="D141" s="7" t="s">
        <v>71</v>
      </c>
      <c r="J141">
        <f>SUM(J137:J140)</f>
        <v>6765875085.6999998</v>
      </c>
      <c r="K141">
        <f>J141/134.47</f>
        <v>50315126.68773704</v>
      </c>
    </row>
    <row r="142" spans="1:11" x14ac:dyDescent="0.25">
      <c r="A142">
        <v>2036</v>
      </c>
      <c r="B142" t="s">
        <v>128</v>
      </c>
      <c r="C142">
        <v>7061447325</v>
      </c>
      <c r="D142" s="7" t="s">
        <v>71</v>
      </c>
    </row>
    <row r="143" spans="1:11" x14ac:dyDescent="0.25">
      <c r="A143">
        <v>2037</v>
      </c>
      <c r="B143" t="s">
        <v>128</v>
      </c>
      <c r="C143">
        <v>7061447325</v>
      </c>
      <c r="D143" s="7" t="s">
        <v>71</v>
      </c>
      <c r="G143" t="s">
        <v>221</v>
      </c>
      <c r="H143" t="s">
        <v>220</v>
      </c>
      <c r="I143" t="s">
        <v>148</v>
      </c>
    </row>
    <row r="144" spans="1:11" x14ac:dyDescent="0.25">
      <c r="A144">
        <v>2038</v>
      </c>
      <c r="B144" t="s">
        <v>128</v>
      </c>
      <c r="C144">
        <v>7061447325</v>
      </c>
      <c r="D144" s="7" t="s">
        <v>71</v>
      </c>
      <c r="G144">
        <v>52.513180077340671</v>
      </c>
      <c r="H144">
        <v>134.47</v>
      </c>
      <c r="I144">
        <f>H144*G144*1000000</f>
        <v>7061447325</v>
      </c>
    </row>
    <row r="145" spans="1:9" x14ac:dyDescent="0.25">
      <c r="A145">
        <v>2039</v>
      </c>
      <c r="B145" t="s">
        <v>128</v>
      </c>
      <c r="C145">
        <v>7061447325</v>
      </c>
      <c r="D145" s="7" t="s">
        <v>71</v>
      </c>
    </row>
    <row r="146" spans="1:9" x14ac:dyDescent="0.25">
      <c r="A146">
        <v>2040</v>
      </c>
      <c r="B146" t="s">
        <v>128</v>
      </c>
      <c r="C146" t="s">
        <v>71</v>
      </c>
      <c r="D146" s="7" t="s">
        <v>71</v>
      </c>
      <c r="E146" t="s">
        <v>199</v>
      </c>
    </row>
    <row r="147" spans="1:9" x14ac:dyDescent="0.25">
      <c r="A147">
        <v>2040</v>
      </c>
      <c r="B147" t="s">
        <v>124</v>
      </c>
      <c r="C147" t="s">
        <v>71</v>
      </c>
      <c r="D147" s="7" t="s">
        <v>71</v>
      </c>
      <c r="E147" t="s">
        <v>199</v>
      </c>
    </row>
    <row r="148" spans="1:9" x14ac:dyDescent="0.25">
      <c r="A148">
        <v>2040</v>
      </c>
      <c r="B148" t="s">
        <v>89</v>
      </c>
      <c r="C148" t="s">
        <v>71</v>
      </c>
      <c r="D148" s="7" t="s">
        <v>71</v>
      </c>
      <c r="E148" t="s">
        <v>199</v>
      </c>
    </row>
    <row r="149" spans="1:9" x14ac:dyDescent="0.25">
      <c r="A149" s="29">
        <v>2025</v>
      </c>
      <c r="B149" t="s">
        <v>132</v>
      </c>
      <c r="C149" s="4">
        <v>15867460000</v>
      </c>
      <c r="D149" s="7" t="s">
        <v>71</v>
      </c>
      <c r="E149" s="44" t="s">
        <v>209</v>
      </c>
      <c r="F149" s="44" t="s">
        <v>210</v>
      </c>
      <c r="G149" s="44" t="s">
        <v>148</v>
      </c>
    </row>
    <row r="150" spans="1:9" x14ac:dyDescent="0.25">
      <c r="A150" s="29">
        <v>2026</v>
      </c>
      <c r="B150" t="s">
        <v>132</v>
      </c>
      <c r="C150" s="4">
        <v>15867460000</v>
      </c>
      <c r="D150" s="7" t="s">
        <v>71</v>
      </c>
      <c r="E150" s="44">
        <v>118</v>
      </c>
      <c r="F150" s="44">
        <f>1/134.47/1000000</f>
        <v>7.436602959767978E-9</v>
      </c>
      <c r="G150" s="44">
        <f>E150/F150</f>
        <v>15867460000</v>
      </c>
    </row>
    <row r="151" spans="1:9" x14ac:dyDescent="0.25">
      <c r="A151" s="29">
        <v>2027</v>
      </c>
      <c r="B151" t="s">
        <v>132</v>
      </c>
      <c r="C151" s="4">
        <f>0.4*C150</f>
        <v>6346984000</v>
      </c>
      <c r="D151" s="7" t="s">
        <v>71</v>
      </c>
      <c r="E151" t="s">
        <v>212</v>
      </c>
      <c r="I151" s="40" t="s">
        <v>200</v>
      </c>
    </row>
    <row r="152" spans="1:9" x14ac:dyDescent="0.25">
      <c r="A152" s="29">
        <v>2028</v>
      </c>
      <c r="B152" t="s">
        <v>132</v>
      </c>
      <c r="C152" s="4">
        <f>0.4*C150</f>
        <v>6346984000</v>
      </c>
      <c r="D152" s="7">
        <v>0.4</v>
      </c>
      <c r="E152" t="s">
        <v>212</v>
      </c>
      <c r="I152" s="40" t="s">
        <v>200</v>
      </c>
    </row>
    <row r="153" spans="1:9" x14ac:dyDescent="0.25">
      <c r="A153" s="29">
        <v>2029</v>
      </c>
      <c r="B153" t="s">
        <v>132</v>
      </c>
      <c r="C153" s="4">
        <f>0.4*C150</f>
        <v>6346984000</v>
      </c>
      <c r="D153" s="7">
        <v>0.4</v>
      </c>
      <c r="E153" t="s">
        <v>212</v>
      </c>
      <c r="I153" s="40" t="s">
        <v>200</v>
      </c>
    </row>
    <row r="154" spans="1:9" x14ac:dyDescent="0.25">
      <c r="A154">
        <v>2030</v>
      </c>
      <c r="B154" t="s">
        <v>132</v>
      </c>
      <c r="C154">
        <v>1</v>
      </c>
      <c r="D154" s="7" t="s">
        <v>71</v>
      </c>
    </row>
    <row r="155" spans="1:9" x14ac:dyDescent="0.25">
      <c r="A155">
        <v>2031</v>
      </c>
      <c r="B155" t="s">
        <v>132</v>
      </c>
      <c r="C155">
        <v>1</v>
      </c>
      <c r="D155" s="7" t="s">
        <v>71</v>
      </c>
    </row>
    <row r="156" spans="1:9" x14ac:dyDescent="0.25">
      <c r="A156">
        <v>2032</v>
      </c>
      <c r="B156" t="s">
        <v>132</v>
      </c>
      <c r="C156">
        <v>1</v>
      </c>
      <c r="D156" s="7" t="s">
        <v>71</v>
      </c>
    </row>
    <row r="157" spans="1:9" x14ac:dyDescent="0.25">
      <c r="A157">
        <v>2033</v>
      </c>
      <c r="B157" t="s">
        <v>132</v>
      </c>
      <c r="C157">
        <v>1</v>
      </c>
      <c r="D157" s="7" t="s">
        <v>71</v>
      </c>
    </row>
    <row r="158" spans="1:9" x14ac:dyDescent="0.25">
      <c r="A158">
        <v>2034</v>
      </c>
      <c r="B158" t="s">
        <v>132</v>
      </c>
      <c r="C158">
        <v>1</v>
      </c>
      <c r="D158" s="7" t="s">
        <v>71</v>
      </c>
    </row>
    <row r="159" spans="1:9" x14ac:dyDescent="0.25">
      <c r="A159">
        <v>2035</v>
      </c>
      <c r="B159" t="s">
        <v>132</v>
      </c>
      <c r="C159">
        <v>1</v>
      </c>
      <c r="D159" s="7" t="s">
        <v>71</v>
      </c>
    </row>
    <row r="160" spans="1:9" x14ac:dyDescent="0.25">
      <c r="A160">
        <v>2036</v>
      </c>
      <c r="B160" t="s">
        <v>132</v>
      </c>
      <c r="C160">
        <v>1</v>
      </c>
      <c r="D160" s="7" t="s">
        <v>71</v>
      </c>
    </row>
    <row r="161" spans="1:4" x14ac:dyDescent="0.25">
      <c r="A161">
        <v>2037</v>
      </c>
      <c r="B161" t="s">
        <v>132</v>
      </c>
      <c r="C161">
        <v>1</v>
      </c>
      <c r="D161" s="7" t="s">
        <v>71</v>
      </c>
    </row>
    <row r="162" spans="1:4" x14ac:dyDescent="0.25">
      <c r="A162">
        <v>2038</v>
      </c>
      <c r="B162" t="s">
        <v>132</v>
      </c>
      <c r="C162">
        <v>1</v>
      </c>
      <c r="D162" s="7" t="s">
        <v>71</v>
      </c>
    </row>
    <row r="163" spans="1:4" x14ac:dyDescent="0.25">
      <c r="A163">
        <v>2039</v>
      </c>
      <c r="B163" t="s">
        <v>132</v>
      </c>
      <c r="C163">
        <v>1</v>
      </c>
      <c r="D163" s="7" t="s">
        <v>71</v>
      </c>
    </row>
    <row r="164" spans="1:4" x14ac:dyDescent="0.25">
      <c r="A164">
        <v>2040</v>
      </c>
      <c r="B164" t="s">
        <v>132</v>
      </c>
      <c r="C164">
        <v>1</v>
      </c>
      <c r="D164" s="7" t="s">
        <v>71</v>
      </c>
    </row>
    <row r="165" spans="1:4" x14ac:dyDescent="0.25">
      <c r="A165">
        <v>2041</v>
      </c>
      <c r="B165" t="s">
        <v>132</v>
      </c>
      <c r="C165">
        <v>1</v>
      </c>
      <c r="D165" s="7" t="s">
        <v>71</v>
      </c>
    </row>
    <row r="166" spans="1:4" x14ac:dyDescent="0.25">
      <c r="A166">
        <v>2042</v>
      </c>
      <c r="B166" t="s">
        <v>132</v>
      </c>
      <c r="C166">
        <v>1</v>
      </c>
      <c r="D166" s="7" t="s">
        <v>71</v>
      </c>
    </row>
    <row r="167" spans="1:4" x14ac:dyDescent="0.25">
      <c r="A167">
        <v>2043</v>
      </c>
      <c r="B167" t="s">
        <v>132</v>
      </c>
      <c r="C167">
        <v>1</v>
      </c>
      <c r="D167" s="7" t="s">
        <v>71</v>
      </c>
    </row>
    <row r="168" spans="1:4" x14ac:dyDescent="0.25">
      <c r="A168">
        <v>2044</v>
      </c>
      <c r="B168" t="s">
        <v>132</v>
      </c>
      <c r="C168">
        <v>1</v>
      </c>
      <c r="D168" s="7" t="s">
        <v>71</v>
      </c>
    </row>
    <row r="169" spans="1:4" x14ac:dyDescent="0.25">
      <c r="A169">
        <v>2045</v>
      </c>
      <c r="B169" t="s">
        <v>132</v>
      </c>
      <c r="C169">
        <v>1</v>
      </c>
      <c r="D169" s="7" t="s">
        <v>71</v>
      </c>
    </row>
    <row r="170" spans="1:4" x14ac:dyDescent="0.25">
      <c r="A170">
        <v>2046</v>
      </c>
      <c r="B170" t="s">
        <v>132</v>
      </c>
      <c r="C170">
        <v>1</v>
      </c>
      <c r="D170" s="7" t="s">
        <v>71</v>
      </c>
    </row>
    <row r="171" spans="1:4" x14ac:dyDescent="0.25">
      <c r="A171">
        <v>2022</v>
      </c>
      <c r="B171" t="s">
        <v>29</v>
      </c>
      <c r="C171" t="s">
        <v>71</v>
      </c>
      <c r="D171" s="7" t="s">
        <v>71</v>
      </c>
    </row>
    <row r="172" spans="1:4" x14ac:dyDescent="0.25">
      <c r="A172">
        <v>2023</v>
      </c>
      <c r="B172" t="s">
        <v>29</v>
      </c>
      <c r="C172" t="s">
        <v>71</v>
      </c>
      <c r="D172" s="7" t="s">
        <v>71</v>
      </c>
    </row>
    <row r="173" spans="1:4" x14ac:dyDescent="0.25">
      <c r="A173">
        <v>2024</v>
      </c>
      <c r="B173" t="s">
        <v>29</v>
      </c>
      <c r="C173" t="s">
        <v>71</v>
      </c>
      <c r="D173" s="7" t="s">
        <v>71</v>
      </c>
    </row>
    <row r="174" spans="1:4" x14ac:dyDescent="0.25">
      <c r="A174">
        <v>2025</v>
      </c>
      <c r="B174" t="s">
        <v>29</v>
      </c>
      <c r="C174" t="s">
        <v>71</v>
      </c>
      <c r="D174" s="7" t="s">
        <v>71</v>
      </c>
    </row>
    <row r="175" spans="1:4" x14ac:dyDescent="0.25">
      <c r="A175">
        <v>2026</v>
      </c>
      <c r="B175" t="s">
        <v>29</v>
      </c>
      <c r="C175" t="s">
        <v>71</v>
      </c>
      <c r="D175" s="7" t="s">
        <v>71</v>
      </c>
    </row>
    <row r="176" spans="1:4" x14ac:dyDescent="0.25">
      <c r="A176">
        <v>2027</v>
      </c>
      <c r="B176" t="s">
        <v>29</v>
      </c>
      <c r="C176" t="s">
        <v>71</v>
      </c>
      <c r="D176" s="7" t="s">
        <v>71</v>
      </c>
    </row>
    <row r="177" spans="1:4" x14ac:dyDescent="0.25">
      <c r="A177">
        <v>2028</v>
      </c>
      <c r="B177" t="s">
        <v>29</v>
      </c>
      <c r="C177" t="s">
        <v>71</v>
      </c>
      <c r="D177" s="7" t="s">
        <v>71</v>
      </c>
    </row>
    <row r="178" spans="1:4" x14ac:dyDescent="0.25">
      <c r="A178">
        <v>2029</v>
      </c>
      <c r="B178" t="s">
        <v>29</v>
      </c>
      <c r="C178" t="s">
        <v>71</v>
      </c>
      <c r="D178" s="7" t="s">
        <v>71</v>
      </c>
    </row>
    <row r="179" spans="1:4" x14ac:dyDescent="0.25">
      <c r="A179">
        <v>2030</v>
      </c>
      <c r="B179" t="s">
        <v>29</v>
      </c>
      <c r="C179" t="s">
        <v>71</v>
      </c>
      <c r="D179" s="7" t="s">
        <v>71</v>
      </c>
    </row>
    <row r="180" spans="1:4" x14ac:dyDescent="0.25">
      <c r="A180">
        <v>2031</v>
      </c>
      <c r="B180" t="s">
        <v>29</v>
      </c>
      <c r="C180" t="s">
        <v>71</v>
      </c>
      <c r="D180" s="7" t="s">
        <v>71</v>
      </c>
    </row>
    <row r="181" spans="1:4" x14ac:dyDescent="0.25">
      <c r="A181">
        <v>2032</v>
      </c>
      <c r="B181" t="s">
        <v>29</v>
      </c>
      <c r="C181" t="s">
        <v>71</v>
      </c>
      <c r="D181" s="7" t="s">
        <v>71</v>
      </c>
    </row>
    <row r="182" spans="1:4" x14ac:dyDescent="0.25">
      <c r="A182">
        <v>2033</v>
      </c>
      <c r="B182" t="s">
        <v>29</v>
      </c>
      <c r="C182" t="s">
        <v>71</v>
      </c>
      <c r="D182" s="7" t="s">
        <v>71</v>
      </c>
    </row>
    <row r="183" spans="1:4" x14ac:dyDescent="0.25">
      <c r="A183">
        <v>2034</v>
      </c>
      <c r="B183" t="s">
        <v>29</v>
      </c>
      <c r="C183" t="s">
        <v>71</v>
      </c>
      <c r="D183" s="7" t="s">
        <v>71</v>
      </c>
    </row>
    <row r="184" spans="1:4" x14ac:dyDescent="0.25">
      <c r="A184">
        <v>2035</v>
      </c>
      <c r="B184" t="s">
        <v>29</v>
      </c>
      <c r="C184" t="s">
        <v>71</v>
      </c>
      <c r="D184" s="7" t="s">
        <v>71</v>
      </c>
    </row>
    <row r="185" spans="1:4" x14ac:dyDescent="0.25">
      <c r="A185">
        <v>2036</v>
      </c>
      <c r="B185" t="s">
        <v>29</v>
      </c>
      <c r="C185" t="s">
        <v>71</v>
      </c>
      <c r="D185" s="7" t="s">
        <v>71</v>
      </c>
    </row>
    <row r="186" spans="1:4" x14ac:dyDescent="0.25">
      <c r="A186">
        <v>2037</v>
      </c>
      <c r="B186" t="s">
        <v>29</v>
      </c>
      <c r="C186" t="s">
        <v>71</v>
      </c>
      <c r="D186" s="7" t="s">
        <v>71</v>
      </c>
    </row>
    <row r="187" spans="1:4" x14ac:dyDescent="0.25">
      <c r="A187">
        <v>2038</v>
      </c>
      <c r="B187" t="s">
        <v>29</v>
      </c>
      <c r="C187" t="s">
        <v>71</v>
      </c>
      <c r="D187" s="7" t="s">
        <v>71</v>
      </c>
    </row>
    <row r="188" spans="1:4" x14ac:dyDescent="0.25">
      <c r="A188">
        <v>2039</v>
      </c>
      <c r="B188" t="s">
        <v>29</v>
      </c>
      <c r="C188" t="s">
        <v>71</v>
      </c>
      <c r="D188" s="7" t="s">
        <v>71</v>
      </c>
    </row>
    <row r="189" spans="1:4" x14ac:dyDescent="0.25">
      <c r="A189">
        <v>2040</v>
      </c>
      <c r="B189" t="s">
        <v>29</v>
      </c>
      <c r="C189" t="s">
        <v>71</v>
      </c>
      <c r="D189" s="7" t="s">
        <v>71</v>
      </c>
    </row>
    <row r="190" spans="1:4" x14ac:dyDescent="0.25">
      <c r="A190">
        <v>2041</v>
      </c>
      <c r="B190" t="s">
        <v>29</v>
      </c>
      <c r="C190" t="s">
        <v>71</v>
      </c>
      <c r="D190" s="7" t="s">
        <v>71</v>
      </c>
    </row>
    <row r="191" spans="1:4" x14ac:dyDescent="0.25">
      <c r="A191">
        <v>2042</v>
      </c>
      <c r="B191" t="s">
        <v>29</v>
      </c>
      <c r="C191" t="s">
        <v>71</v>
      </c>
      <c r="D191" s="7" t="s">
        <v>71</v>
      </c>
    </row>
    <row r="192" spans="1:4" x14ac:dyDescent="0.25">
      <c r="A192">
        <v>2043</v>
      </c>
      <c r="B192" t="s">
        <v>29</v>
      </c>
      <c r="C192" t="s">
        <v>71</v>
      </c>
      <c r="D192" s="7" t="s">
        <v>71</v>
      </c>
    </row>
    <row r="193" spans="1:4" x14ac:dyDescent="0.25">
      <c r="A193">
        <v>2044</v>
      </c>
      <c r="B193" t="s">
        <v>29</v>
      </c>
      <c r="C193" t="s">
        <v>71</v>
      </c>
      <c r="D193" s="7" t="s">
        <v>71</v>
      </c>
    </row>
    <row r="194" spans="1:4" x14ac:dyDescent="0.25">
      <c r="A194">
        <v>2045</v>
      </c>
      <c r="B194" t="s">
        <v>29</v>
      </c>
      <c r="C194" t="s">
        <v>71</v>
      </c>
      <c r="D194" s="7" t="s">
        <v>71</v>
      </c>
    </row>
    <row r="195" spans="1:4" x14ac:dyDescent="0.25">
      <c r="A195">
        <v>2046</v>
      </c>
      <c r="B195" t="s">
        <v>29</v>
      </c>
      <c r="C195" t="s">
        <v>71</v>
      </c>
      <c r="D195" s="7" t="s">
        <v>71</v>
      </c>
    </row>
    <row r="196" spans="1:4" x14ac:dyDescent="0.25">
      <c r="A196">
        <v>2040</v>
      </c>
      <c r="B196" t="s">
        <v>198</v>
      </c>
      <c r="C196" t="s">
        <v>71</v>
      </c>
      <c r="D196" s="7" t="s">
        <v>71</v>
      </c>
    </row>
    <row r="197" spans="1:4" x14ac:dyDescent="0.25">
      <c r="A197">
        <v>2040</v>
      </c>
      <c r="B197" t="s">
        <v>197</v>
      </c>
      <c r="C197" t="s">
        <v>71</v>
      </c>
      <c r="D197" s="7" t="s">
        <v>71</v>
      </c>
    </row>
    <row r="198" spans="1:4" x14ac:dyDescent="0.25">
      <c r="D198" s="7"/>
    </row>
    <row r="199" spans="1:4" x14ac:dyDescent="0.25">
      <c r="D199" s="7"/>
    </row>
    <row r="200" spans="1:4" x14ac:dyDescent="0.25">
      <c r="D200" s="7"/>
    </row>
    <row r="201" spans="1:4" x14ac:dyDescent="0.25">
      <c r="D201" s="7"/>
    </row>
    <row r="202" spans="1:4" x14ac:dyDescent="0.25">
      <c r="D202" s="7"/>
    </row>
    <row r="203" spans="1:4" x14ac:dyDescent="0.25">
      <c r="D203" s="7"/>
    </row>
    <row r="204" spans="1:4" x14ac:dyDescent="0.25">
      <c r="D204" s="7"/>
    </row>
    <row r="205" spans="1:4" x14ac:dyDescent="0.25">
      <c r="D205" s="7"/>
    </row>
    <row r="206" spans="1:4" x14ac:dyDescent="0.25">
      <c r="D206" s="7"/>
    </row>
    <row r="207" spans="1:4" x14ac:dyDescent="0.25">
      <c r="D207" s="7"/>
    </row>
    <row r="208" spans="1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  <row r="241" spans="4:4" x14ac:dyDescent="0.25">
      <c r="D241" s="7"/>
    </row>
    <row r="242" spans="4:4" x14ac:dyDescent="0.25">
      <c r="D242" s="7"/>
    </row>
    <row r="243" spans="4:4" x14ac:dyDescent="0.25">
      <c r="D243" s="7"/>
    </row>
    <row r="244" spans="4:4" x14ac:dyDescent="0.25">
      <c r="D244" s="7"/>
    </row>
    <row r="245" spans="4:4" x14ac:dyDescent="0.25">
      <c r="D245" s="7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U14"/>
  <sheetViews>
    <sheetView workbookViewId="0">
      <selection activeCell="L1" sqref="L1"/>
    </sheetView>
  </sheetViews>
  <sheetFormatPr defaultRowHeight="15" x14ac:dyDescent="0.25"/>
  <cols>
    <col min="1" max="1" width="14" bestFit="1" customWidth="1"/>
    <col min="2" max="2" width="14" customWidth="1"/>
    <col min="3" max="3" width="18.7109375" bestFit="1" customWidth="1"/>
    <col min="4" max="8" width="18.7109375" customWidth="1"/>
    <col min="9" max="9" width="9.5703125" bestFit="1" customWidth="1"/>
    <col min="10" max="11" width="9.28515625" bestFit="1" customWidth="1"/>
    <col min="12" max="12" width="9.28515625" customWidth="1"/>
  </cols>
  <sheetData>
    <row r="1" spans="1:73" x14ac:dyDescent="0.25">
      <c r="A1" s="1" t="s">
        <v>5</v>
      </c>
      <c r="B1" s="1" t="s">
        <v>20</v>
      </c>
      <c r="C1" s="1">
        <v>0</v>
      </c>
      <c r="D1" s="1">
        <v>6</v>
      </c>
      <c r="E1" s="1">
        <v>7</v>
      </c>
      <c r="F1" s="1">
        <v>10</v>
      </c>
      <c r="G1" s="1">
        <v>18</v>
      </c>
      <c r="H1" s="1">
        <v>20</v>
      </c>
      <c r="I1" s="1">
        <v>30</v>
      </c>
      <c r="J1" s="1">
        <v>40</v>
      </c>
      <c r="K1" s="1">
        <v>50</v>
      </c>
      <c r="L1" s="1">
        <v>75</v>
      </c>
      <c r="M1" s="1">
        <v>80</v>
      </c>
      <c r="N1" s="1">
        <v>90</v>
      </c>
      <c r="O1" s="1">
        <v>100</v>
      </c>
      <c r="P1" s="1">
        <v>125</v>
      </c>
      <c r="Q1" s="1">
        <v>150</v>
      </c>
      <c r="R1" s="1">
        <v>175</v>
      </c>
      <c r="S1" s="1">
        <v>200</v>
      </c>
      <c r="T1" s="1">
        <v>225</v>
      </c>
      <c r="U1" s="1">
        <v>250</v>
      </c>
      <c r="V1" s="1">
        <v>275</v>
      </c>
      <c r="W1" s="1">
        <v>300</v>
      </c>
      <c r="X1" s="1">
        <v>325</v>
      </c>
      <c r="Y1" s="1">
        <v>350</v>
      </c>
      <c r="Z1" s="1">
        <v>375</v>
      </c>
      <c r="AA1" s="1">
        <v>400</v>
      </c>
      <c r="AB1" s="1">
        <v>425</v>
      </c>
      <c r="AC1" s="1">
        <v>450</v>
      </c>
      <c r="AD1" s="1">
        <v>475</v>
      </c>
      <c r="AE1" s="1">
        <v>600</v>
      </c>
      <c r="AF1" s="1">
        <f>AE1+200</f>
        <v>800</v>
      </c>
      <c r="AG1" s="1">
        <f t="shared" ref="AG1:AL1" si="0">AF1+200</f>
        <v>1000</v>
      </c>
      <c r="AH1" s="1">
        <f t="shared" si="0"/>
        <v>1200</v>
      </c>
      <c r="AI1" s="1">
        <f t="shared" si="0"/>
        <v>1400</v>
      </c>
      <c r="AJ1" s="1">
        <f t="shared" si="0"/>
        <v>1600</v>
      </c>
      <c r="AK1" s="1">
        <f t="shared" si="0"/>
        <v>1800</v>
      </c>
      <c r="AL1" s="1">
        <f t="shared" si="0"/>
        <v>2000</v>
      </c>
      <c r="AM1" s="1">
        <v>2200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25">
      <c r="A2" t="s">
        <v>37</v>
      </c>
      <c r="B2" t="s">
        <v>35</v>
      </c>
      <c r="AE2">
        <v>1408058</v>
      </c>
      <c r="AF2">
        <v>361325</v>
      </c>
      <c r="AG2">
        <v>361325</v>
      </c>
      <c r="AH2">
        <v>361325</v>
      </c>
      <c r="AI2">
        <v>361325</v>
      </c>
      <c r="AJ2">
        <v>361325</v>
      </c>
      <c r="AK2">
        <v>361325</v>
      </c>
      <c r="AL2">
        <f>AK2</f>
        <v>361325</v>
      </c>
    </row>
    <row r="3" spans="1:73" x14ac:dyDescent="0.25">
      <c r="A3" t="s">
        <v>33</v>
      </c>
      <c r="B3" t="s">
        <v>35</v>
      </c>
      <c r="AE3" s="9">
        <v>4524952</v>
      </c>
      <c r="AF3" s="9">
        <v>309035</v>
      </c>
      <c r="AG3">
        <v>309035</v>
      </c>
      <c r="AH3">
        <v>309035</v>
      </c>
      <c r="AI3">
        <v>309035</v>
      </c>
      <c r="AJ3">
        <v>309035</v>
      </c>
      <c r="AK3">
        <v>309035</v>
      </c>
      <c r="AL3">
        <v>309035</v>
      </c>
      <c r="AM3" t="s">
        <v>71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</row>
    <row r="4" spans="1:73" x14ac:dyDescent="0.25">
      <c r="A4" t="s">
        <v>45</v>
      </c>
      <c r="B4" t="s">
        <v>62</v>
      </c>
      <c r="M4" t="s">
        <v>71</v>
      </c>
    </row>
    <row r="5" spans="1:73" x14ac:dyDescent="0.25">
      <c r="A5" t="s">
        <v>43</v>
      </c>
      <c r="B5" t="s">
        <v>72</v>
      </c>
      <c r="E5" t="s">
        <v>71</v>
      </c>
    </row>
    <row r="6" spans="1:73" x14ac:dyDescent="0.25">
      <c r="A6" t="s">
        <v>41</v>
      </c>
      <c r="B6" t="s">
        <v>65</v>
      </c>
      <c r="N6" s="4" t="s">
        <v>71</v>
      </c>
    </row>
    <row r="7" spans="1:73" x14ac:dyDescent="0.25">
      <c r="A7" t="s">
        <v>40</v>
      </c>
      <c r="B7" t="s">
        <v>66</v>
      </c>
      <c r="D7" s="4" t="s">
        <v>71</v>
      </c>
      <c r="E7" s="4"/>
      <c r="F7" s="4"/>
      <c r="G7" s="4"/>
      <c r="H7" s="4"/>
    </row>
    <row r="8" spans="1:73" x14ac:dyDescent="0.25">
      <c r="A8" t="s">
        <v>50</v>
      </c>
      <c r="B8" t="s">
        <v>66</v>
      </c>
      <c r="E8" s="4">
        <v>6200535.8395883394</v>
      </c>
      <c r="F8" s="4">
        <v>25673733.22843346</v>
      </c>
      <c r="G8" s="4"/>
      <c r="H8" s="4">
        <v>15248583.320929602</v>
      </c>
      <c r="I8" s="4">
        <v>3455833.1029790994</v>
      </c>
      <c r="J8" s="4">
        <v>440103.91585649701</v>
      </c>
    </row>
    <row r="9" spans="1:73" x14ac:dyDescent="0.25">
      <c r="A9" t="s">
        <v>48</v>
      </c>
      <c r="B9" t="s">
        <v>35</v>
      </c>
      <c r="C9" s="4" t="s">
        <v>71</v>
      </c>
      <c r="S9" s="4"/>
    </row>
    <row r="10" spans="1:73" x14ac:dyDescent="0.25">
      <c r="A10" t="s">
        <v>130</v>
      </c>
      <c r="B10" t="s">
        <v>66</v>
      </c>
      <c r="I10">
        <v>2801212.23</v>
      </c>
      <c r="J10">
        <v>3892103.6599999988</v>
      </c>
    </row>
    <row r="11" spans="1:73" x14ac:dyDescent="0.25">
      <c r="A11" t="s">
        <v>134</v>
      </c>
      <c r="B11" t="s">
        <v>66</v>
      </c>
      <c r="K11">
        <v>7782697.8993435437</v>
      </c>
      <c r="L11">
        <v>2448128.931800684</v>
      </c>
      <c r="N11">
        <v>14305.516905795783</v>
      </c>
      <c r="O11">
        <v>1039.217560492456</v>
      </c>
      <c r="P11">
        <v>419.54490841180086</v>
      </c>
    </row>
    <row r="12" spans="1:73" x14ac:dyDescent="0.25">
      <c r="A12" t="s">
        <v>115</v>
      </c>
      <c r="B12" t="s">
        <v>117</v>
      </c>
      <c r="C12" t="s">
        <v>71</v>
      </c>
    </row>
    <row r="14" spans="1:73" x14ac:dyDescent="0.25">
      <c r="K14" s="9"/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EEA-2EEC-441F-8ABB-1A7E817F9800}">
  <dimension ref="A1:Q95"/>
  <sheetViews>
    <sheetView topLeftCell="A21" zoomScaleNormal="100" workbookViewId="0">
      <selection activeCell="D38" sqref="D38"/>
    </sheetView>
  </sheetViews>
  <sheetFormatPr defaultRowHeight="15" x14ac:dyDescent="0.25"/>
  <cols>
    <col min="2" max="2" width="18.85546875" bestFit="1" customWidth="1"/>
    <col min="3" max="3" width="19.5703125" customWidth="1"/>
    <col min="4" max="4" width="17.5703125" bestFit="1" customWidth="1"/>
    <col min="14" max="14" width="23" bestFit="1" customWidth="1"/>
  </cols>
  <sheetData>
    <row r="1" spans="1:17" x14ac:dyDescent="0.25">
      <c r="A1" s="1" t="s">
        <v>0</v>
      </c>
      <c r="B1" s="1" t="s">
        <v>21</v>
      </c>
      <c r="C1" s="1" t="s">
        <v>22</v>
      </c>
      <c r="D1" s="15" t="s">
        <v>129</v>
      </c>
      <c r="G1" s="20" t="s">
        <v>152</v>
      </c>
      <c r="H1" s="20" t="s">
        <v>155</v>
      </c>
      <c r="I1" s="20" t="s">
        <v>30</v>
      </c>
      <c r="J1" s="20" t="s">
        <v>154</v>
      </c>
      <c r="K1" s="20" t="s">
        <v>151</v>
      </c>
      <c r="L1" s="20" t="s">
        <v>153</v>
      </c>
      <c r="O1" s="22"/>
    </row>
    <row r="2" spans="1:17" x14ac:dyDescent="0.25">
      <c r="A2">
        <v>2020</v>
      </c>
      <c r="B2" t="s">
        <v>60</v>
      </c>
      <c r="C2" s="26">
        <v>91.98</v>
      </c>
      <c r="D2" s="18">
        <f>ABS((C2-$P$7)/$P$7)</f>
        <v>7.5020112630732036E-2</v>
      </c>
      <c r="F2">
        <v>2020</v>
      </c>
      <c r="G2">
        <v>91.98</v>
      </c>
      <c r="H2">
        <v>91.98</v>
      </c>
      <c r="I2">
        <v>92.92</v>
      </c>
      <c r="J2">
        <v>92.92</v>
      </c>
      <c r="K2">
        <v>89.37</v>
      </c>
      <c r="L2">
        <v>89.37</v>
      </c>
    </row>
    <row r="3" spans="1:17" x14ac:dyDescent="0.25">
      <c r="A3">
        <v>2021</v>
      </c>
      <c r="B3" t="s">
        <v>60</v>
      </c>
      <c r="C3" s="26">
        <v>90.74</v>
      </c>
      <c r="D3" s="18">
        <f t="shared" ref="D3:D27" si="0">ABS((C3-$P$7)/$P$7)</f>
        <v>8.7489943684633975E-2</v>
      </c>
      <c r="F3">
        <v>2021</v>
      </c>
      <c r="G3">
        <v>90.74</v>
      </c>
      <c r="H3">
        <v>90.74</v>
      </c>
      <c r="I3">
        <v>91.66</v>
      </c>
      <c r="J3">
        <v>91.66</v>
      </c>
      <c r="K3">
        <v>89.37</v>
      </c>
      <c r="L3">
        <v>89.37</v>
      </c>
    </row>
    <row r="4" spans="1:17" x14ac:dyDescent="0.25">
      <c r="A4">
        <v>2022</v>
      </c>
      <c r="B4" t="s">
        <v>60</v>
      </c>
      <c r="C4" s="26">
        <v>89.5</v>
      </c>
      <c r="D4" s="18">
        <f t="shared" si="0"/>
        <v>9.9959774738535775E-2</v>
      </c>
      <c r="F4">
        <v>2022</v>
      </c>
      <c r="G4">
        <v>89.5</v>
      </c>
      <c r="H4">
        <v>89.5</v>
      </c>
      <c r="I4">
        <v>90.41</v>
      </c>
      <c r="J4">
        <v>90.41</v>
      </c>
      <c r="K4">
        <v>89.37</v>
      </c>
      <c r="L4">
        <v>89.37</v>
      </c>
    </row>
    <row r="5" spans="1:17" x14ac:dyDescent="0.25">
      <c r="A5">
        <v>2023</v>
      </c>
      <c r="B5" t="s">
        <v>60</v>
      </c>
      <c r="C5" s="26">
        <v>88.25</v>
      </c>
      <c r="D5" s="18">
        <f t="shared" si="0"/>
        <v>0.11253016894609813</v>
      </c>
      <c r="F5">
        <v>2023</v>
      </c>
      <c r="G5">
        <v>88.25</v>
      </c>
      <c r="H5">
        <v>88.25</v>
      </c>
      <c r="I5">
        <v>89.15</v>
      </c>
      <c r="J5">
        <v>89.15</v>
      </c>
      <c r="K5">
        <v>89.15</v>
      </c>
      <c r="L5">
        <v>89.15</v>
      </c>
    </row>
    <row r="6" spans="1:17" x14ac:dyDescent="0.25">
      <c r="A6">
        <v>2024</v>
      </c>
      <c r="B6" t="s">
        <v>60</v>
      </c>
      <c r="C6">
        <v>87.01</v>
      </c>
      <c r="D6" s="18">
        <f t="shared" si="0"/>
        <v>0.12499999999999993</v>
      </c>
      <c r="F6">
        <v>2024</v>
      </c>
      <c r="G6">
        <v>87.01</v>
      </c>
      <c r="H6" s="41">
        <f>G6</f>
        <v>87.01</v>
      </c>
      <c r="I6" s="31">
        <v>87.89</v>
      </c>
      <c r="J6" s="41">
        <f>I6</f>
        <v>87.89</v>
      </c>
      <c r="K6" s="31">
        <v>87.89</v>
      </c>
      <c r="L6" s="41">
        <f>K6</f>
        <v>87.89</v>
      </c>
      <c r="N6" s="14"/>
    </row>
    <row r="7" spans="1:17" x14ac:dyDescent="0.25">
      <c r="A7">
        <v>2025</v>
      </c>
      <c r="B7" t="s">
        <v>60</v>
      </c>
      <c r="C7" s="26">
        <v>84.109666666666669</v>
      </c>
      <c r="D7" s="18">
        <f t="shared" si="0"/>
        <v>0.15416666666666662</v>
      </c>
      <c r="F7">
        <v>2025</v>
      </c>
      <c r="G7">
        <v>85.77</v>
      </c>
      <c r="H7" s="27">
        <f t="shared" ref="H7:H27" si="1">$P$7*(1-O13)</f>
        <v>84.109666666666669</v>
      </c>
      <c r="I7">
        <v>86.64</v>
      </c>
      <c r="J7" s="27">
        <f t="shared" ref="J7:J27" si="2">$P$8*(1-O13)</f>
        <v>84.963958333333352</v>
      </c>
      <c r="K7">
        <v>86.64</v>
      </c>
      <c r="L7" s="27">
        <f t="shared" ref="L7:L27" si="3">J7</f>
        <v>84.963958333333352</v>
      </c>
      <c r="O7" t="s">
        <v>157</v>
      </c>
      <c r="P7">
        <v>99.44</v>
      </c>
    </row>
    <row r="8" spans="1:17" x14ac:dyDescent="0.25">
      <c r="A8">
        <v>2026</v>
      </c>
      <c r="B8" t="s">
        <v>60</v>
      </c>
      <c r="C8" s="26">
        <v>81.209333333333333</v>
      </c>
      <c r="D8" s="18">
        <f t="shared" si="0"/>
        <v>0.18333333333333332</v>
      </c>
      <c r="F8">
        <v>2026</v>
      </c>
      <c r="G8">
        <v>84.52</v>
      </c>
      <c r="H8" s="27">
        <f t="shared" si="1"/>
        <v>81.209333333333333</v>
      </c>
      <c r="I8">
        <v>85.38</v>
      </c>
      <c r="J8" s="27">
        <f t="shared" si="2"/>
        <v>82.034166666666664</v>
      </c>
      <c r="K8">
        <v>85.38</v>
      </c>
      <c r="L8" s="27">
        <f t="shared" si="3"/>
        <v>82.034166666666664</v>
      </c>
      <c r="O8" t="s">
        <v>156</v>
      </c>
      <c r="P8">
        <v>100.45</v>
      </c>
    </row>
    <row r="9" spans="1:17" x14ac:dyDescent="0.25">
      <c r="A9">
        <v>2027</v>
      </c>
      <c r="B9" t="s">
        <v>60</v>
      </c>
      <c r="C9" s="26">
        <v>78.309000000000012</v>
      </c>
      <c r="D9" s="18">
        <f t="shared" si="0"/>
        <v>0.21249999999999986</v>
      </c>
      <c r="F9">
        <v>2027</v>
      </c>
      <c r="G9">
        <v>83.28</v>
      </c>
      <c r="H9" s="27">
        <f t="shared" si="1"/>
        <v>78.309000000000012</v>
      </c>
      <c r="I9">
        <v>84.13</v>
      </c>
      <c r="J9" s="27">
        <f t="shared" si="2"/>
        <v>79.104375000000005</v>
      </c>
      <c r="K9">
        <v>84.13</v>
      </c>
      <c r="L9" s="27">
        <f t="shared" si="3"/>
        <v>79.104375000000005</v>
      </c>
      <c r="O9" t="s">
        <v>158</v>
      </c>
      <c r="P9" s="29">
        <v>89.37</v>
      </c>
    </row>
    <row r="10" spans="1:17" x14ac:dyDescent="0.25">
      <c r="A10">
        <v>2028</v>
      </c>
      <c r="B10" t="s">
        <v>60</v>
      </c>
      <c r="C10" s="26">
        <v>75.408666666666662</v>
      </c>
      <c r="D10" s="18">
        <f t="shared" si="0"/>
        <v>0.2416666666666667</v>
      </c>
      <c r="F10">
        <v>2028</v>
      </c>
      <c r="G10">
        <v>82.04</v>
      </c>
      <c r="H10" s="27">
        <f t="shared" si="1"/>
        <v>75.408666666666662</v>
      </c>
      <c r="I10">
        <v>82.87</v>
      </c>
      <c r="J10" s="27">
        <f t="shared" si="2"/>
        <v>76.174583333333331</v>
      </c>
      <c r="K10">
        <v>82.87</v>
      </c>
      <c r="L10" s="27">
        <f t="shared" si="3"/>
        <v>76.174583333333331</v>
      </c>
    </row>
    <row r="11" spans="1:17" x14ac:dyDescent="0.25">
      <c r="A11">
        <v>2029</v>
      </c>
      <c r="B11" t="s">
        <v>60</v>
      </c>
      <c r="C11" s="26">
        <v>72.50833333333334</v>
      </c>
      <c r="D11" s="18">
        <f t="shared" si="0"/>
        <v>0.27083333333333326</v>
      </c>
      <c r="F11">
        <v>2029</v>
      </c>
      <c r="G11">
        <v>80.8</v>
      </c>
      <c r="H11" s="27">
        <f t="shared" si="1"/>
        <v>72.50833333333334</v>
      </c>
      <c r="I11">
        <v>81.62</v>
      </c>
      <c r="J11" s="27">
        <f t="shared" si="2"/>
        <v>73.244791666666671</v>
      </c>
      <c r="K11">
        <v>81.62</v>
      </c>
      <c r="L11" s="27">
        <f t="shared" si="3"/>
        <v>73.244791666666671</v>
      </c>
    </row>
    <row r="12" spans="1:17" x14ac:dyDescent="0.25">
      <c r="A12">
        <v>2030</v>
      </c>
      <c r="B12" t="s">
        <v>60</v>
      </c>
      <c r="C12" s="26">
        <v>69.60799999999999</v>
      </c>
      <c r="D12" s="18">
        <f t="shared" si="0"/>
        <v>0.3000000000000001</v>
      </c>
      <c r="F12">
        <v>2030</v>
      </c>
      <c r="G12">
        <v>79.55</v>
      </c>
      <c r="H12" s="27">
        <f t="shared" si="1"/>
        <v>69.60799999999999</v>
      </c>
      <c r="I12">
        <v>80.36</v>
      </c>
      <c r="J12" s="27">
        <f t="shared" si="2"/>
        <v>70.314999999999998</v>
      </c>
      <c r="K12">
        <v>80.36</v>
      </c>
      <c r="L12" s="27">
        <f t="shared" si="3"/>
        <v>70.314999999999998</v>
      </c>
      <c r="O12" t="s">
        <v>190</v>
      </c>
      <c r="P12" t="s">
        <v>191</v>
      </c>
      <c r="Q12" t="s">
        <v>189</v>
      </c>
    </row>
    <row r="13" spans="1:17" x14ac:dyDescent="0.25">
      <c r="A13">
        <v>2031</v>
      </c>
      <c r="B13" t="s">
        <v>60</v>
      </c>
      <c r="C13" s="26">
        <v>66.944996799999998</v>
      </c>
      <c r="D13" s="18">
        <f t="shared" si="0"/>
        <v>0.32678000000000001</v>
      </c>
      <c r="F13">
        <v>2031</v>
      </c>
      <c r="G13">
        <v>79.55</v>
      </c>
      <c r="H13" s="27">
        <f t="shared" si="1"/>
        <v>66.944996799999998</v>
      </c>
      <c r="I13">
        <v>80.36</v>
      </c>
      <c r="J13" s="27">
        <f t="shared" si="2"/>
        <v>67.624949000000001</v>
      </c>
      <c r="K13">
        <v>80.36</v>
      </c>
      <c r="L13" s="27">
        <f t="shared" si="3"/>
        <v>67.624949000000001</v>
      </c>
      <c r="N13" s="25">
        <v>2025</v>
      </c>
      <c r="O13" s="42">
        <f t="shared" ref="O13:O33" si="4">P13</f>
        <v>0.15416666666666662</v>
      </c>
      <c r="P13" s="42">
        <f>D6+Q13</f>
        <v>0.15416666666666662</v>
      </c>
      <c r="Q13">
        <f>(0.3-$D$6)/6</f>
        <v>2.9166666666666674E-2</v>
      </c>
    </row>
    <row r="14" spans="1:17" x14ac:dyDescent="0.25">
      <c r="A14">
        <v>2032</v>
      </c>
      <c r="B14" t="s">
        <v>60</v>
      </c>
      <c r="C14" s="26">
        <v>64.093057599999995</v>
      </c>
      <c r="D14" s="18">
        <f t="shared" si="0"/>
        <v>0.35546000000000005</v>
      </c>
      <c r="F14">
        <v>2032</v>
      </c>
      <c r="G14">
        <v>79.55</v>
      </c>
      <c r="H14" s="27">
        <f t="shared" si="1"/>
        <v>64.093057599999995</v>
      </c>
      <c r="I14">
        <v>80.36</v>
      </c>
      <c r="J14" s="27">
        <f t="shared" si="2"/>
        <v>64.744043000000005</v>
      </c>
      <c r="K14">
        <v>80.36</v>
      </c>
      <c r="L14" s="27">
        <f t="shared" si="3"/>
        <v>64.744043000000005</v>
      </c>
      <c r="N14" s="25">
        <v>2026</v>
      </c>
      <c r="O14" s="42">
        <f t="shared" si="4"/>
        <v>0.18333333333333329</v>
      </c>
      <c r="P14" s="42">
        <f>P13+Q14</f>
        <v>0.18333333333333329</v>
      </c>
      <c r="Q14">
        <f t="shared" ref="Q14:Q18" si="5">(0.3-$D$6)/6</f>
        <v>2.9166666666666674E-2</v>
      </c>
    </row>
    <row r="15" spans="1:17" x14ac:dyDescent="0.25">
      <c r="A15">
        <v>2033</v>
      </c>
      <c r="B15" t="s">
        <v>60</v>
      </c>
      <c r="C15" s="26">
        <v>61.052182400000007</v>
      </c>
      <c r="D15" s="18">
        <f t="shared" si="0"/>
        <v>0.38603999999999994</v>
      </c>
      <c r="F15">
        <v>2033</v>
      </c>
      <c r="G15">
        <v>79.55</v>
      </c>
      <c r="H15" s="27">
        <f t="shared" si="1"/>
        <v>61.052182400000007</v>
      </c>
      <c r="I15">
        <v>80.36</v>
      </c>
      <c r="J15" s="27">
        <f t="shared" si="2"/>
        <v>61.67228200000001</v>
      </c>
      <c r="K15">
        <v>80.36</v>
      </c>
      <c r="L15" s="27">
        <f t="shared" si="3"/>
        <v>61.67228200000001</v>
      </c>
      <c r="N15" s="25">
        <v>2027</v>
      </c>
      <c r="O15" s="42">
        <f t="shared" si="4"/>
        <v>0.21249999999999997</v>
      </c>
      <c r="P15" s="42">
        <f t="shared" ref="P15:P18" si="6">P14+Q15</f>
        <v>0.21249999999999997</v>
      </c>
      <c r="Q15">
        <f t="shared" si="5"/>
        <v>2.9166666666666674E-2</v>
      </c>
    </row>
    <row r="16" spans="1:17" x14ac:dyDescent="0.25">
      <c r="A16">
        <v>2034</v>
      </c>
      <c r="B16" t="s">
        <v>60</v>
      </c>
      <c r="C16" s="26">
        <v>57.822371199999999</v>
      </c>
      <c r="D16" s="18">
        <f t="shared" si="0"/>
        <v>0.41852</v>
      </c>
      <c r="F16">
        <v>2034</v>
      </c>
      <c r="G16">
        <v>79.55</v>
      </c>
      <c r="H16" s="27">
        <f t="shared" si="1"/>
        <v>57.822371199999999</v>
      </c>
      <c r="I16">
        <v>80.36</v>
      </c>
      <c r="J16" s="27">
        <f t="shared" si="2"/>
        <v>58.409666000000001</v>
      </c>
      <c r="K16">
        <v>80.36</v>
      </c>
      <c r="L16" s="27">
        <f t="shared" si="3"/>
        <v>58.409666000000001</v>
      </c>
      <c r="N16" s="25">
        <v>2028</v>
      </c>
      <c r="O16" s="42">
        <f t="shared" si="4"/>
        <v>0.24166666666666664</v>
      </c>
      <c r="P16" s="42">
        <f t="shared" si="6"/>
        <v>0.24166666666666664</v>
      </c>
      <c r="Q16">
        <f t="shared" si="5"/>
        <v>2.9166666666666674E-2</v>
      </c>
    </row>
    <row r="17" spans="1:17" x14ac:dyDescent="0.25">
      <c r="A17">
        <v>2035</v>
      </c>
      <c r="B17" t="s">
        <v>60</v>
      </c>
      <c r="C17" s="26">
        <v>54.403623999999994</v>
      </c>
      <c r="D17" s="18">
        <f t="shared" si="0"/>
        <v>0.45290000000000002</v>
      </c>
      <c r="F17">
        <v>2035</v>
      </c>
      <c r="G17">
        <v>79.55</v>
      </c>
      <c r="H17" s="27">
        <f t="shared" si="1"/>
        <v>54.403623999999994</v>
      </c>
      <c r="I17">
        <v>80.36</v>
      </c>
      <c r="J17" s="27">
        <f t="shared" si="2"/>
        <v>54.956194999999994</v>
      </c>
      <c r="K17">
        <v>80.36</v>
      </c>
      <c r="L17" s="27">
        <f t="shared" si="3"/>
        <v>54.956194999999994</v>
      </c>
      <c r="N17" s="25">
        <v>2029</v>
      </c>
      <c r="O17" s="42">
        <f t="shared" si="4"/>
        <v>0.27083333333333331</v>
      </c>
      <c r="P17" s="42">
        <f t="shared" si="6"/>
        <v>0.27083333333333331</v>
      </c>
      <c r="Q17">
        <f t="shared" si="5"/>
        <v>2.9166666666666674E-2</v>
      </c>
    </row>
    <row r="18" spans="1:17" x14ac:dyDescent="0.25">
      <c r="A18">
        <v>2036</v>
      </c>
      <c r="B18" t="s">
        <v>60</v>
      </c>
      <c r="C18" s="26">
        <v>50.795940800000004</v>
      </c>
      <c r="D18" s="18">
        <f t="shared" si="0"/>
        <v>0.48917999999999995</v>
      </c>
      <c r="F18">
        <v>2036</v>
      </c>
      <c r="G18">
        <v>79.55</v>
      </c>
      <c r="H18" s="27">
        <f t="shared" si="1"/>
        <v>50.795940800000004</v>
      </c>
      <c r="I18">
        <v>80.36</v>
      </c>
      <c r="J18" s="27">
        <f t="shared" si="2"/>
        <v>51.311869000000009</v>
      </c>
      <c r="K18">
        <v>80.36</v>
      </c>
      <c r="L18" s="27">
        <f t="shared" si="3"/>
        <v>51.311869000000009</v>
      </c>
      <c r="N18" s="25">
        <v>2030</v>
      </c>
      <c r="O18" s="42">
        <f t="shared" si="4"/>
        <v>0.3</v>
      </c>
      <c r="P18" s="42">
        <f t="shared" si="6"/>
        <v>0.3</v>
      </c>
      <c r="Q18">
        <f t="shared" si="5"/>
        <v>2.9166666666666674E-2</v>
      </c>
    </row>
    <row r="19" spans="1:17" x14ac:dyDescent="0.25">
      <c r="A19">
        <v>2037</v>
      </c>
      <c r="B19" t="s">
        <v>60</v>
      </c>
      <c r="C19" s="26">
        <v>46.999321599999995</v>
      </c>
      <c r="D19" s="18">
        <f t="shared" si="0"/>
        <v>0.52736000000000005</v>
      </c>
      <c r="F19">
        <v>2037</v>
      </c>
      <c r="G19">
        <v>79.55</v>
      </c>
      <c r="H19" s="27">
        <f t="shared" si="1"/>
        <v>46.999321599999995</v>
      </c>
      <c r="I19">
        <v>80.36</v>
      </c>
      <c r="J19" s="27">
        <f t="shared" si="2"/>
        <v>47.476687999999996</v>
      </c>
      <c r="K19">
        <v>80.36</v>
      </c>
      <c r="L19" s="27">
        <f t="shared" si="3"/>
        <v>47.476687999999996</v>
      </c>
      <c r="N19" s="25">
        <v>2031</v>
      </c>
      <c r="O19">
        <f t="shared" si="4"/>
        <v>0.32678000000000001</v>
      </c>
      <c r="P19" s="37">
        <f t="shared" ref="P19:P31" si="7">P18+Q19</f>
        <v>0.32678000000000001</v>
      </c>
      <c r="Q19" s="36">
        <f>0.02678+(N19-$N$19)*0.0019</f>
        <v>2.6780000000000002E-2</v>
      </c>
    </row>
    <row r="20" spans="1:17" x14ac:dyDescent="0.25">
      <c r="A20">
        <v>2038</v>
      </c>
      <c r="B20" t="s">
        <v>60</v>
      </c>
      <c r="C20" s="26">
        <v>43.013766399999994</v>
      </c>
      <c r="D20" s="18">
        <f t="shared" si="0"/>
        <v>0.56744000000000006</v>
      </c>
      <c r="F20">
        <v>2038</v>
      </c>
      <c r="G20">
        <v>79.55</v>
      </c>
      <c r="H20" s="27">
        <f t="shared" si="1"/>
        <v>43.013766399999994</v>
      </c>
      <c r="I20">
        <v>80.36</v>
      </c>
      <c r="J20" s="27">
        <f t="shared" si="2"/>
        <v>43.450651999999998</v>
      </c>
      <c r="K20">
        <v>80.36</v>
      </c>
      <c r="L20" s="27">
        <f t="shared" si="3"/>
        <v>43.450651999999998</v>
      </c>
      <c r="N20" s="25">
        <v>2032</v>
      </c>
      <c r="O20">
        <f t="shared" si="4"/>
        <v>0.35546</v>
      </c>
      <c r="P20" s="36">
        <f t="shared" si="7"/>
        <v>0.35546</v>
      </c>
      <c r="Q20" s="36">
        <f t="shared" ref="Q20:Q33" si="8">0.02678+(N20-$N$19)*0.0019</f>
        <v>2.8680000000000001E-2</v>
      </c>
    </row>
    <row r="21" spans="1:17" x14ac:dyDescent="0.25">
      <c r="A21">
        <v>2039</v>
      </c>
      <c r="B21" t="s">
        <v>60</v>
      </c>
      <c r="C21" s="26">
        <v>38.839275199999989</v>
      </c>
      <c r="D21" s="18">
        <f t="shared" si="0"/>
        <v>0.60942000000000007</v>
      </c>
      <c r="F21">
        <v>2039</v>
      </c>
      <c r="G21">
        <v>79.55</v>
      </c>
      <c r="H21" s="27">
        <f t="shared" si="1"/>
        <v>38.839275199999989</v>
      </c>
      <c r="I21">
        <v>80.36</v>
      </c>
      <c r="J21" s="27">
        <f t="shared" si="2"/>
        <v>39.233760999999994</v>
      </c>
      <c r="K21">
        <v>80.36</v>
      </c>
      <c r="L21" s="27">
        <f t="shared" si="3"/>
        <v>39.233760999999994</v>
      </c>
      <c r="N21" s="25">
        <v>2033</v>
      </c>
      <c r="O21">
        <f t="shared" si="4"/>
        <v>0.38603999999999999</v>
      </c>
      <c r="P21">
        <f t="shared" si="7"/>
        <v>0.38603999999999999</v>
      </c>
      <c r="Q21" s="36">
        <f t="shared" si="8"/>
        <v>3.0580000000000003E-2</v>
      </c>
    </row>
    <row r="22" spans="1:17" x14ac:dyDescent="0.25">
      <c r="A22">
        <v>2040</v>
      </c>
      <c r="B22" t="s">
        <v>60</v>
      </c>
      <c r="C22" s="26">
        <v>34.475847999999992</v>
      </c>
      <c r="D22" s="18">
        <f t="shared" si="0"/>
        <v>0.6533000000000001</v>
      </c>
      <c r="F22">
        <v>2040</v>
      </c>
      <c r="G22">
        <v>79.55</v>
      </c>
      <c r="H22" s="27">
        <f t="shared" si="1"/>
        <v>34.475847999999992</v>
      </c>
      <c r="I22">
        <v>80.36</v>
      </c>
      <c r="J22" s="27">
        <f t="shared" si="2"/>
        <v>34.826014999999991</v>
      </c>
      <c r="K22">
        <v>80.36</v>
      </c>
      <c r="L22" s="27">
        <f t="shared" si="3"/>
        <v>34.826014999999991</v>
      </c>
      <c r="N22" s="25">
        <v>2034</v>
      </c>
      <c r="O22">
        <f t="shared" si="4"/>
        <v>0.41852</v>
      </c>
      <c r="P22">
        <f t="shared" si="7"/>
        <v>0.41852</v>
      </c>
      <c r="Q22" s="36">
        <f t="shared" si="8"/>
        <v>3.2480000000000002E-2</v>
      </c>
    </row>
    <row r="23" spans="1:17" x14ac:dyDescent="0.25">
      <c r="A23">
        <v>2041</v>
      </c>
      <c r="B23" t="s">
        <v>60</v>
      </c>
      <c r="C23" s="26">
        <v>29.923484799999986</v>
      </c>
      <c r="D23" s="18">
        <f t="shared" si="0"/>
        <v>0.69908000000000015</v>
      </c>
      <c r="F23">
        <v>2041</v>
      </c>
      <c r="G23">
        <v>79.55</v>
      </c>
      <c r="H23" s="27">
        <f t="shared" si="1"/>
        <v>29.923484799999986</v>
      </c>
      <c r="I23">
        <v>80.36</v>
      </c>
      <c r="J23" s="27">
        <f t="shared" si="2"/>
        <v>30.227413999999985</v>
      </c>
      <c r="K23">
        <v>80.36</v>
      </c>
      <c r="L23" s="27">
        <f t="shared" si="3"/>
        <v>30.227413999999985</v>
      </c>
      <c r="N23" s="25">
        <v>2035</v>
      </c>
      <c r="O23">
        <f t="shared" si="4"/>
        <v>0.45290000000000002</v>
      </c>
      <c r="P23">
        <f t="shared" si="7"/>
        <v>0.45290000000000002</v>
      </c>
      <c r="Q23" s="36">
        <f t="shared" si="8"/>
        <v>3.4380000000000001E-2</v>
      </c>
    </row>
    <row r="24" spans="1:17" x14ac:dyDescent="0.25">
      <c r="A24">
        <v>2042</v>
      </c>
      <c r="B24" t="s">
        <v>60</v>
      </c>
      <c r="C24" s="26">
        <v>25.18218559999999</v>
      </c>
      <c r="D24" s="18">
        <f t="shared" si="0"/>
        <v>0.74675999999999998</v>
      </c>
      <c r="F24">
        <v>2042</v>
      </c>
      <c r="G24">
        <v>79.55</v>
      </c>
      <c r="H24" s="27">
        <f t="shared" si="1"/>
        <v>25.18218559999999</v>
      </c>
      <c r="I24">
        <v>80.36</v>
      </c>
      <c r="J24" s="27">
        <f t="shared" si="2"/>
        <v>25.437957999999991</v>
      </c>
      <c r="K24">
        <v>80.36</v>
      </c>
      <c r="L24" s="27">
        <f t="shared" si="3"/>
        <v>25.437957999999991</v>
      </c>
      <c r="N24" s="25">
        <v>2036</v>
      </c>
      <c r="O24">
        <f t="shared" si="4"/>
        <v>0.48918</v>
      </c>
      <c r="P24">
        <f t="shared" si="7"/>
        <v>0.48918</v>
      </c>
      <c r="Q24" s="36">
        <f t="shared" si="8"/>
        <v>3.628E-2</v>
      </c>
    </row>
    <row r="25" spans="1:17" x14ac:dyDescent="0.25">
      <c r="A25">
        <v>2043</v>
      </c>
      <c r="B25" t="s">
        <v>60</v>
      </c>
      <c r="C25" s="26">
        <v>20.251950399999995</v>
      </c>
      <c r="D25" s="18">
        <f t="shared" si="0"/>
        <v>0.79634000000000005</v>
      </c>
      <c r="F25">
        <v>2043</v>
      </c>
      <c r="G25">
        <v>79.55</v>
      </c>
      <c r="H25" s="27">
        <f t="shared" si="1"/>
        <v>20.251950399999995</v>
      </c>
      <c r="I25">
        <v>80.36</v>
      </c>
      <c r="J25" s="27">
        <f t="shared" si="2"/>
        <v>20.457646999999994</v>
      </c>
      <c r="K25">
        <v>80.36</v>
      </c>
      <c r="L25" s="27">
        <f t="shared" si="3"/>
        <v>20.457646999999994</v>
      </c>
      <c r="N25" s="25">
        <v>2037</v>
      </c>
      <c r="O25">
        <f t="shared" si="4"/>
        <v>0.52736000000000005</v>
      </c>
      <c r="P25">
        <f t="shared" si="7"/>
        <v>0.52736000000000005</v>
      </c>
      <c r="Q25" s="36">
        <f t="shared" si="8"/>
        <v>3.8180000000000006E-2</v>
      </c>
    </row>
    <row r="26" spans="1:17" x14ac:dyDescent="0.25">
      <c r="A26">
        <v>2044</v>
      </c>
      <c r="B26" t="s">
        <v>60</v>
      </c>
      <c r="C26" s="26">
        <v>15.132779199999998</v>
      </c>
      <c r="D26" s="18">
        <f t="shared" si="0"/>
        <v>0.84782000000000002</v>
      </c>
      <c r="F26">
        <v>2044</v>
      </c>
      <c r="G26">
        <v>79.55</v>
      </c>
      <c r="H26" s="27">
        <f t="shared" si="1"/>
        <v>15.132779199999998</v>
      </c>
      <c r="I26">
        <v>80.36</v>
      </c>
      <c r="J26" s="27">
        <f t="shared" si="2"/>
        <v>15.286480999999998</v>
      </c>
      <c r="K26">
        <v>80.36</v>
      </c>
      <c r="L26" s="27">
        <f t="shared" si="3"/>
        <v>15.286480999999998</v>
      </c>
      <c r="N26" s="25">
        <v>2038</v>
      </c>
      <c r="O26">
        <f t="shared" si="4"/>
        <v>0.56744000000000006</v>
      </c>
      <c r="P26">
        <f t="shared" si="7"/>
        <v>0.56744000000000006</v>
      </c>
      <c r="Q26" s="36">
        <f t="shared" si="8"/>
        <v>4.0080000000000005E-2</v>
      </c>
    </row>
    <row r="27" spans="1:17" x14ac:dyDescent="0.25">
      <c r="A27">
        <v>2045</v>
      </c>
      <c r="B27" t="s">
        <v>60</v>
      </c>
      <c r="C27" s="26">
        <v>9.8246719999999996</v>
      </c>
      <c r="D27" s="18">
        <f t="shared" si="0"/>
        <v>0.90120000000000011</v>
      </c>
      <c r="F27">
        <v>2045</v>
      </c>
      <c r="G27">
        <v>79.55</v>
      </c>
      <c r="H27" s="27">
        <f t="shared" si="1"/>
        <v>9.8246719999999996</v>
      </c>
      <c r="I27">
        <v>80.36</v>
      </c>
      <c r="J27" s="27">
        <f t="shared" si="2"/>
        <v>9.9244599999999998</v>
      </c>
      <c r="K27">
        <v>80.36</v>
      </c>
      <c r="L27" s="27">
        <f t="shared" si="3"/>
        <v>9.9244599999999998</v>
      </c>
      <c r="N27" s="25">
        <v>2039</v>
      </c>
      <c r="O27">
        <f t="shared" si="4"/>
        <v>0.60942000000000007</v>
      </c>
      <c r="P27">
        <f t="shared" si="7"/>
        <v>0.60942000000000007</v>
      </c>
      <c r="Q27" s="36">
        <f t="shared" si="8"/>
        <v>4.1980000000000003E-2</v>
      </c>
    </row>
    <row r="28" spans="1:17" x14ac:dyDescent="0.25">
      <c r="A28">
        <v>2020</v>
      </c>
      <c r="B28" t="s">
        <v>59</v>
      </c>
      <c r="C28" s="26">
        <v>92.92</v>
      </c>
      <c r="D28" s="18">
        <f>ABS((C28-$P$8)/$P$8)</f>
        <v>7.4962667994026885E-2</v>
      </c>
      <c r="N28" s="25">
        <v>2040</v>
      </c>
      <c r="O28" s="36">
        <f t="shared" si="4"/>
        <v>0.6533000000000001</v>
      </c>
      <c r="P28" s="36">
        <f t="shared" si="7"/>
        <v>0.6533000000000001</v>
      </c>
      <c r="Q28" s="36">
        <f t="shared" si="8"/>
        <v>4.3880000000000002E-2</v>
      </c>
    </row>
    <row r="29" spans="1:17" x14ac:dyDescent="0.25">
      <c r="A29">
        <v>2021</v>
      </c>
      <c r="B29" t="s">
        <v>59</v>
      </c>
      <c r="C29" s="26">
        <v>91.66</v>
      </c>
      <c r="D29" s="18">
        <f t="shared" ref="D29:D53" si="9">ABS((C29-$P$8)/$P$8)</f>
        <v>8.7506222000995573E-2</v>
      </c>
      <c r="N29" s="25">
        <v>2041</v>
      </c>
      <c r="O29">
        <f t="shared" si="4"/>
        <v>0.69908000000000015</v>
      </c>
      <c r="P29">
        <f t="shared" si="7"/>
        <v>0.69908000000000015</v>
      </c>
      <c r="Q29" s="36">
        <f t="shared" si="8"/>
        <v>4.5780000000000001E-2</v>
      </c>
    </row>
    <row r="30" spans="1:17" x14ac:dyDescent="0.25">
      <c r="A30">
        <v>2022</v>
      </c>
      <c r="B30" t="s">
        <v>59</v>
      </c>
      <c r="C30" s="26">
        <v>90.41</v>
      </c>
      <c r="D30" s="18">
        <f t="shared" si="9"/>
        <v>9.9950223992035903E-2</v>
      </c>
      <c r="N30" s="25">
        <v>2042</v>
      </c>
      <c r="O30">
        <f t="shared" si="4"/>
        <v>0.74676000000000009</v>
      </c>
      <c r="P30">
        <f t="shared" si="7"/>
        <v>0.74676000000000009</v>
      </c>
      <c r="Q30" s="36">
        <f t="shared" si="8"/>
        <v>4.768E-2</v>
      </c>
    </row>
    <row r="31" spans="1:17" x14ac:dyDescent="0.25">
      <c r="A31">
        <v>2023</v>
      </c>
      <c r="B31" t="s">
        <v>59</v>
      </c>
      <c r="C31" s="26">
        <v>89.15</v>
      </c>
      <c r="D31" s="18">
        <f t="shared" si="9"/>
        <v>0.11249377799900445</v>
      </c>
      <c r="N31" s="25">
        <v>2043</v>
      </c>
      <c r="O31">
        <f t="shared" si="4"/>
        <v>0.79634000000000005</v>
      </c>
      <c r="P31" s="36">
        <f t="shared" si="7"/>
        <v>0.79634000000000005</v>
      </c>
      <c r="Q31" s="36">
        <f t="shared" si="8"/>
        <v>4.9579999999999999E-2</v>
      </c>
    </row>
    <row r="32" spans="1:17" x14ac:dyDescent="0.25">
      <c r="A32">
        <v>2024</v>
      </c>
      <c r="B32" t="s">
        <v>59</v>
      </c>
      <c r="C32" s="26">
        <v>87.89</v>
      </c>
      <c r="D32" s="18">
        <f t="shared" si="9"/>
        <v>0.12503733200597314</v>
      </c>
      <c r="N32" s="25">
        <v>2044</v>
      </c>
      <c r="O32">
        <f t="shared" si="4"/>
        <v>0.84782000000000002</v>
      </c>
      <c r="P32" s="36">
        <f>P31+Q32</f>
        <v>0.84782000000000002</v>
      </c>
      <c r="Q32" s="36">
        <f t="shared" si="8"/>
        <v>5.1479999999999998E-2</v>
      </c>
    </row>
    <row r="33" spans="1:17" x14ac:dyDescent="0.25">
      <c r="A33">
        <v>2025</v>
      </c>
      <c r="B33" t="s">
        <v>59</v>
      </c>
      <c r="C33" s="26">
        <v>84.963958333333352</v>
      </c>
      <c r="D33" s="18">
        <f t="shared" si="9"/>
        <v>0.15416666666666651</v>
      </c>
      <c r="N33" s="25">
        <v>2045</v>
      </c>
      <c r="O33">
        <f t="shared" si="4"/>
        <v>0.9012</v>
      </c>
      <c r="P33" s="36">
        <f>P32+Q33</f>
        <v>0.9012</v>
      </c>
      <c r="Q33" s="36">
        <f t="shared" si="8"/>
        <v>5.3379999999999997E-2</v>
      </c>
    </row>
    <row r="34" spans="1:17" x14ac:dyDescent="0.25">
      <c r="A34">
        <v>2026</v>
      </c>
      <c r="B34" t="s">
        <v>59</v>
      </c>
      <c r="C34" s="26">
        <v>82.034166666666664</v>
      </c>
      <c r="D34" s="18">
        <f t="shared" si="9"/>
        <v>0.18333333333333338</v>
      </c>
    </row>
    <row r="35" spans="1:17" x14ac:dyDescent="0.25">
      <c r="A35">
        <v>2027</v>
      </c>
      <c r="B35" t="s">
        <v>59</v>
      </c>
      <c r="C35" s="28">
        <v>79.104375000000005</v>
      </c>
      <c r="D35" s="18">
        <f t="shared" si="9"/>
        <v>0.21249999999999997</v>
      </c>
    </row>
    <row r="36" spans="1:17" x14ac:dyDescent="0.25">
      <c r="A36">
        <v>2028</v>
      </c>
      <c r="B36" t="s">
        <v>59</v>
      </c>
      <c r="C36" s="26">
        <v>76.174583333333331</v>
      </c>
      <c r="D36" s="18">
        <f t="shared" si="9"/>
        <v>0.24166666666666672</v>
      </c>
    </row>
    <row r="37" spans="1:17" x14ac:dyDescent="0.25">
      <c r="A37">
        <v>2029</v>
      </c>
      <c r="B37" t="s">
        <v>59</v>
      </c>
      <c r="C37" s="26">
        <v>73.244791666666671</v>
      </c>
      <c r="D37" s="18">
        <f t="shared" si="9"/>
        <v>0.27083333333333331</v>
      </c>
    </row>
    <row r="38" spans="1:17" x14ac:dyDescent="0.25">
      <c r="A38">
        <v>2030</v>
      </c>
      <c r="B38" t="s">
        <v>59</v>
      </c>
      <c r="C38" s="26">
        <v>70.314999999999998</v>
      </c>
      <c r="D38" s="18">
        <f t="shared" si="9"/>
        <v>0.30000000000000004</v>
      </c>
    </row>
    <row r="39" spans="1:17" x14ac:dyDescent="0.25">
      <c r="A39">
        <v>2031</v>
      </c>
      <c r="B39" t="s">
        <v>59</v>
      </c>
      <c r="C39" s="26">
        <v>67.624949000000001</v>
      </c>
      <c r="D39" s="18">
        <f t="shared" si="9"/>
        <v>0.32678000000000001</v>
      </c>
    </row>
    <row r="40" spans="1:17" x14ac:dyDescent="0.25">
      <c r="A40">
        <v>2032</v>
      </c>
      <c r="B40" t="s">
        <v>59</v>
      </c>
      <c r="C40" s="26">
        <v>64.744043000000005</v>
      </c>
      <c r="D40" s="18">
        <f t="shared" si="9"/>
        <v>0.35545999999999994</v>
      </c>
    </row>
    <row r="41" spans="1:17" x14ac:dyDescent="0.25">
      <c r="A41">
        <v>2033</v>
      </c>
      <c r="B41" t="s">
        <v>59</v>
      </c>
      <c r="C41" s="26">
        <v>61.67228200000001</v>
      </c>
      <c r="D41" s="18">
        <f t="shared" si="9"/>
        <v>0.38603999999999994</v>
      </c>
    </row>
    <row r="42" spans="1:17" x14ac:dyDescent="0.25">
      <c r="A42">
        <v>2034</v>
      </c>
      <c r="B42" t="s">
        <v>59</v>
      </c>
      <c r="C42" s="26">
        <v>58.409666000000001</v>
      </c>
      <c r="D42" s="18">
        <f t="shared" si="9"/>
        <v>0.41852</v>
      </c>
    </row>
    <row r="43" spans="1:17" x14ac:dyDescent="0.25">
      <c r="A43">
        <v>2035</v>
      </c>
      <c r="B43" t="s">
        <v>59</v>
      </c>
      <c r="C43" s="26">
        <v>54.956194999999994</v>
      </c>
      <c r="D43" s="18">
        <f t="shared" si="9"/>
        <v>0.45290000000000008</v>
      </c>
    </row>
    <row r="44" spans="1:17" x14ac:dyDescent="0.25">
      <c r="A44">
        <v>2036</v>
      </c>
      <c r="B44" t="s">
        <v>59</v>
      </c>
      <c r="C44" s="26">
        <v>51.311869000000009</v>
      </c>
      <c r="D44" s="18">
        <f t="shared" si="9"/>
        <v>0.48917999999999995</v>
      </c>
    </row>
    <row r="45" spans="1:17" x14ac:dyDescent="0.25">
      <c r="A45">
        <v>2037</v>
      </c>
      <c r="B45" t="s">
        <v>59</v>
      </c>
      <c r="C45" s="26">
        <v>47.476687999999996</v>
      </c>
      <c r="D45" s="18">
        <f t="shared" si="9"/>
        <v>0.52736000000000005</v>
      </c>
    </row>
    <row r="46" spans="1:17" x14ac:dyDescent="0.25">
      <c r="A46">
        <v>2038</v>
      </c>
      <c r="B46" t="s">
        <v>59</v>
      </c>
      <c r="C46" s="26">
        <v>43.450651999999998</v>
      </c>
      <c r="D46" s="18">
        <f t="shared" si="9"/>
        <v>0.56744000000000006</v>
      </c>
    </row>
    <row r="47" spans="1:17" x14ac:dyDescent="0.25">
      <c r="A47">
        <v>2039</v>
      </c>
      <c r="B47" t="s">
        <v>59</v>
      </c>
      <c r="C47" s="26">
        <v>39.233760999999994</v>
      </c>
      <c r="D47" s="18">
        <f t="shared" si="9"/>
        <v>0.60942000000000007</v>
      </c>
    </row>
    <row r="48" spans="1:17" x14ac:dyDescent="0.25">
      <c r="A48">
        <v>2040</v>
      </c>
      <c r="B48" t="s">
        <v>59</v>
      </c>
      <c r="C48" s="26">
        <v>34.826014999999991</v>
      </c>
      <c r="D48" s="18">
        <f t="shared" si="9"/>
        <v>0.65329999999999999</v>
      </c>
    </row>
    <row r="49" spans="1:4" x14ac:dyDescent="0.25">
      <c r="A49">
        <v>2041</v>
      </c>
      <c r="B49" t="s">
        <v>59</v>
      </c>
      <c r="C49" s="26">
        <v>30.227413999999985</v>
      </c>
      <c r="D49" s="18">
        <f t="shared" si="9"/>
        <v>0.69908000000000015</v>
      </c>
    </row>
    <row r="50" spans="1:4" x14ac:dyDescent="0.25">
      <c r="A50">
        <v>2042</v>
      </c>
      <c r="B50" t="s">
        <v>59</v>
      </c>
      <c r="C50" s="26">
        <v>25.437957999999991</v>
      </c>
      <c r="D50" s="18">
        <f t="shared" si="9"/>
        <v>0.74676000000000009</v>
      </c>
    </row>
    <row r="51" spans="1:4" x14ac:dyDescent="0.25">
      <c r="A51">
        <v>2043</v>
      </c>
      <c r="B51" t="s">
        <v>59</v>
      </c>
      <c r="C51" s="26">
        <v>20.457646999999994</v>
      </c>
      <c r="D51" s="18">
        <f t="shared" si="9"/>
        <v>0.79634000000000005</v>
      </c>
    </row>
    <row r="52" spans="1:4" x14ac:dyDescent="0.25">
      <c r="A52">
        <v>2044</v>
      </c>
      <c r="B52" t="s">
        <v>59</v>
      </c>
      <c r="C52" s="26">
        <v>15.286480999999998</v>
      </c>
      <c r="D52" s="18">
        <f t="shared" si="9"/>
        <v>0.84782000000000002</v>
      </c>
    </row>
    <row r="53" spans="1:4" x14ac:dyDescent="0.25">
      <c r="A53">
        <v>2045</v>
      </c>
      <c r="B53" t="s">
        <v>59</v>
      </c>
      <c r="C53" s="26">
        <v>9.9244599999999998</v>
      </c>
      <c r="D53" s="18">
        <f t="shared" si="9"/>
        <v>0.9012</v>
      </c>
    </row>
    <row r="54" spans="1:4" x14ac:dyDescent="0.25">
      <c r="A54">
        <v>2020</v>
      </c>
      <c r="B54" t="s">
        <v>61</v>
      </c>
      <c r="C54" s="26">
        <v>89.37</v>
      </c>
      <c r="D54" s="18">
        <f>ABS((C54-$P$8)/$P$8)</f>
        <v>0.11030363364858137</v>
      </c>
    </row>
    <row r="55" spans="1:4" x14ac:dyDescent="0.25">
      <c r="A55">
        <v>2021</v>
      </c>
      <c r="B55" t="s">
        <v>61</v>
      </c>
      <c r="C55" s="26">
        <v>89.37</v>
      </c>
      <c r="D55" s="18">
        <f t="shared" ref="D55:D80" si="10">ABS((C55-$P$8)/$P$8)</f>
        <v>0.11030363364858137</v>
      </c>
    </row>
    <row r="56" spans="1:4" x14ac:dyDescent="0.25">
      <c r="A56">
        <v>2022</v>
      </c>
      <c r="B56" t="s">
        <v>61</v>
      </c>
      <c r="C56" s="26">
        <v>89.37</v>
      </c>
      <c r="D56" s="18">
        <f t="shared" si="10"/>
        <v>0.11030363364858137</v>
      </c>
    </row>
    <row r="57" spans="1:4" x14ac:dyDescent="0.25">
      <c r="A57">
        <v>2023</v>
      </c>
      <c r="B57" t="s">
        <v>61</v>
      </c>
      <c r="C57" s="26">
        <v>89.15</v>
      </c>
      <c r="D57" s="18">
        <f t="shared" si="10"/>
        <v>0.11249377799900445</v>
      </c>
    </row>
    <row r="58" spans="1:4" x14ac:dyDescent="0.25">
      <c r="A58">
        <v>2024</v>
      </c>
      <c r="B58" t="s">
        <v>61</v>
      </c>
      <c r="C58" s="26">
        <v>87.89</v>
      </c>
      <c r="D58" s="18">
        <f t="shared" si="10"/>
        <v>0.12503733200597314</v>
      </c>
    </row>
    <row r="59" spans="1:4" x14ac:dyDescent="0.25">
      <c r="A59">
        <v>2025</v>
      </c>
      <c r="B59" t="s">
        <v>61</v>
      </c>
      <c r="C59" s="26">
        <v>84.963958333333352</v>
      </c>
      <c r="D59" s="18">
        <f t="shared" si="10"/>
        <v>0.15416666666666651</v>
      </c>
    </row>
    <row r="60" spans="1:4" x14ac:dyDescent="0.25">
      <c r="A60">
        <v>2026</v>
      </c>
      <c r="B60" t="s">
        <v>61</v>
      </c>
      <c r="C60" s="26">
        <v>82.034166666666664</v>
      </c>
      <c r="D60" s="18">
        <f t="shared" si="10"/>
        <v>0.18333333333333338</v>
      </c>
    </row>
    <row r="61" spans="1:4" x14ac:dyDescent="0.25">
      <c r="A61">
        <v>2027</v>
      </c>
      <c r="B61" t="s">
        <v>61</v>
      </c>
      <c r="C61" s="26">
        <v>79.104375000000005</v>
      </c>
      <c r="D61" s="18">
        <f t="shared" si="10"/>
        <v>0.21249999999999997</v>
      </c>
    </row>
    <row r="62" spans="1:4" x14ac:dyDescent="0.25">
      <c r="A62">
        <v>2028</v>
      </c>
      <c r="B62" t="s">
        <v>61</v>
      </c>
      <c r="C62" s="26">
        <v>76.174583333333331</v>
      </c>
      <c r="D62" s="18">
        <f t="shared" si="10"/>
        <v>0.24166666666666672</v>
      </c>
    </row>
    <row r="63" spans="1:4" x14ac:dyDescent="0.25">
      <c r="A63">
        <v>2029</v>
      </c>
      <c r="B63" t="s">
        <v>61</v>
      </c>
      <c r="C63" s="26">
        <v>73.244791666666671</v>
      </c>
      <c r="D63" s="18">
        <f t="shared" si="10"/>
        <v>0.27083333333333331</v>
      </c>
    </row>
    <row r="64" spans="1:4" x14ac:dyDescent="0.25">
      <c r="A64">
        <v>2030</v>
      </c>
      <c r="B64" t="s">
        <v>61</v>
      </c>
      <c r="C64" s="26">
        <v>70.314999999999998</v>
      </c>
      <c r="D64" s="18">
        <f t="shared" si="10"/>
        <v>0.30000000000000004</v>
      </c>
    </row>
    <row r="65" spans="1:4" x14ac:dyDescent="0.25">
      <c r="A65">
        <v>2031</v>
      </c>
      <c r="B65" t="s">
        <v>61</v>
      </c>
      <c r="C65" s="26">
        <v>67.624949000000001</v>
      </c>
      <c r="D65" s="18">
        <f t="shared" si="10"/>
        <v>0.32678000000000001</v>
      </c>
    </row>
    <row r="66" spans="1:4" x14ac:dyDescent="0.25">
      <c r="A66">
        <v>2032</v>
      </c>
      <c r="B66" t="s">
        <v>61</v>
      </c>
      <c r="C66" s="26">
        <v>64.744043000000005</v>
      </c>
      <c r="D66" s="18">
        <f t="shared" si="10"/>
        <v>0.35545999999999994</v>
      </c>
    </row>
    <row r="67" spans="1:4" x14ac:dyDescent="0.25">
      <c r="A67">
        <v>2033</v>
      </c>
      <c r="B67" t="s">
        <v>61</v>
      </c>
      <c r="C67" s="26">
        <v>61.67228200000001</v>
      </c>
      <c r="D67" s="18">
        <f t="shared" si="10"/>
        <v>0.38603999999999994</v>
      </c>
    </row>
    <row r="68" spans="1:4" x14ac:dyDescent="0.25">
      <c r="A68">
        <v>2034</v>
      </c>
      <c r="B68" t="s">
        <v>61</v>
      </c>
      <c r="C68" s="26">
        <v>58.409666000000001</v>
      </c>
      <c r="D68" s="18">
        <f t="shared" si="10"/>
        <v>0.41852</v>
      </c>
    </row>
    <row r="69" spans="1:4" x14ac:dyDescent="0.25">
      <c r="A69">
        <v>2035</v>
      </c>
      <c r="B69" t="s">
        <v>61</v>
      </c>
      <c r="C69" s="26">
        <v>54.956194999999994</v>
      </c>
      <c r="D69" s="18">
        <f t="shared" si="10"/>
        <v>0.45290000000000008</v>
      </c>
    </row>
    <row r="70" spans="1:4" x14ac:dyDescent="0.25">
      <c r="A70">
        <v>2036</v>
      </c>
      <c r="B70" t="s">
        <v>61</v>
      </c>
      <c r="C70" s="26">
        <v>51.311869000000009</v>
      </c>
      <c r="D70" s="18">
        <f t="shared" si="10"/>
        <v>0.48917999999999995</v>
      </c>
    </row>
    <row r="71" spans="1:4" x14ac:dyDescent="0.25">
      <c r="A71">
        <v>2037</v>
      </c>
      <c r="B71" t="s">
        <v>61</v>
      </c>
      <c r="C71" s="26">
        <v>47.476687999999996</v>
      </c>
      <c r="D71" s="18">
        <f t="shared" si="10"/>
        <v>0.52736000000000005</v>
      </c>
    </row>
    <row r="72" spans="1:4" x14ac:dyDescent="0.25">
      <c r="A72">
        <v>2038</v>
      </c>
      <c r="B72" t="s">
        <v>61</v>
      </c>
      <c r="C72" s="26">
        <v>43.450651999999998</v>
      </c>
      <c r="D72" s="18">
        <f t="shared" si="10"/>
        <v>0.56744000000000006</v>
      </c>
    </row>
    <row r="73" spans="1:4" x14ac:dyDescent="0.25">
      <c r="A73">
        <v>2039</v>
      </c>
      <c r="B73" t="s">
        <v>61</v>
      </c>
      <c r="C73" s="26">
        <v>39.233760999999994</v>
      </c>
      <c r="D73" s="18">
        <f t="shared" si="10"/>
        <v>0.60942000000000007</v>
      </c>
    </row>
    <row r="74" spans="1:4" x14ac:dyDescent="0.25">
      <c r="A74">
        <v>2040</v>
      </c>
      <c r="B74" t="s">
        <v>61</v>
      </c>
      <c r="C74" s="26">
        <v>34.826014999999991</v>
      </c>
      <c r="D74" s="18">
        <f t="shared" si="10"/>
        <v>0.65329999999999999</v>
      </c>
    </row>
    <row r="75" spans="1:4" x14ac:dyDescent="0.25">
      <c r="A75">
        <v>2041</v>
      </c>
      <c r="B75" t="s">
        <v>61</v>
      </c>
      <c r="C75" s="26">
        <v>30.227413999999985</v>
      </c>
      <c r="D75" s="18">
        <f t="shared" si="10"/>
        <v>0.69908000000000015</v>
      </c>
    </row>
    <row r="76" spans="1:4" x14ac:dyDescent="0.25">
      <c r="A76">
        <v>2042</v>
      </c>
      <c r="B76" t="s">
        <v>61</v>
      </c>
      <c r="C76" s="26">
        <v>25.437957999999991</v>
      </c>
      <c r="D76" s="18">
        <f t="shared" si="10"/>
        <v>0.74676000000000009</v>
      </c>
    </row>
    <row r="77" spans="1:4" x14ac:dyDescent="0.25">
      <c r="A77">
        <v>2043</v>
      </c>
      <c r="B77" t="s">
        <v>61</v>
      </c>
      <c r="C77" s="26">
        <v>20.457646999999994</v>
      </c>
      <c r="D77" s="18">
        <f t="shared" si="10"/>
        <v>0.79634000000000005</v>
      </c>
    </row>
    <row r="78" spans="1:4" x14ac:dyDescent="0.25">
      <c r="A78">
        <v>2044</v>
      </c>
      <c r="B78" t="s">
        <v>61</v>
      </c>
      <c r="C78" s="26">
        <v>15.286480999999998</v>
      </c>
      <c r="D78" s="18">
        <f t="shared" si="10"/>
        <v>0.84782000000000002</v>
      </c>
    </row>
    <row r="79" spans="1:4" x14ac:dyDescent="0.25">
      <c r="A79">
        <v>2045</v>
      </c>
      <c r="B79" t="s">
        <v>61</v>
      </c>
      <c r="C79" s="26">
        <v>9.9244599999999998</v>
      </c>
      <c r="D79" s="18">
        <f t="shared" si="10"/>
        <v>0.9012</v>
      </c>
    </row>
    <row r="80" spans="1:4" x14ac:dyDescent="0.25">
      <c r="A80">
        <v>2020</v>
      </c>
      <c r="B80" t="s">
        <v>67</v>
      </c>
      <c r="C80" s="26">
        <v>0</v>
      </c>
      <c r="D80" s="18">
        <f t="shared" si="10"/>
        <v>1</v>
      </c>
    </row>
    <row r="81" spans="4:4" x14ac:dyDescent="0.25">
      <c r="D81" s="18"/>
    </row>
    <row r="82" spans="4:4" x14ac:dyDescent="0.25">
      <c r="D82" s="18"/>
    </row>
    <row r="83" spans="4:4" x14ac:dyDescent="0.25">
      <c r="D83" s="18"/>
    </row>
    <row r="84" spans="4:4" x14ac:dyDescent="0.25">
      <c r="D84" s="18"/>
    </row>
    <row r="85" spans="4:4" x14ac:dyDescent="0.25">
      <c r="D85" s="18"/>
    </row>
    <row r="86" spans="4:4" x14ac:dyDescent="0.25">
      <c r="D86" s="18"/>
    </row>
    <row r="87" spans="4:4" x14ac:dyDescent="0.25">
      <c r="D87" s="18"/>
    </row>
    <row r="88" spans="4:4" x14ac:dyDescent="0.25">
      <c r="D88" s="18"/>
    </row>
    <row r="89" spans="4:4" x14ac:dyDescent="0.25">
      <c r="D89" s="18"/>
    </row>
    <row r="90" spans="4:4" x14ac:dyDescent="0.25">
      <c r="D90" s="18"/>
    </row>
    <row r="91" spans="4:4" x14ac:dyDescent="0.25">
      <c r="D91" s="18"/>
    </row>
    <row r="92" spans="4:4" x14ac:dyDescent="0.25">
      <c r="D92" s="18"/>
    </row>
    <row r="93" spans="4:4" x14ac:dyDescent="0.25">
      <c r="D93" s="18"/>
    </row>
    <row r="94" spans="4:4" x14ac:dyDescent="0.25">
      <c r="D94" s="18"/>
    </row>
    <row r="95" spans="4:4" x14ac:dyDescent="0.25">
      <c r="D95" s="18"/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35"/>
  <sheetViews>
    <sheetView workbookViewId="0">
      <selection activeCell="E30" sqref="E30"/>
    </sheetView>
  </sheetViews>
  <sheetFormatPr defaultRowHeight="15" x14ac:dyDescent="0.25"/>
  <cols>
    <col min="1" max="1" width="12.42578125" customWidth="1"/>
    <col min="2" max="2" width="13" customWidth="1"/>
    <col min="3" max="3" width="13.5703125" customWidth="1"/>
    <col min="4" max="4" width="18" customWidth="1"/>
    <col min="6" max="6" width="10.28515625" bestFit="1" customWidth="1"/>
    <col min="7" max="7" width="12.140625" bestFit="1" customWidth="1"/>
    <col min="8" max="8" width="12.140625" customWidth="1"/>
    <col min="9" max="9" width="23.5703125" bestFit="1" customWidth="1"/>
  </cols>
  <sheetData>
    <row r="1" spans="1:13" x14ac:dyDescent="0.25">
      <c r="A1" s="1" t="s">
        <v>0</v>
      </c>
      <c r="B1" s="1" t="s">
        <v>13</v>
      </c>
      <c r="C1" s="1" t="s">
        <v>23</v>
      </c>
      <c r="D1" s="1" t="s">
        <v>24</v>
      </c>
      <c r="E1" s="8"/>
      <c r="F1" s="8" t="s">
        <v>144</v>
      </c>
      <c r="G1" s="8" t="s">
        <v>145</v>
      </c>
      <c r="H1" s="20"/>
      <c r="I1" s="20" t="s">
        <v>138</v>
      </c>
      <c r="J1" s="21">
        <v>1600</v>
      </c>
      <c r="K1" t="s">
        <v>142</v>
      </c>
    </row>
    <row r="2" spans="1:13" x14ac:dyDescent="0.25">
      <c r="A2">
        <v>2022</v>
      </c>
      <c r="B2" t="s">
        <v>122</v>
      </c>
      <c r="C2" s="16">
        <f>IF(F2&lt;0,F2,0)</f>
        <v>0</v>
      </c>
      <c r="D2" s="4">
        <f>IF(F2&gt;=0,F2,0)</f>
        <v>10764000</v>
      </c>
      <c r="F2" s="4">
        <f>(INDEX('LCFS Benchmark'!C:C,MATCH(A2,'LCFS Benchmark'!A:A,0))-$J$3)*G2*$J$2</f>
        <v>10764000</v>
      </c>
      <c r="G2">
        <v>2400</v>
      </c>
      <c r="H2" t="s">
        <v>187</v>
      </c>
      <c r="I2" t="s">
        <v>146</v>
      </c>
      <c r="J2">
        <v>130</v>
      </c>
      <c r="K2" t="s">
        <v>139</v>
      </c>
    </row>
    <row r="3" spans="1:13" x14ac:dyDescent="0.25">
      <c r="A3">
        <v>2023</v>
      </c>
      <c r="B3" t="s">
        <v>122</v>
      </c>
      <c r="C3" s="16">
        <f t="shared" ref="C3:C25" si="0">IF(F3&lt;0,F3,0)</f>
        <v>0</v>
      </c>
      <c r="D3" s="4">
        <f t="shared" ref="D3:D25" si="1">IF(F3&gt;=0,F3,0)</f>
        <v>10374000</v>
      </c>
      <c r="F3" s="4">
        <f>(INDEX('LCFS Benchmark'!C:C,MATCH(A3,'LCFS Benchmark'!A:A,0))-$J$3)*G3*$J$2</f>
        <v>10374000</v>
      </c>
      <c r="G3">
        <v>2400</v>
      </c>
      <c r="H3" t="s">
        <v>187</v>
      </c>
      <c r="I3" t="s">
        <v>141</v>
      </c>
      <c r="J3">
        <v>55</v>
      </c>
      <c r="K3" t="s">
        <v>69</v>
      </c>
    </row>
    <row r="4" spans="1:13" x14ac:dyDescent="0.25">
      <c r="A4">
        <v>2025</v>
      </c>
      <c r="B4" t="s">
        <v>122</v>
      </c>
      <c r="C4" s="16">
        <f t="shared" si="0"/>
        <v>0</v>
      </c>
      <c r="D4" s="4">
        <f t="shared" si="1"/>
        <v>7568513.333333334</v>
      </c>
      <c r="F4" s="4">
        <f>(INDEX('LCFS Benchmark'!C:C,MATCH(A4,'LCFS Benchmark'!A:A,0))-$J$3)*G4*$J$2</f>
        <v>7568513.333333334</v>
      </c>
      <c r="G4">
        <v>2000</v>
      </c>
      <c r="H4" t="s">
        <v>187</v>
      </c>
      <c r="M4">
        <f>J1/20</f>
        <v>80</v>
      </c>
    </row>
    <row r="5" spans="1:13" x14ac:dyDescent="0.25">
      <c r="A5">
        <v>2026</v>
      </c>
      <c r="B5" t="s">
        <v>122</v>
      </c>
      <c r="C5" s="16">
        <f t="shared" si="0"/>
        <v>0</v>
      </c>
      <c r="D5" s="4">
        <f t="shared" si="1"/>
        <v>6378303.3600000003</v>
      </c>
      <c r="F5" s="4">
        <f>(INDEX('LCFS Benchmark'!C:C,MATCH(A5,'LCFS Benchmark'!A:A,0))-$J$3)*G5*$J$2</f>
        <v>6378303.3600000003</v>
      </c>
      <c r="G5">
        <f>G4-128</f>
        <v>1872</v>
      </c>
      <c r="H5" t="s">
        <v>187</v>
      </c>
      <c r="I5" t="s">
        <v>140</v>
      </c>
      <c r="J5" s="26">
        <f>'LCFS Benchmark'!C33</f>
        <v>84.963958333333352</v>
      </c>
      <c r="K5" s="29" t="s">
        <v>180</v>
      </c>
    </row>
    <row r="6" spans="1:13" x14ac:dyDescent="0.25">
      <c r="A6">
        <v>2027</v>
      </c>
      <c r="B6" t="s">
        <v>122</v>
      </c>
      <c r="C6" s="16">
        <f t="shared" si="0"/>
        <v>0</v>
      </c>
      <c r="D6" s="4">
        <f t="shared" si="1"/>
        <v>5284616.4800000032</v>
      </c>
      <c r="F6" s="4">
        <f>(INDEX('LCFS Benchmark'!C:C,MATCH(A6,'LCFS Benchmark'!A:A,0))-$J$3)*G6*$J$2</f>
        <v>5284616.4800000032</v>
      </c>
      <c r="G6">
        <f t="shared" ref="G6:G19" si="2">G5-128</f>
        <v>1744</v>
      </c>
      <c r="H6" t="s">
        <v>187</v>
      </c>
      <c r="I6" t="s">
        <v>188</v>
      </c>
      <c r="J6" s="4">
        <f>(J5-J3)*J1*J2</f>
        <v>6232503.3333333377</v>
      </c>
      <c r="K6" t="s">
        <v>143</v>
      </c>
    </row>
    <row r="7" spans="1:13" x14ac:dyDescent="0.25">
      <c r="A7">
        <v>2028</v>
      </c>
      <c r="B7" t="s">
        <v>122</v>
      </c>
      <c r="C7" s="16">
        <f t="shared" si="0"/>
        <v>0</v>
      </c>
      <c r="D7" s="4">
        <f t="shared" si="1"/>
        <v>4287452.6933333324</v>
      </c>
      <c r="F7" s="4">
        <f>(INDEX('LCFS Benchmark'!C:C,MATCH(A7,'LCFS Benchmark'!A:A,0))-$J$3)*G7*$J$2</f>
        <v>4287452.6933333324</v>
      </c>
      <c r="G7">
        <f t="shared" si="2"/>
        <v>1616</v>
      </c>
      <c r="H7" t="s">
        <v>187</v>
      </c>
    </row>
    <row r="8" spans="1:13" x14ac:dyDescent="0.25">
      <c r="A8">
        <v>2029</v>
      </c>
      <c r="B8" t="s">
        <v>122</v>
      </c>
      <c r="C8" s="16">
        <f t="shared" si="0"/>
        <v>0</v>
      </c>
      <c r="D8" s="4">
        <f t="shared" si="1"/>
        <v>3386812.0000000009</v>
      </c>
      <c r="F8" s="4">
        <f>(INDEX('LCFS Benchmark'!C:C,MATCH(A8,'LCFS Benchmark'!A:A,0))-$J$3)*G8*$J$2</f>
        <v>3386812.0000000009</v>
      </c>
      <c r="G8">
        <f t="shared" si="2"/>
        <v>1488</v>
      </c>
      <c r="H8" t="s">
        <v>187</v>
      </c>
      <c r="I8" t="s">
        <v>184</v>
      </c>
      <c r="J8">
        <v>-363</v>
      </c>
      <c r="K8" t="s">
        <v>69</v>
      </c>
    </row>
    <row r="9" spans="1:13" x14ac:dyDescent="0.25">
      <c r="A9">
        <v>2030</v>
      </c>
      <c r="B9" t="s">
        <v>122</v>
      </c>
      <c r="C9" s="16">
        <f t="shared" si="0"/>
        <v>0</v>
      </c>
      <c r="D9" s="4">
        <f t="shared" si="1"/>
        <v>2582694.399999998</v>
      </c>
      <c r="F9" s="4">
        <f>(INDEX('LCFS Benchmark'!C:C,MATCH(A9,'LCFS Benchmark'!A:A,0))-$J$3)*G9*$J$2</f>
        <v>2582694.399999998</v>
      </c>
      <c r="G9">
        <f t="shared" si="2"/>
        <v>1360</v>
      </c>
      <c r="H9" t="s">
        <v>187</v>
      </c>
      <c r="I9" t="s">
        <v>183</v>
      </c>
      <c r="J9">
        <f>3600000/1000000</f>
        <v>3.6</v>
      </c>
      <c r="K9" t="s">
        <v>186</v>
      </c>
    </row>
    <row r="10" spans="1:13" x14ac:dyDescent="0.25">
      <c r="A10">
        <v>2031</v>
      </c>
      <c r="B10" t="s">
        <v>122</v>
      </c>
      <c r="C10" s="16">
        <f t="shared" si="0"/>
        <v>0</v>
      </c>
      <c r="D10" s="4">
        <f t="shared" si="1"/>
        <v>1913110.6874879997</v>
      </c>
      <c r="F10" s="4">
        <f>(INDEX('LCFS Benchmark'!C:C,MATCH(A10,'LCFS Benchmark'!A:A,0))-$J$3)*G10*$J$2</f>
        <v>1913110.6874879997</v>
      </c>
      <c r="G10">
        <f t="shared" si="2"/>
        <v>1232</v>
      </c>
      <c r="H10" t="s">
        <v>187</v>
      </c>
      <c r="I10" t="s">
        <v>83</v>
      </c>
      <c r="J10">
        <v>3.4</v>
      </c>
    </row>
    <row r="11" spans="1:13" x14ac:dyDescent="0.25">
      <c r="A11">
        <v>2032</v>
      </c>
      <c r="B11" t="s">
        <v>122</v>
      </c>
      <c r="C11" s="16">
        <f t="shared" si="0"/>
        <v>0</v>
      </c>
      <c r="D11" s="4">
        <f t="shared" si="1"/>
        <v>1305035.6267519991</v>
      </c>
      <c r="F11" s="4">
        <f>(INDEX('LCFS Benchmark'!C:C,MATCH(A11,'LCFS Benchmark'!A:A,0))-$J$3)*G11*$J$2</f>
        <v>1305035.6267519991</v>
      </c>
      <c r="G11">
        <f t="shared" si="2"/>
        <v>1104</v>
      </c>
      <c r="H11" t="s">
        <v>187</v>
      </c>
    </row>
    <row r="12" spans="1:13" x14ac:dyDescent="0.25">
      <c r="A12">
        <v>2033</v>
      </c>
      <c r="B12" t="s">
        <v>122</v>
      </c>
      <c r="C12" s="16">
        <f t="shared" si="0"/>
        <v>0</v>
      </c>
      <c r="D12" s="4">
        <f t="shared" si="1"/>
        <v>767900.90291200078</v>
      </c>
      <c r="F12" s="4">
        <f>(INDEX('LCFS Benchmark'!C:C,MATCH(A12,'LCFS Benchmark'!A:A,0))-$J$3)*G12*$J$2</f>
        <v>767900.90291200078</v>
      </c>
      <c r="G12">
        <f t="shared" si="2"/>
        <v>976</v>
      </c>
      <c r="H12" t="s">
        <v>187</v>
      </c>
    </row>
    <row r="13" spans="1:13" x14ac:dyDescent="0.25">
      <c r="A13">
        <v>2034</v>
      </c>
      <c r="B13" t="s">
        <v>122</v>
      </c>
      <c r="C13" s="16">
        <f t="shared" si="0"/>
        <v>0</v>
      </c>
      <c r="D13" s="4">
        <f t="shared" si="1"/>
        <v>311138.20108799991</v>
      </c>
      <c r="F13" s="4">
        <f>(INDEX('LCFS Benchmark'!C:C,MATCH(A13,'LCFS Benchmark'!A:A,0))-$J$3)*G13*$J$2</f>
        <v>311138.20108799991</v>
      </c>
      <c r="G13">
        <f t="shared" si="2"/>
        <v>848</v>
      </c>
      <c r="H13" t="s">
        <v>187</v>
      </c>
    </row>
    <row r="14" spans="1:13" x14ac:dyDescent="0.25">
      <c r="A14">
        <v>2035</v>
      </c>
      <c r="B14" t="s">
        <v>122</v>
      </c>
      <c r="C14" s="16">
        <f t="shared" si="0"/>
        <v>-55820.793600000601</v>
      </c>
      <c r="D14" s="4">
        <f t="shared" si="1"/>
        <v>0</v>
      </c>
      <c r="F14" s="4">
        <f>(INDEX('LCFS Benchmark'!C:C,MATCH(A14,'LCFS Benchmark'!A:A,0))-$J$3)*G14*$J$2</f>
        <v>-55820.793600000601</v>
      </c>
      <c r="G14">
        <f t="shared" si="2"/>
        <v>720</v>
      </c>
      <c r="H14" t="s">
        <v>187</v>
      </c>
    </row>
    <row r="15" spans="1:13" x14ac:dyDescent="0.25">
      <c r="A15">
        <v>2036</v>
      </c>
      <c r="B15" t="s">
        <v>122</v>
      </c>
      <c r="C15" s="16">
        <f t="shared" si="0"/>
        <v>-323544.39603199967</v>
      </c>
      <c r="D15" s="4">
        <f t="shared" si="1"/>
        <v>0</v>
      </c>
      <c r="F15" s="4">
        <f>(INDEX('LCFS Benchmark'!C:C,MATCH(A15,'LCFS Benchmark'!A:A,0))-$J$3)*G15*$J$2</f>
        <v>-323544.39603199967</v>
      </c>
      <c r="G15">
        <f t="shared" si="2"/>
        <v>592</v>
      </c>
      <c r="H15" t="s">
        <v>187</v>
      </c>
    </row>
    <row r="16" spans="1:13" x14ac:dyDescent="0.25">
      <c r="A16">
        <v>2037</v>
      </c>
      <c r="B16" t="s">
        <v>122</v>
      </c>
      <c r="C16" s="16">
        <f t="shared" si="0"/>
        <v>-482600.92108800029</v>
      </c>
      <c r="D16" s="4">
        <f t="shared" si="1"/>
        <v>0</v>
      </c>
      <c r="F16" s="4">
        <f>(INDEX('LCFS Benchmark'!C:C,MATCH(A16,'LCFS Benchmark'!A:A,0))-$J$3)*G16*$J$2</f>
        <v>-482600.92108800029</v>
      </c>
      <c r="G16">
        <f t="shared" si="2"/>
        <v>464</v>
      </c>
      <c r="H16" t="s">
        <v>187</v>
      </c>
      <c r="J16" s="4"/>
    </row>
    <row r="17" spans="1:10" x14ac:dyDescent="0.25">
      <c r="A17">
        <v>2038</v>
      </c>
      <c r="B17" t="s">
        <v>122</v>
      </c>
      <c r="C17" s="16">
        <f t="shared" si="0"/>
        <v>-523558.68364800024</v>
      </c>
      <c r="D17" s="4">
        <f t="shared" si="1"/>
        <v>0</v>
      </c>
      <c r="F17" s="4">
        <f>(INDEX('LCFS Benchmark'!C:C,MATCH(A17,'LCFS Benchmark'!A:A,0))-$J$3)*G17*$J$2</f>
        <v>-523558.68364800024</v>
      </c>
      <c r="G17">
        <f t="shared" si="2"/>
        <v>336</v>
      </c>
      <c r="H17" t="s">
        <v>187</v>
      </c>
    </row>
    <row r="18" spans="1:10" x14ac:dyDescent="0.25">
      <c r="A18">
        <v>2039</v>
      </c>
      <c r="B18" t="s">
        <v>122</v>
      </c>
      <c r="C18" s="16">
        <f t="shared" si="0"/>
        <v>-436985.99859200034</v>
      </c>
      <c r="D18" s="4">
        <f t="shared" si="1"/>
        <v>0</v>
      </c>
      <c r="F18" s="4">
        <f>(INDEX('LCFS Benchmark'!C:C,MATCH(A18,'LCFS Benchmark'!A:A,0))-$J$3)*G18*$J$2</f>
        <v>-436985.99859200034</v>
      </c>
      <c r="G18">
        <f t="shared" si="2"/>
        <v>208</v>
      </c>
      <c r="H18" t="s">
        <v>187</v>
      </c>
    </row>
    <row r="19" spans="1:10" x14ac:dyDescent="0.25">
      <c r="A19">
        <v>2040</v>
      </c>
      <c r="B19" t="s">
        <v>122</v>
      </c>
      <c r="C19" s="16">
        <f t="shared" si="0"/>
        <v>-213451.18080000009</v>
      </c>
      <c r="D19" s="4">
        <f t="shared" si="1"/>
        <v>0</v>
      </c>
      <c r="F19" s="4">
        <f>(INDEX('LCFS Benchmark'!C:C,MATCH(A19,'LCFS Benchmark'!A:A,0))-$J$3)*G19*$J$2</f>
        <v>-213451.18080000009</v>
      </c>
      <c r="G19">
        <f t="shared" si="2"/>
        <v>80</v>
      </c>
      <c r="H19" t="s">
        <v>187</v>
      </c>
    </row>
    <row r="20" spans="1:10" x14ac:dyDescent="0.25">
      <c r="A20">
        <v>2041</v>
      </c>
      <c r="B20" t="s">
        <v>122</v>
      </c>
      <c r="C20" s="16">
        <f t="shared" si="0"/>
        <v>-260795.75808000015</v>
      </c>
      <c r="D20" s="4">
        <f t="shared" si="1"/>
        <v>0</v>
      </c>
      <c r="F20" s="4">
        <f>(INDEX('LCFS Benchmark'!C:C,MATCH(A20,'LCFS Benchmark'!A:A,0))-$J$3)*G20*$J$2</f>
        <v>-260795.75808000015</v>
      </c>
      <c r="G20">
        <v>80</v>
      </c>
      <c r="H20" t="s">
        <v>187</v>
      </c>
    </row>
    <row r="21" spans="1:10" x14ac:dyDescent="0.25">
      <c r="A21">
        <v>2042</v>
      </c>
      <c r="B21" t="s">
        <v>122</v>
      </c>
      <c r="C21" s="16">
        <f t="shared" si="0"/>
        <v>-310105.26976000011</v>
      </c>
      <c r="D21" s="4">
        <f t="shared" si="1"/>
        <v>0</v>
      </c>
      <c r="F21" s="4">
        <f>(INDEX('LCFS Benchmark'!C:C,MATCH(A21,'LCFS Benchmark'!A:A,0))-$J$3)*G21*$J$2</f>
        <v>-310105.26976000011</v>
      </c>
      <c r="G21">
        <v>80</v>
      </c>
      <c r="H21" t="s">
        <v>187</v>
      </c>
    </row>
    <row r="22" spans="1:10" x14ac:dyDescent="0.25">
      <c r="A22">
        <v>2043</v>
      </c>
      <c r="B22" t="s">
        <v>122</v>
      </c>
      <c r="C22" s="16">
        <f t="shared" si="0"/>
        <v>-361379.71584000002</v>
      </c>
      <c r="D22" s="4">
        <f t="shared" si="1"/>
        <v>0</v>
      </c>
      <c r="F22" s="4">
        <f>(INDEX('LCFS Benchmark'!C:C,MATCH(A22,'LCFS Benchmark'!A:A,0))-$J$3)*G22*$J$2</f>
        <v>-361379.71584000002</v>
      </c>
      <c r="G22">
        <v>80</v>
      </c>
      <c r="H22" t="s">
        <v>187</v>
      </c>
    </row>
    <row r="23" spans="1:10" x14ac:dyDescent="0.25">
      <c r="A23">
        <v>2044</v>
      </c>
      <c r="B23" t="s">
        <v>122</v>
      </c>
      <c r="C23" s="16">
        <f t="shared" si="0"/>
        <v>-414619.09631999995</v>
      </c>
      <c r="D23" s="4">
        <f t="shared" si="1"/>
        <v>0</v>
      </c>
      <c r="F23" s="4">
        <f>(INDEX('LCFS Benchmark'!C:C,MATCH(A23,'LCFS Benchmark'!A:A,0))-$J$3)*G23*$J$2</f>
        <v>-414619.09631999995</v>
      </c>
      <c r="G23">
        <v>80</v>
      </c>
      <c r="H23" t="s">
        <v>187</v>
      </c>
    </row>
    <row r="24" spans="1:10" x14ac:dyDescent="0.25">
      <c r="A24">
        <v>2045</v>
      </c>
      <c r="B24" t="s">
        <v>122</v>
      </c>
      <c r="C24" s="16">
        <f t="shared" si="0"/>
        <v>-469823.41120000003</v>
      </c>
      <c r="D24" s="4">
        <f t="shared" si="1"/>
        <v>0</v>
      </c>
      <c r="F24" s="4">
        <f>(INDEX('LCFS Benchmark'!C:C,MATCH(A24,'LCFS Benchmark'!A:A,0))-$J$3)*G24*$J$2</f>
        <v>-469823.41120000003</v>
      </c>
      <c r="G24">
        <v>80</v>
      </c>
      <c r="H24" t="s">
        <v>187</v>
      </c>
    </row>
    <row r="25" spans="1:10" x14ac:dyDescent="0.25">
      <c r="A25">
        <v>2046</v>
      </c>
      <c r="B25" t="s">
        <v>122</v>
      </c>
      <c r="C25" s="16">
        <f t="shared" si="0"/>
        <v>-469823.41120000003</v>
      </c>
      <c r="D25" s="4">
        <f t="shared" si="1"/>
        <v>0</v>
      </c>
      <c r="F25" s="4">
        <f>(INDEX('LCFS Benchmark'!C:C,MATCH(2045,'LCFS Benchmark'!A:A,0))-$J$3)*G25*$J$2</f>
        <v>-469823.41120000003</v>
      </c>
      <c r="G25">
        <v>80</v>
      </c>
      <c r="H25" t="s">
        <v>187</v>
      </c>
    </row>
    <row r="26" spans="1:10" x14ac:dyDescent="0.25">
      <c r="A26">
        <v>2030</v>
      </c>
      <c r="B26" t="s">
        <v>183</v>
      </c>
      <c r="C26" s="16">
        <v>0</v>
      </c>
      <c r="D26" s="4">
        <f t="shared" ref="D26:D30" si="3">F26</f>
        <v>3695868.8870399999</v>
      </c>
      <c r="F26" s="4">
        <f>(INDEX('LCFS Benchmark'!C:C,MATCH(A26,'LCFS Benchmark'!A:A,0))-$J$8/$J$10)*G26*$J$9*$J$10</f>
        <v>3695868.8870399999</v>
      </c>
      <c r="G26">
        <v>1712</v>
      </c>
      <c r="H26" t="s">
        <v>108</v>
      </c>
      <c r="I26" s="29" t="s">
        <v>211</v>
      </c>
      <c r="J26" s="35"/>
    </row>
    <row r="27" spans="1:10" x14ac:dyDescent="0.25">
      <c r="A27">
        <v>2031</v>
      </c>
      <c r="B27" t="s">
        <v>183</v>
      </c>
      <c r="C27" s="16">
        <v>0</v>
      </c>
      <c r="D27" s="4">
        <f t="shared" si="3"/>
        <v>3640065.9745443841</v>
      </c>
      <c r="F27" s="4">
        <f>(INDEX('LCFS Benchmark'!C:C,MATCH(A27,'LCFS Benchmark'!A:A,0))-$J$8/$J$10)*G27*$J$9*$J$10</f>
        <v>3640065.9745443841</v>
      </c>
      <c r="G27">
        <v>1712</v>
      </c>
      <c r="H27" t="s">
        <v>108</v>
      </c>
      <c r="J27" s="35"/>
    </row>
    <row r="28" spans="1:10" x14ac:dyDescent="0.25">
      <c r="A28">
        <v>2032</v>
      </c>
      <c r="B28" t="s">
        <v>183</v>
      </c>
      <c r="C28" s="16">
        <v>0</v>
      </c>
      <c r="D28" s="4">
        <f t="shared" si="3"/>
        <v>3580303.9308410878</v>
      </c>
      <c r="F28" s="4">
        <f>(INDEX('LCFS Benchmark'!C:C,MATCH(A28,'LCFS Benchmark'!A:A,0))-$J$8/$J$10)*G28*$J$9*$J$10</f>
        <v>3580303.9308410878</v>
      </c>
      <c r="G28">
        <v>1712</v>
      </c>
      <c r="H28" t="s">
        <v>108</v>
      </c>
      <c r="J28" s="35"/>
    </row>
    <row r="29" spans="1:10" x14ac:dyDescent="0.25">
      <c r="A29">
        <v>2033</v>
      </c>
      <c r="B29" t="s">
        <v>183</v>
      </c>
      <c r="C29" s="16">
        <v>0</v>
      </c>
      <c r="D29" s="4">
        <f t="shared" si="3"/>
        <v>3516582.7559301122</v>
      </c>
      <c r="F29" s="4">
        <f>(INDEX('LCFS Benchmark'!C:C,MATCH(A29,'LCFS Benchmark'!A:A,0))-$J$8/$J$10)*G29*$J$9*$J$10</f>
        <v>3516582.7559301122</v>
      </c>
      <c r="G29">
        <v>1712</v>
      </c>
      <c r="H29" t="s">
        <v>108</v>
      </c>
      <c r="J29" s="35"/>
    </row>
    <row r="30" spans="1:10" x14ac:dyDescent="0.25">
      <c r="A30">
        <v>2034</v>
      </c>
      <c r="B30" t="s">
        <v>183</v>
      </c>
      <c r="C30" s="16">
        <v>0</v>
      </c>
      <c r="D30" s="4">
        <f t="shared" si="3"/>
        <v>3448902.4498114567</v>
      </c>
      <c r="F30" s="4">
        <f>(INDEX('LCFS Benchmark'!C:C,MATCH(A30,'LCFS Benchmark'!A:A,0))-$J$8/$J$10)*G30*$J$9*$J$10</f>
        <v>3448902.4498114567</v>
      </c>
      <c r="G30">
        <v>1712</v>
      </c>
      <c r="H30" t="s">
        <v>108</v>
      </c>
      <c r="J30" s="35"/>
    </row>
    <row r="31" spans="1:10" x14ac:dyDescent="0.25">
      <c r="A31">
        <v>2035</v>
      </c>
      <c r="B31" t="s">
        <v>183</v>
      </c>
      <c r="C31" s="16">
        <v>0</v>
      </c>
      <c r="D31" s="4">
        <f t="shared" ref="D31:D35" si="4">F31</f>
        <v>3377263.01248512</v>
      </c>
      <c r="F31" s="4">
        <f>(INDEX('LCFS Benchmark'!C:C,MATCH(A31,'LCFS Benchmark'!A:A,0))-$J$8/$J$10)*G31*$J$9*$J$10</f>
        <v>3377263.01248512</v>
      </c>
      <c r="G31">
        <v>1712</v>
      </c>
      <c r="H31" t="s">
        <v>108</v>
      </c>
    </row>
    <row r="32" spans="1:10" x14ac:dyDescent="0.25">
      <c r="A32">
        <v>2036</v>
      </c>
      <c r="B32" t="s">
        <v>183</v>
      </c>
      <c r="C32" s="16">
        <v>0</v>
      </c>
      <c r="D32" s="4">
        <f t="shared" si="4"/>
        <v>3301664.4439511038</v>
      </c>
      <c r="F32" s="4">
        <f>(INDEX('LCFS Benchmark'!C:C,MATCH(A32,'LCFS Benchmark'!A:A,0))-$J$8/$J$10)*G32*$J$9*$J$10</f>
        <v>3301664.4439511038</v>
      </c>
      <c r="G32">
        <v>1712</v>
      </c>
      <c r="H32" t="s">
        <v>108</v>
      </c>
    </row>
    <row r="33" spans="1:8" x14ac:dyDescent="0.25">
      <c r="A33">
        <v>2037</v>
      </c>
      <c r="B33" t="s">
        <v>183</v>
      </c>
      <c r="C33" s="16">
        <v>0</v>
      </c>
      <c r="D33" s="4">
        <f t="shared" si="4"/>
        <v>3222106.7442094078</v>
      </c>
      <c r="F33" s="4">
        <f>(INDEX('LCFS Benchmark'!C:C,MATCH(A33,'LCFS Benchmark'!A:A,0))-$J$8/$J$10)*G33*$J$9*$J$10</f>
        <v>3222106.7442094078</v>
      </c>
      <c r="G33">
        <v>1712</v>
      </c>
      <c r="H33" t="s">
        <v>108</v>
      </c>
    </row>
    <row r="34" spans="1:8" x14ac:dyDescent="0.25">
      <c r="A34">
        <v>2038</v>
      </c>
      <c r="B34" t="s">
        <v>183</v>
      </c>
      <c r="C34" s="16">
        <v>0</v>
      </c>
      <c r="D34" s="4">
        <f t="shared" si="4"/>
        <v>3138589.913260032</v>
      </c>
      <c r="F34" s="4">
        <f>(INDEX('LCFS Benchmark'!C:C,MATCH(A34,'LCFS Benchmark'!A:A,0))-$J$8/$J$10)*G34*$J$9*$J$10</f>
        <v>3138589.913260032</v>
      </c>
      <c r="G34">
        <v>1712</v>
      </c>
      <c r="H34" t="s">
        <v>108</v>
      </c>
    </row>
    <row r="35" spans="1:8" x14ac:dyDescent="0.25">
      <c r="A35">
        <v>2039</v>
      </c>
      <c r="B35" t="s">
        <v>183</v>
      </c>
      <c r="C35" s="16">
        <v>0</v>
      </c>
      <c r="D35" s="4">
        <f t="shared" si="4"/>
        <v>3051113.9511029758</v>
      </c>
      <c r="F35" s="4">
        <f>(INDEX('LCFS Benchmark'!C:C,MATCH(A35,'LCFS Benchmark'!A:A,0))-$J$8/$J$10)*G35*$J$9*$J$10</f>
        <v>3051113.9511029758</v>
      </c>
      <c r="G35">
        <v>1712</v>
      </c>
      <c r="H35" t="s">
        <v>108</v>
      </c>
    </row>
  </sheetData>
  <phoneticPr fontId="5" type="noConversion"/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63"/>
  <sheetViews>
    <sheetView workbookViewId="0">
      <selection activeCell="F19" sqref="F19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6.140625" customWidth="1"/>
    <col min="4" max="4" width="23.85546875" bestFit="1" customWidth="1"/>
    <col min="5" max="5" width="24.140625" bestFit="1" customWidth="1"/>
    <col min="6" max="6" width="19.7109375" bestFit="1" customWidth="1"/>
  </cols>
  <sheetData>
    <row r="1" spans="1:14" x14ac:dyDescent="0.25">
      <c r="A1" s="1" t="s">
        <v>0</v>
      </c>
      <c r="B1" s="1" t="s">
        <v>26</v>
      </c>
      <c r="C1" s="1" t="s">
        <v>1</v>
      </c>
      <c r="D1" s="1" t="s">
        <v>27</v>
      </c>
      <c r="E1" s="1" t="s">
        <v>28</v>
      </c>
      <c r="F1" s="8" t="s">
        <v>76</v>
      </c>
    </row>
    <row r="2" spans="1:14" x14ac:dyDescent="0.25">
      <c r="A2">
        <v>2020</v>
      </c>
      <c r="B2" t="s">
        <v>74</v>
      </c>
      <c r="C2" t="s">
        <v>31</v>
      </c>
      <c r="D2">
        <v>6.3299999999999995E-2</v>
      </c>
      <c r="E2">
        <v>7.0400000000000004E-2</v>
      </c>
      <c r="F2" t="s">
        <v>77</v>
      </c>
      <c r="J2" s="7"/>
      <c r="K2" s="7"/>
    </row>
    <row r="3" spans="1:14" x14ac:dyDescent="0.25">
      <c r="A3">
        <v>2021</v>
      </c>
      <c r="B3" t="s">
        <v>74</v>
      </c>
      <c r="C3" t="s">
        <v>31</v>
      </c>
      <c r="D3">
        <v>6.3299999999999995E-2</v>
      </c>
      <c r="E3">
        <v>7.0400000000000004E-2</v>
      </c>
      <c r="M3" s="7"/>
    </row>
    <row r="4" spans="1:14" x14ac:dyDescent="0.25">
      <c r="A4">
        <v>2022</v>
      </c>
      <c r="B4" t="s">
        <v>74</v>
      </c>
      <c r="C4" t="s">
        <v>31</v>
      </c>
      <c r="D4">
        <v>6.3299999999999995E-2</v>
      </c>
      <c r="E4">
        <v>7.0400000000000004E-2</v>
      </c>
    </row>
    <row r="5" spans="1:14" x14ac:dyDescent="0.25">
      <c r="A5">
        <v>2023</v>
      </c>
      <c r="B5" t="s">
        <v>74</v>
      </c>
      <c r="C5" t="s">
        <v>31</v>
      </c>
      <c r="D5">
        <v>6.3299999999999995E-2</v>
      </c>
      <c r="E5">
        <v>7.0400000000000004E-2</v>
      </c>
    </row>
    <row r="6" spans="1:14" x14ac:dyDescent="0.25">
      <c r="A6">
        <v>2024</v>
      </c>
      <c r="B6" t="s">
        <v>74</v>
      </c>
      <c r="C6" t="s">
        <v>31</v>
      </c>
      <c r="D6">
        <v>6.3299999999999995E-2</v>
      </c>
      <c r="E6">
        <v>7.0400000000000004E-2</v>
      </c>
    </row>
    <row r="7" spans="1:14" x14ac:dyDescent="0.25">
      <c r="A7">
        <v>2025</v>
      </c>
      <c r="B7" t="s">
        <v>74</v>
      </c>
      <c r="C7" t="s">
        <v>31</v>
      </c>
      <c r="D7">
        <f>D6*0.6</f>
        <v>3.7979999999999993E-2</v>
      </c>
      <c r="E7">
        <v>7.0400000000000004E-2</v>
      </c>
    </row>
    <row r="8" spans="1:14" x14ac:dyDescent="0.25">
      <c r="A8">
        <v>2026</v>
      </c>
      <c r="B8" t="s">
        <v>74</v>
      </c>
      <c r="C8" t="s">
        <v>31</v>
      </c>
      <c r="D8">
        <f t="shared" ref="D8:D12" si="0">D7*0.6</f>
        <v>2.2787999999999996E-2</v>
      </c>
      <c r="E8">
        <v>7.0400000000000004E-2</v>
      </c>
    </row>
    <row r="9" spans="1:14" x14ac:dyDescent="0.25">
      <c r="A9">
        <v>2027</v>
      </c>
      <c r="B9" t="s">
        <v>74</v>
      </c>
      <c r="C9" t="s">
        <v>31</v>
      </c>
      <c r="D9">
        <f t="shared" si="0"/>
        <v>1.3672799999999997E-2</v>
      </c>
      <c r="E9">
        <v>7.0400000000000004E-2</v>
      </c>
    </row>
    <row r="10" spans="1:14" x14ac:dyDescent="0.25">
      <c r="A10">
        <v>2028</v>
      </c>
      <c r="B10" t="s">
        <v>74</v>
      </c>
      <c r="C10" t="s">
        <v>31</v>
      </c>
      <c r="D10">
        <v>0</v>
      </c>
      <c r="E10">
        <v>7.0400000000000004E-2</v>
      </c>
    </row>
    <row r="11" spans="1:14" x14ac:dyDescent="0.25">
      <c r="A11">
        <v>2029</v>
      </c>
      <c r="B11" t="s">
        <v>74</v>
      </c>
      <c r="C11" t="s">
        <v>31</v>
      </c>
      <c r="D11">
        <f t="shared" si="0"/>
        <v>0</v>
      </c>
      <c r="E11">
        <v>7.0400000000000004E-2</v>
      </c>
    </row>
    <row r="12" spans="1:14" x14ac:dyDescent="0.25">
      <c r="A12">
        <v>2030</v>
      </c>
      <c r="B12" t="s">
        <v>74</v>
      </c>
      <c r="C12" t="s">
        <v>31</v>
      </c>
      <c r="D12">
        <f t="shared" si="0"/>
        <v>0</v>
      </c>
      <c r="E12">
        <v>7.0400000000000004E-2</v>
      </c>
    </row>
    <row r="13" spans="1:14" x14ac:dyDescent="0.25">
      <c r="A13">
        <v>2031</v>
      </c>
      <c r="B13" t="s">
        <v>74</v>
      </c>
      <c r="C13" t="s">
        <v>31</v>
      </c>
      <c r="D13">
        <f t="shared" ref="D13:D32" si="1">D12*0.9</f>
        <v>0</v>
      </c>
      <c r="E13">
        <v>7.0400000000000004E-2</v>
      </c>
    </row>
    <row r="14" spans="1:14" x14ac:dyDescent="0.25">
      <c r="A14">
        <v>2032</v>
      </c>
      <c r="B14" t="s">
        <v>74</v>
      </c>
      <c r="C14" t="s">
        <v>31</v>
      </c>
      <c r="D14">
        <f t="shared" si="1"/>
        <v>0</v>
      </c>
      <c r="E14">
        <v>7.0400000000000004E-2</v>
      </c>
      <c r="N14" s="7"/>
    </row>
    <row r="15" spans="1:14" x14ac:dyDescent="0.25">
      <c r="A15">
        <v>2033</v>
      </c>
      <c r="B15" t="s">
        <v>74</v>
      </c>
      <c r="C15" t="s">
        <v>31</v>
      </c>
      <c r="D15">
        <f t="shared" si="1"/>
        <v>0</v>
      </c>
      <c r="E15">
        <v>7.0400000000000004E-2</v>
      </c>
      <c r="K15" s="7"/>
      <c r="N15" s="7"/>
    </row>
    <row r="16" spans="1:14" x14ac:dyDescent="0.25">
      <c r="A16">
        <v>2034</v>
      </c>
      <c r="B16" t="s">
        <v>74</v>
      </c>
      <c r="C16" t="s">
        <v>31</v>
      </c>
      <c r="D16">
        <f t="shared" si="1"/>
        <v>0</v>
      </c>
      <c r="E16">
        <v>7.0400000000000004E-2</v>
      </c>
    </row>
    <row r="17" spans="1:5" x14ac:dyDescent="0.25">
      <c r="A17">
        <v>2035</v>
      </c>
      <c r="B17" t="s">
        <v>74</v>
      </c>
      <c r="C17" t="s">
        <v>31</v>
      </c>
      <c r="D17">
        <f t="shared" si="1"/>
        <v>0</v>
      </c>
      <c r="E17">
        <v>7.0400000000000004E-2</v>
      </c>
    </row>
    <row r="18" spans="1:5" x14ac:dyDescent="0.25">
      <c r="A18">
        <v>2036</v>
      </c>
      <c r="B18" t="s">
        <v>74</v>
      </c>
      <c r="C18" t="s">
        <v>31</v>
      </c>
      <c r="D18">
        <f t="shared" si="1"/>
        <v>0</v>
      </c>
      <c r="E18">
        <v>7.0400000000000004E-2</v>
      </c>
    </row>
    <row r="19" spans="1:5" x14ac:dyDescent="0.25">
      <c r="A19">
        <v>2037</v>
      </c>
      <c r="B19" t="s">
        <v>74</v>
      </c>
      <c r="C19" t="s">
        <v>31</v>
      </c>
      <c r="D19">
        <f t="shared" si="1"/>
        <v>0</v>
      </c>
      <c r="E19">
        <v>7.0400000000000004E-2</v>
      </c>
    </row>
    <row r="20" spans="1:5" x14ac:dyDescent="0.25">
      <c r="A20">
        <v>2038</v>
      </c>
      <c r="B20" t="s">
        <v>74</v>
      </c>
      <c r="C20" t="s">
        <v>31</v>
      </c>
      <c r="D20">
        <f t="shared" si="1"/>
        <v>0</v>
      </c>
      <c r="E20">
        <v>7.0400000000000004E-2</v>
      </c>
    </row>
    <row r="21" spans="1:5" x14ac:dyDescent="0.25">
      <c r="A21">
        <v>2039</v>
      </c>
      <c r="B21" t="s">
        <v>74</v>
      </c>
      <c r="C21" t="s">
        <v>31</v>
      </c>
      <c r="D21">
        <f t="shared" si="1"/>
        <v>0</v>
      </c>
      <c r="E21">
        <v>7.0400000000000004E-2</v>
      </c>
    </row>
    <row r="22" spans="1:5" x14ac:dyDescent="0.25">
      <c r="A22">
        <v>2040</v>
      </c>
      <c r="B22" t="s">
        <v>74</v>
      </c>
      <c r="C22" t="s">
        <v>31</v>
      </c>
      <c r="D22">
        <f t="shared" si="1"/>
        <v>0</v>
      </c>
      <c r="E22">
        <v>7.0400000000000004E-2</v>
      </c>
    </row>
    <row r="23" spans="1:5" x14ac:dyDescent="0.25">
      <c r="A23">
        <v>2041</v>
      </c>
      <c r="B23" t="s">
        <v>74</v>
      </c>
      <c r="C23" t="s">
        <v>31</v>
      </c>
      <c r="D23">
        <f t="shared" si="1"/>
        <v>0</v>
      </c>
      <c r="E23">
        <v>7.0400000000000004E-2</v>
      </c>
    </row>
    <row r="24" spans="1:5" x14ac:dyDescent="0.25">
      <c r="A24">
        <v>2042</v>
      </c>
      <c r="B24" t="s">
        <v>74</v>
      </c>
      <c r="C24" t="s">
        <v>31</v>
      </c>
      <c r="D24">
        <f t="shared" si="1"/>
        <v>0</v>
      </c>
      <c r="E24">
        <v>7.0400000000000004E-2</v>
      </c>
    </row>
    <row r="25" spans="1:5" x14ac:dyDescent="0.25">
      <c r="A25">
        <v>2043</v>
      </c>
      <c r="B25" t="s">
        <v>74</v>
      </c>
      <c r="C25" t="s">
        <v>31</v>
      </c>
      <c r="D25">
        <f t="shared" si="1"/>
        <v>0</v>
      </c>
      <c r="E25">
        <v>7.0400000000000004E-2</v>
      </c>
    </row>
    <row r="26" spans="1:5" x14ac:dyDescent="0.25">
      <c r="A26">
        <v>2044</v>
      </c>
      <c r="B26" t="s">
        <v>74</v>
      </c>
      <c r="C26" t="s">
        <v>31</v>
      </c>
      <c r="D26">
        <f t="shared" si="1"/>
        <v>0</v>
      </c>
      <c r="E26">
        <v>7.0400000000000004E-2</v>
      </c>
    </row>
    <row r="27" spans="1:5" x14ac:dyDescent="0.25">
      <c r="A27">
        <v>2045</v>
      </c>
      <c r="B27" t="s">
        <v>74</v>
      </c>
      <c r="C27" t="s">
        <v>31</v>
      </c>
      <c r="D27">
        <f t="shared" si="1"/>
        <v>0</v>
      </c>
      <c r="E27">
        <v>7.0400000000000004E-2</v>
      </c>
    </row>
    <row r="28" spans="1:5" x14ac:dyDescent="0.25">
      <c r="A28">
        <v>2046</v>
      </c>
      <c r="B28" t="s">
        <v>74</v>
      </c>
      <c r="C28" t="s">
        <v>31</v>
      </c>
      <c r="D28">
        <f t="shared" si="1"/>
        <v>0</v>
      </c>
      <c r="E28">
        <v>7.0400000000000004E-2</v>
      </c>
    </row>
    <row r="29" spans="1:5" x14ac:dyDescent="0.25">
      <c r="A29">
        <v>2047</v>
      </c>
      <c r="B29" t="s">
        <v>74</v>
      </c>
      <c r="C29" t="s">
        <v>31</v>
      </c>
      <c r="D29">
        <f t="shared" si="1"/>
        <v>0</v>
      </c>
      <c r="E29">
        <v>7.0400000000000004E-2</v>
      </c>
    </row>
    <row r="30" spans="1:5" x14ac:dyDescent="0.25">
      <c r="A30">
        <v>2048</v>
      </c>
      <c r="B30" t="s">
        <v>74</v>
      </c>
      <c r="C30" t="s">
        <v>31</v>
      </c>
      <c r="D30">
        <f t="shared" si="1"/>
        <v>0</v>
      </c>
      <c r="E30">
        <v>7.0400000000000004E-2</v>
      </c>
    </row>
    <row r="31" spans="1:5" x14ac:dyDescent="0.25">
      <c r="A31">
        <v>2049</v>
      </c>
      <c r="B31" t="s">
        <v>74</v>
      </c>
      <c r="C31" t="s">
        <v>31</v>
      </c>
      <c r="D31">
        <f t="shared" si="1"/>
        <v>0</v>
      </c>
      <c r="E31">
        <v>7.0400000000000004E-2</v>
      </c>
    </row>
    <row r="32" spans="1:5" x14ac:dyDescent="0.25">
      <c r="A32">
        <v>2050</v>
      </c>
      <c r="B32" t="s">
        <v>74</v>
      </c>
      <c r="C32" t="s">
        <v>31</v>
      </c>
      <c r="D32">
        <f t="shared" si="1"/>
        <v>0</v>
      </c>
      <c r="E32">
        <v>7.0400000000000004E-2</v>
      </c>
    </row>
    <row r="33" spans="1:6" x14ac:dyDescent="0.25">
      <c r="A33">
        <v>2020</v>
      </c>
      <c r="B33" t="s">
        <v>75</v>
      </c>
      <c r="C33" t="s">
        <v>30</v>
      </c>
      <c r="D33">
        <v>0</v>
      </c>
      <c r="E33">
        <v>0.161</v>
      </c>
      <c r="F33" t="s">
        <v>78</v>
      </c>
    </row>
    <row r="34" spans="1:6" x14ac:dyDescent="0.25">
      <c r="A34">
        <v>2021</v>
      </c>
      <c r="B34" t="s">
        <v>75</v>
      </c>
      <c r="C34" t="s">
        <v>30</v>
      </c>
      <c r="D34">
        <v>0</v>
      </c>
      <c r="E34">
        <v>0.161</v>
      </c>
    </row>
    <row r="35" spans="1:6" x14ac:dyDescent="0.25">
      <c r="A35">
        <v>2022</v>
      </c>
      <c r="B35" t="s">
        <v>75</v>
      </c>
      <c r="C35" t="s">
        <v>30</v>
      </c>
      <c r="D35">
        <v>0</v>
      </c>
      <c r="E35">
        <v>0.161</v>
      </c>
    </row>
    <row r="36" spans="1:6" x14ac:dyDescent="0.25">
      <c r="A36">
        <v>2023</v>
      </c>
      <c r="B36" t="s">
        <v>75</v>
      </c>
      <c r="C36" t="s">
        <v>30</v>
      </c>
      <c r="D36">
        <v>0</v>
      </c>
      <c r="E36">
        <v>0.161</v>
      </c>
    </row>
    <row r="37" spans="1:6" x14ac:dyDescent="0.25">
      <c r="A37">
        <v>2024</v>
      </c>
      <c r="B37" t="s">
        <v>75</v>
      </c>
      <c r="C37" t="s">
        <v>30</v>
      </c>
      <c r="D37">
        <v>0</v>
      </c>
      <c r="E37">
        <v>0.161</v>
      </c>
    </row>
    <row r="38" spans="1:6" x14ac:dyDescent="0.25">
      <c r="A38">
        <v>2025</v>
      </c>
      <c r="B38" t="s">
        <v>75</v>
      </c>
      <c r="C38" t="s">
        <v>30</v>
      </c>
      <c r="D38">
        <v>0</v>
      </c>
      <c r="E38">
        <v>0.161</v>
      </c>
    </row>
    <row r="39" spans="1:6" x14ac:dyDescent="0.25">
      <c r="A39">
        <v>2026</v>
      </c>
      <c r="B39" t="s">
        <v>75</v>
      </c>
      <c r="C39" t="s">
        <v>30</v>
      </c>
      <c r="D39">
        <v>0</v>
      </c>
      <c r="E39">
        <v>0.161</v>
      </c>
    </row>
    <row r="40" spans="1:6" x14ac:dyDescent="0.25">
      <c r="A40">
        <v>2027</v>
      </c>
      <c r="B40" t="s">
        <v>75</v>
      </c>
      <c r="C40" t="s">
        <v>30</v>
      </c>
      <c r="D40">
        <v>0</v>
      </c>
      <c r="E40">
        <v>0.161</v>
      </c>
    </row>
    <row r="41" spans="1:6" x14ac:dyDescent="0.25">
      <c r="A41">
        <v>2028</v>
      </c>
      <c r="B41" t="s">
        <v>75</v>
      </c>
      <c r="C41" t="s">
        <v>30</v>
      </c>
      <c r="D41">
        <v>0</v>
      </c>
      <c r="E41">
        <v>0.161</v>
      </c>
    </row>
    <row r="42" spans="1:6" x14ac:dyDescent="0.25">
      <c r="A42">
        <v>2029</v>
      </c>
      <c r="B42" t="s">
        <v>75</v>
      </c>
      <c r="C42" t="s">
        <v>30</v>
      </c>
      <c r="D42">
        <v>0</v>
      </c>
      <c r="E42">
        <v>0.161</v>
      </c>
    </row>
    <row r="43" spans="1:6" x14ac:dyDescent="0.25">
      <c r="A43">
        <v>2030</v>
      </c>
      <c r="B43" t="s">
        <v>75</v>
      </c>
      <c r="C43" t="s">
        <v>30</v>
      </c>
      <c r="D43">
        <v>0</v>
      </c>
      <c r="E43">
        <v>0.161</v>
      </c>
    </row>
    <row r="44" spans="1:6" x14ac:dyDescent="0.25">
      <c r="A44">
        <v>2031</v>
      </c>
      <c r="B44" t="s">
        <v>75</v>
      </c>
      <c r="C44" t="s">
        <v>30</v>
      </c>
      <c r="D44">
        <v>0</v>
      </c>
      <c r="E44">
        <v>0.161</v>
      </c>
    </row>
    <row r="45" spans="1:6" x14ac:dyDescent="0.25">
      <c r="A45">
        <v>2032</v>
      </c>
      <c r="B45" t="s">
        <v>75</v>
      </c>
      <c r="C45" t="s">
        <v>30</v>
      </c>
      <c r="D45">
        <v>0</v>
      </c>
      <c r="E45">
        <v>0.161</v>
      </c>
    </row>
    <row r="46" spans="1:6" x14ac:dyDescent="0.25">
      <c r="A46">
        <v>2033</v>
      </c>
      <c r="B46" t="s">
        <v>75</v>
      </c>
      <c r="C46" t="s">
        <v>30</v>
      </c>
      <c r="D46">
        <v>0</v>
      </c>
      <c r="E46">
        <v>0.161</v>
      </c>
    </row>
    <row r="47" spans="1:6" x14ac:dyDescent="0.25">
      <c r="A47">
        <v>2034</v>
      </c>
      <c r="B47" t="s">
        <v>75</v>
      </c>
      <c r="C47" t="s">
        <v>30</v>
      </c>
      <c r="D47">
        <v>0</v>
      </c>
      <c r="E47">
        <v>0.161</v>
      </c>
    </row>
    <row r="48" spans="1:6" x14ac:dyDescent="0.25">
      <c r="A48">
        <v>2035</v>
      </c>
      <c r="B48" t="s">
        <v>75</v>
      </c>
      <c r="C48" t="s">
        <v>30</v>
      </c>
      <c r="D48">
        <v>0</v>
      </c>
      <c r="E48">
        <v>0.161</v>
      </c>
    </row>
    <row r="49" spans="1:5" x14ac:dyDescent="0.25">
      <c r="A49">
        <v>2036</v>
      </c>
      <c r="B49" t="s">
        <v>75</v>
      </c>
      <c r="C49" t="s">
        <v>30</v>
      </c>
      <c r="D49">
        <v>0</v>
      </c>
      <c r="E49">
        <v>0.161</v>
      </c>
    </row>
    <row r="50" spans="1:5" x14ac:dyDescent="0.25">
      <c r="A50">
        <v>2037</v>
      </c>
      <c r="B50" t="s">
        <v>75</v>
      </c>
      <c r="C50" t="s">
        <v>30</v>
      </c>
      <c r="D50">
        <v>0</v>
      </c>
      <c r="E50">
        <v>0.161</v>
      </c>
    </row>
    <row r="51" spans="1:5" x14ac:dyDescent="0.25">
      <c r="A51">
        <v>2038</v>
      </c>
      <c r="B51" t="s">
        <v>75</v>
      </c>
      <c r="C51" t="s">
        <v>30</v>
      </c>
      <c r="D51">
        <v>0</v>
      </c>
      <c r="E51">
        <v>0.161</v>
      </c>
    </row>
    <row r="52" spans="1:5" x14ac:dyDescent="0.25">
      <c r="A52">
        <v>2039</v>
      </c>
      <c r="B52" t="s">
        <v>75</v>
      </c>
      <c r="C52" t="s">
        <v>30</v>
      </c>
      <c r="D52">
        <v>0</v>
      </c>
      <c r="E52">
        <v>0.161</v>
      </c>
    </row>
    <row r="53" spans="1:5" x14ac:dyDescent="0.25">
      <c r="A53">
        <v>2040</v>
      </c>
      <c r="B53" t="s">
        <v>75</v>
      </c>
      <c r="C53" t="s">
        <v>30</v>
      </c>
      <c r="D53">
        <v>0</v>
      </c>
      <c r="E53">
        <v>0.161</v>
      </c>
    </row>
    <row r="54" spans="1:5" x14ac:dyDescent="0.25">
      <c r="A54">
        <v>2041</v>
      </c>
      <c r="B54" t="s">
        <v>75</v>
      </c>
      <c r="C54" t="s">
        <v>30</v>
      </c>
      <c r="D54">
        <v>0</v>
      </c>
      <c r="E54">
        <v>0.161</v>
      </c>
    </row>
    <row r="55" spans="1:5" x14ac:dyDescent="0.25">
      <c r="A55">
        <v>2042</v>
      </c>
      <c r="B55" t="s">
        <v>75</v>
      </c>
      <c r="C55" t="s">
        <v>30</v>
      </c>
      <c r="D55">
        <v>0</v>
      </c>
      <c r="E55">
        <v>0.161</v>
      </c>
    </row>
    <row r="56" spans="1:5" x14ac:dyDescent="0.25">
      <c r="A56">
        <v>2043</v>
      </c>
      <c r="B56" t="s">
        <v>75</v>
      </c>
      <c r="C56" t="s">
        <v>30</v>
      </c>
      <c r="D56">
        <v>0</v>
      </c>
      <c r="E56">
        <v>0.161</v>
      </c>
    </row>
    <row r="57" spans="1:5" x14ac:dyDescent="0.25">
      <c r="A57">
        <v>2044</v>
      </c>
      <c r="B57" t="s">
        <v>75</v>
      </c>
      <c r="C57" t="s">
        <v>30</v>
      </c>
      <c r="D57">
        <v>0</v>
      </c>
      <c r="E57">
        <v>0.161</v>
      </c>
    </row>
    <row r="58" spans="1:5" x14ac:dyDescent="0.25">
      <c r="A58">
        <v>2045</v>
      </c>
      <c r="B58" t="s">
        <v>75</v>
      </c>
      <c r="C58" t="s">
        <v>30</v>
      </c>
      <c r="D58">
        <v>0</v>
      </c>
      <c r="E58">
        <v>0.161</v>
      </c>
    </row>
    <row r="59" spans="1:5" x14ac:dyDescent="0.25">
      <c r="A59">
        <v>2046</v>
      </c>
      <c r="B59" t="s">
        <v>75</v>
      </c>
      <c r="C59" t="s">
        <v>30</v>
      </c>
      <c r="D59">
        <v>0</v>
      </c>
      <c r="E59">
        <v>0.161</v>
      </c>
    </row>
    <row r="60" spans="1:5" x14ac:dyDescent="0.25">
      <c r="A60">
        <v>2047</v>
      </c>
      <c r="B60" t="s">
        <v>75</v>
      </c>
      <c r="C60" t="s">
        <v>30</v>
      </c>
      <c r="D60">
        <v>0</v>
      </c>
      <c r="E60">
        <v>0.161</v>
      </c>
    </row>
    <row r="61" spans="1:5" x14ac:dyDescent="0.25">
      <c r="A61">
        <v>2048</v>
      </c>
      <c r="B61" t="s">
        <v>75</v>
      </c>
      <c r="C61" t="s">
        <v>30</v>
      </c>
      <c r="D61">
        <v>0</v>
      </c>
      <c r="E61">
        <v>0.161</v>
      </c>
    </row>
    <row r="62" spans="1:5" x14ac:dyDescent="0.25">
      <c r="A62">
        <v>2049</v>
      </c>
      <c r="B62" t="s">
        <v>75</v>
      </c>
      <c r="C62" t="s">
        <v>30</v>
      </c>
      <c r="D62">
        <v>0</v>
      </c>
      <c r="E62">
        <v>0.161</v>
      </c>
    </row>
    <row r="63" spans="1:5" x14ac:dyDescent="0.25">
      <c r="A63">
        <v>2050</v>
      </c>
      <c r="B63" t="s">
        <v>75</v>
      </c>
      <c r="C63" t="s">
        <v>30</v>
      </c>
      <c r="D63">
        <v>0</v>
      </c>
      <c r="E63">
        <v>0.161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30"/>
  <sheetViews>
    <sheetView topLeftCell="A90" workbookViewId="0">
      <selection activeCell="C104" sqref="C104"/>
    </sheetView>
  </sheetViews>
  <sheetFormatPr defaultRowHeight="15" x14ac:dyDescent="0.25"/>
  <cols>
    <col min="1" max="1" width="5" bestFit="1" customWidth="1"/>
    <col min="2" max="2" width="30.7109375" customWidth="1"/>
    <col min="3" max="3" width="21.85546875" customWidth="1"/>
    <col min="4" max="4" width="10.28515625" customWidth="1"/>
  </cols>
  <sheetData>
    <row r="1" spans="1:4" x14ac:dyDescent="0.25">
      <c r="A1" s="1" t="s">
        <v>0</v>
      </c>
      <c r="B1" s="1" t="s">
        <v>13</v>
      </c>
      <c r="C1" s="1" t="s">
        <v>25</v>
      </c>
      <c r="D1" s="8" t="s">
        <v>76</v>
      </c>
    </row>
    <row r="2" spans="1:4" x14ac:dyDescent="0.25">
      <c r="A2">
        <v>2022</v>
      </c>
      <c r="B2" t="s">
        <v>159</v>
      </c>
      <c r="C2" s="31">
        <v>1024483.1000000001</v>
      </c>
      <c r="D2" t="s">
        <v>192</v>
      </c>
    </row>
    <row r="3" spans="1:4" x14ac:dyDescent="0.25">
      <c r="A3">
        <v>2023</v>
      </c>
      <c r="B3" t="s">
        <v>159</v>
      </c>
      <c r="C3" s="31">
        <v>1109585.2</v>
      </c>
      <c r="D3" t="s">
        <v>192</v>
      </c>
    </row>
    <row r="4" spans="1:4" x14ac:dyDescent="0.25">
      <c r="A4">
        <v>2024</v>
      </c>
      <c r="B4" t="s">
        <v>159</v>
      </c>
      <c r="C4" s="31">
        <v>1194972.1500000001</v>
      </c>
      <c r="D4" t="s">
        <v>192</v>
      </c>
    </row>
    <row r="5" spans="1:4" x14ac:dyDescent="0.25">
      <c r="A5">
        <v>2025</v>
      </c>
      <c r="B5" t="s">
        <v>159</v>
      </c>
      <c r="C5" s="39">
        <v>1405136.2000000002</v>
      </c>
      <c r="D5" t="s">
        <v>192</v>
      </c>
    </row>
    <row r="6" spans="1:4" x14ac:dyDescent="0.25">
      <c r="A6">
        <v>2026</v>
      </c>
      <c r="B6" t="s">
        <v>159</v>
      </c>
      <c r="C6" s="39">
        <v>1606452.2000000002</v>
      </c>
      <c r="D6" t="s">
        <v>192</v>
      </c>
    </row>
    <row r="7" spans="1:4" x14ac:dyDescent="0.25">
      <c r="A7">
        <v>2027</v>
      </c>
      <c r="B7" t="s">
        <v>159</v>
      </c>
      <c r="C7" s="39">
        <v>1770013.4500000002</v>
      </c>
      <c r="D7" t="s">
        <v>192</v>
      </c>
    </row>
    <row r="8" spans="1:4" x14ac:dyDescent="0.25">
      <c r="A8">
        <v>2028</v>
      </c>
      <c r="B8" t="s">
        <v>159</v>
      </c>
      <c r="C8" s="39">
        <v>1926288.25</v>
      </c>
      <c r="D8" t="s">
        <v>192</v>
      </c>
    </row>
    <row r="9" spans="1:4" x14ac:dyDescent="0.25">
      <c r="A9">
        <v>2029</v>
      </c>
      <c r="B9" t="s">
        <v>159</v>
      </c>
      <c r="C9" s="39">
        <v>2074298.6500000001</v>
      </c>
      <c r="D9" t="s">
        <v>192</v>
      </c>
    </row>
    <row r="10" spans="1:4" x14ac:dyDescent="0.25">
      <c r="A10">
        <v>2030</v>
      </c>
      <c r="B10" t="s">
        <v>159</v>
      </c>
      <c r="C10" s="39">
        <v>1099340.2250000001</v>
      </c>
      <c r="D10" t="s">
        <v>192</v>
      </c>
    </row>
    <row r="11" spans="1:4" x14ac:dyDescent="0.25">
      <c r="A11">
        <v>2031</v>
      </c>
      <c r="B11" t="s">
        <v>159</v>
      </c>
      <c r="C11" s="39">
        <v>1155800.675</v>
      </c>
      <c r="D11" t="s">
        <v>193</v>
      </c>
    </row>
    <row r="12" spans="1:4" x14ac:dyDescent="0.25">
      <c r="A12">
        <v>2032</v>
      </c>
      <c r="B12" t="s">
        <v>159</v>
      </c>
      <c r="C12" s="39">
        <v>1214321.5</v>
      </c>
      <c r="D12" t="s">
        <v>193</v>
      </c>
    </row>
    <row r="13" spans="1:4" x14ac:dyDescent="0.25">
      <c r="A13">
        <v>2033</v>
      </c>
      <c r="B13" t="s">
        <v>159</v>
      </c>
      <c r="C13" s="39">
        <v>1223555.575</v>
      </c>
      <c r="D13" t="s">
        <v>193</v>
      </c>
    </row>
    <row r="14" spans="1:4" x14ac:dyDescent="0.25">
      <c r="A14">
        <v>2034</v>
      </c>
      <c r="B14" t="s">
        <v>159</v>
      </c>
      <c r="C14" s="39">
        <v>1257434.4750000001</v>
      </c>
      <c r="D14" t="s">
        <v>193</v>
      </c>
    </row>
    <row r="15" spans="1:4" x14ac:dyDescent="0.25">
      <c r="A15">
        <v>2035</v>
      </c>
      <c r="B15" t="s">
        <v>159</v>
      </c>
      <c r="C15" s="39">
        <v>1223355.6000000001</v>
      </c>
      <c r="D15" t="s">
        <v>193</v>
      </c>
    </row>
    <row r="16" spans="1:4" x14ac:dyDescent="0.25">
      <c r="A16">
        <v>2036</v>
      </c>
      <c r="B16" t="s">
        <v>159</v>
      </c>
      <c r="C16" s="39">
        <v>1204555.2250000001</v>
      </c>
      <c r="D16" t="s">
        <v>193</v>
      </c>
    </row>
    <row r="17" spans="1:4" x14ac:dyDescent="0.25">
      <c r="A17">
        <v>2037</v>
      </c>
      <c r="B17" t="s">
        <v>159</v>
      </c>
      <c r="C17" s="39">
        <v>1239259.7250000001</v>
      </c>
      <c r="D17" t="s">
        <v>193</v>
      </c>
    </row>
    <row r="18" spans="1:4" x14ac:dyDescent="0.25">
      <c r="A18">
        <v>2038</v>
      </c>
      <c r="B18" t="s">
        <v>159</v>
      </c>
      <c r="C18" s="39">
        <v>1250578.9750000001</v>
      </c>
      <c r="D18" t="s">
        <v>193</v>
      </c>
    </row>
    <row r="19" spans="1:4" x14ac:dyDescent="0.25">
      <c r="A19">
        <v>2039</v>
      </c>
      <c r="B19" t="s">
        <v>159</v>
      </c>
      <c r="C19" s="39">
        <v>1228709.45</v>
      </c>
      <c r="D19" t="s">
        <v>193</v>
      </c>
    </row>
    <row r="20" spans="1:4" x14ac:dyDescent="0.25">
      <c r="A20">
        <v>2040</v>
      </c>
      <c r="B20" t="s">
        <v>159</v>
      </c>
      <c r="C20" s="39">
        <v>1159617.4000000001</v>
      </c>
      <c r="D20" t="s">
        <v>193</v>
      </c>
    </row>
    <row r="21" spans="1:4" x14ac:dyDescent="0.25">
      <c r="A21">
        <v>2041</v>
      </c>
      <c r="B21" t="s">
        <v>159</v>
      </c>
      <c r="C21" s="39">
        <v>0</v>
      </c>
    </row>
    <row r="22" spans="1:4" x14ac:dyDescent="0.25">
      <c r="A22">
        <v>2042</v>
      </c>
      <c r="B22" t="s">
        <v>159</v>
      </c>
      <c r="C22" s="39">
        <v>0</v>
      </c>
    </row>
    <row r="23" spans="1:4" x14ac:dyDescent="0.25">
      <c r="A23">
        <v>2043</v>
      </c>
      <c r="B23" t="s">
        <v>159</v>
      </c>
      <c r="C23" s="39">
        <v>0</v>
      </c>
    </row>
    <row r="24" spans="1:4" x14ac:dyDescent="0.25">
      <c r="A24">
        <v>2044</v>
      </c>
      <c r="B24" t="s">
        <v>159</v>
      </c>
      <c r="C24" s="39">
        <v>0</v>
      </c>
    </row>
    <row r="25" spans="1:4" x14ac:dyDescent="0.25">
      <c r="A25">
        <v>2045</v>
      </c>
      <c r="B25" t="s">
        <v>159</v>
      </c>
      <c r="C25" s="39">
        <v>0</v>
      </c>
    </row>
    <row r="26" spans="1:4" x14ac:dyDescent="0.25">
      <c r="A26">
        <v>2046</v>
      </c>
      <c r="B26" t="s">
        <v>159</v>
      </c>
      <c r="C26" s="39">
        <v>0</v>
      </c>
    </row>
    <row r="27" spans="1:4" x14ac:dyDescent="0.25">
      <c r="A27">
        <v>2022</v>
      </c>
      <c r="B27" t="s">
        <v>160</v>
      </c>
      <c r="C27" s="39">
        <v>0</v>
      </c>
    </row>
    <row r="28" spans="1:4" x14ac:dyDescent="0.25">
      <c r="A28">
        <v>2023</v>
      </c>
      <c r="B28" t="s">
        <v>160</v>
      </c>
      <c r="C28" s="39">
        <v>0</v>
      </c>
    </row>
    <row r="29" spans="1:4" x14ac:dyDescent="0.25">
      <c r="A29">
        <v>2024</v>
      </c>
      <c r="B29" t="s">
        <v>160</v>
      </c>
      <c r="C29" s="39">
        <v>0</v>
      </c>
    </row>
    <row r="30" spans="1:4" x14ac:dyDescent="0.25">
      <c r="A30">
        <v>2025</v>
      </c>
      <c r="B30" t="s">
        <v>160</v>
      </c>
      <c r="C30" s="39">
        <v>1405136.2000000002</v>
      </c>
      <c r="D30" t="s">
        <v>192</v>
      </c>
    </row>
    <row r="31" spans="1:4" x14ac:dyDescent="0.25">
      <c r="A31">
        <v>2026</v>
      </c>
      <c r="B31" t="s">
        <v>160</v>
      </c>
      <c r="C31" s="39">
        <v>1606452.2000000002</v>
      </c>
      <c r="D31" t="s">
        <v>192</v>
      </c>
    </row>
    <row r="32" spans="1:4" x14ac:dyDescent="0.25">
      <c r="A32">
        <v>2027</v>
      </c>
      <c r="B32" t="s">
        <v>160</v>
      </c>
      <c r="C32" s="39">
        <v>1770013.4500000002</v>
      </c>
      <c r="D32" t="s">
        <v>192</v>
      </c>
    </row>
    <row r="33" spans="1:4" x14ac:dyDescent="0.25">
      <c r="A33">
        <v>2028</v>
      </c>
      <c r="B33" t="s">
        <v>160</v>
      </c>
      <c r="C33" s="39">
        <v>1926288.25</v>
      </c>
      <c r="D33" t="s">
        <v>192</v>
      </c>
    </row>
    <row r="34" spans="1:4" x14ac:dyDescent="0.25">
      <c r="A34">
        <v>2029</v>
      </c>
      <c r="B34" t="s">
        <v>160</v>
      </c>
      <c r="C34" s="39">
        <v>2074298.6500000001</v>
      </c>
      <c r="D34" t="s">
        <v>192</v>
      </c>
    </row>
    <row r="35" spans="1:4" x14ac:dyDescent="0.25">
      <c r="A35">
        <v>2030</v>
      </c>
      <c r="B35" t="s">
        <v>160</v>
      </c>
      <c r="C35" s="39">
        <v>2198680.4500000002</v>
      </c>
      <c r="D35" t="s">
        <v>192</v>
      </c>
    </row>
    <row r="36" spans="1:4" x14ac:dyDescent="0.25">
      <c r="A36">
        <v>2031</v>
      </c>
      <c r="B36" t="s">
        <v>160</v>
      </c>
      <c r="C36" s="39">
        <v>2311601.35</v>
      </c>
      <c r="D36" t="s">
        <v>192</v>
      </c>
    </row>
    <row r="37" spans="1:4" x14ac:dyDescent="0.25">
      <c r="A37">
        <v>2032</v>
      </c>
      <c r="B37" t="s">
        <v>160</v>
      </c>
      <c r="C37" s="39">
        <v>2428643</v>
      </c>
      <c r="D37" t="s">
        <v>192</v>
      </c>
    </row>
    <row r="38" spans="1:4" x14ac:dyDescent="0.25">
      <c r="A38">
        <v>2033</v>
      </c>
      <c r="B38" t="s">
        <v>160</v>
      </c>
      <c r="C38" s="39">
        <v>2447111.15</v>
      </c>
      <c r="D38" t="s">
        <v>192</v>
      </c>
    </row>
    <row r="39" spans="1:4" x14ac:dyDescent="0.25">
      <c r="A39">
        <v>2034</v>
      </c>
      <c r="B39" t="s">
        <v>160</v>
      </c>
      <c r="C39" s="39">
        <v>2514868.9500000002</v>
      </c>
      <c r="D39" t="s">
        <v>192</v>
      </c>
    </row>
    <row r="40" spans="1:4" x14ac:dyDescent="0.25">
      <c r="A40">
        <v>2035</v>
      </c>
      <c r="B40" t="s">
        <v>160</v>
      </c>
      <c r="C40" s="39">
        <v>2446711.2000000002</v>
      </c>
      <c r="D40" t="s">
        <v>192</v>
      </c>
    </row>
    <row r="41" spans="1:4" x14ac:dyDescent="0.25">
      <c r="A41">
        <v>2036</v>
      </c>
      <c r="B41" t="s">
        <v>160</v>
      </c>
      <c r="C41" s="39">
        <v>2409110.4500000002</v>
      </c>
      <c r="D41" t="s">
        <v>192</v>
      </c>
    </row>
    <row r="42" spans="1:4" x14ac:dyDescent="0.25">
      <c r="A42">
        <v>2037</v>
      </c>
      <c r="B42" t="s">
        <v>160</v>
      </c>
      <c r="C42" s="39">
        <v>2478519.4500000002</v>
      </c>
      <c r="D42" t="s">
        <v>192</v>
      </c>
    </row>
    <row r="43" spans="1:4" x14ac:dyDescent="0.25">
      <c r="A43">
        <v>2038</v>
      </c>
      <c r="B43" t="s">
        <v>160</v>
      </c>
      <c r="C43" s="39">
        <v>2501157.9500000002</v>
      </c>
      <c r="D43" t="s">
        <v>192</v>
      </c>
    </row>
    <row r="44" spans="1:4" x14ac:dyDescent="0.25">
      <c r="A44">
        <v>2039</v>
      </c>
      <c r="B44" t="s">
        <v>160</v>
      </c>
      <c r="C44" s="39">
        <v>2457418.9</v>
      </c>
      <c r="D44" t="s">
        <v>192</v>
      </c>
    </row>
    <row r="45" spans="1:4" x14ac:dyDescent="0.25">
      <c r="A45">
        <v>2040</v>
      </c>
      <c r="B45" t="s">
        <v>160</v>
      </c>
      <c r="C45" s="39">
        <v>2319234.8000000003</v>
      </c>
      <c r="D45" t="s">
        <v>192</v>
      </c>
    </row>
    <row r="46" spans="1:4" x14ac:dyDescent="0.25">
      <c r="A46">
        <v>2041</v>
      </c>
      <c r="B46" t="s">
        <v>160</v>
      </c>
      <c r="C46" s="39">
        <v>2179675.9500000002</v>
      </c>
      <c r="D46" t="s">
        <v>192</v>
      </c>
    </row>
    <row r="47" spans="1:4" x14ac:dyDescent="0.25">
      <c r="A47">
        <v>2042</v>
      </c>
      <c r="B47" t="s">
        <v>160</v>
      </c>
      <c r="C47" s="39">
        <v>2020092.1500000001</v>
      </c>
      <c r="D47" t="s">
        <v>192</v>
      </c>
    </row>
    <row r="48" spans="1:4" x14ac:dyDescent="0.25">
      <c r="A48">
        <v>2043</v>
      </c>
      <c r="B48" t="s">
        <v>160</v>
      </c>
      <c r="C48" s="39">
        <v>1911269.4500000002</v>
      </c>
      <c r="D48" t="s">
        <v>192</v>
      </c>
    </row>
    <row r="49" spans="1:4" x14ac:dyDescent="0.25">
      <c r="A49">
        <v>2044</v>
      </c>
      <c r="B49" t="s">
        <v>160</v>
      </c>
      <c r="C49" s="39">
        <v>1791756.35</v>
      </c>
      <c r="D49" t="s">
        <v>192</v>
      </c>
    </row>
    <row r="50" spans="1:4" x14ac:dyDescent="0.25">
      <c r="A50">
        <v>2045</v>
      </c>
      <c r="B50" t="s">
        <v>160</v>
      </c>
      <c r="C50" s="39">
        <v>1463561.9000000001</v>
      </c>
      <c r="D50" t="s">
        <v>192</v>
      </c>
    </row>
    <row r="51" spans="1:4" x14ac:dyDescent="0.25">
      <c r="A51">
        <v>2022</v>
      </c>
      <c r="B51" t="s">
        <v>111</v>
      </c>
      <c r="C51">
        <f>C52</f>
        <v>-3200</v>
      </c>
      <c r="D51" t="s">
        <v>120</v>
      </c>
    </row>
    <row r="52" spans="1:4" x14ac:dyDescent="0.25">
      <c r="A52">
        <v>2023</v>
      </c>
      <c r="B52" t="s">
        <v>111</v>
      </c>
      <c r="C52">
        <f>-3200</f>
        <v>-3200</v>
      </c>
      <c r="D52" t="s">
        <v>120</v>
      </c>
    </row>
    <row r="53" spans="1:4" x14ac:dyDescent="0.25">
      <c r="A53">
        <v>2024</v>
      </c>
      <c r="B53" t="s">
        <v>111</v>
      </c>
      <c r="C53">
        <f t="shared" ref="C53:C74" si="0">-3200</f>
        <v>-3200</v>
      </c>
      <c r="D53" t="s">
        <v>120</v>
      </c>
    </row>
    <row r="54" spans="1:4" x14ac:dyDescent="0.25">
      <c r="A54">
        <v>2025</v>
      </c>
      <c r="B54" t="s">
        <v>111</v>
      </c>
      <c r="C54">
        <f t="shared" si="0"/>
        <v>-3200</v>
      </c>
      <c r="D54" t="s">
        <v>120</v>
      </c>
    </row>
    <row r="55" spans="1:4" x14ac:dyDescent="0.25">
      <c r="A55">
        <v>2026</v>
      </c>
      <c r="B55" t="s">
        <v>111</v>
      </c>
      <c r="C55">
        <f t="shared" si="0"/>
        <v>-3200</v>
      </c>
      <c r="D55" t="s">
        <v>120</v>
      </c>
    </row>
    <row r="56" spans="1:4" x14ac:dyDescent="0.25">
      <c r="A56">
        <v>2027</v>
      </c>
      <c r="B56" t="s">
        <v>111</v>
      </c>
      <c r="C56">
        <f t="shared" si="0"/>
        <v>-3200</v>
      </c>
      <c r="D56" t="s">
        <v>120</v>
      </c>
    </row>
    <row r="57" spans="1:4" x14ac:dyDescent="0.25">
      <c r="A57">
        <v>2028</v>
      </c>
      <c r="B57" t="s">
        <v>111</v>
      </c>
      <c r="C57">
        <f t="shared" si="0"/>
        <v>-3200</v>
      </c>
      <c r="D57" t="s">
        <v>120</v>
      </c>
    </row>
    <row r="58" spans="1:4" x14ac:dyDescent="0.25">
      <c r="A58">
        <v>2029</v>
      </c>
      <c r="B58" t="s">
        <v>111</v>
      </c>
      <c r="C58">
        <f t="shared" si="0"/>
        <v>-3200</v>
      </c>
      <c r="D58" t="s">
        <v>120</v>
      </c>
    </row>
    <row r="59" spans="1:4" x14ac:dyDescent="0.25">
      <c r="A59">
        <v>2030</v>
      </c>
      <c r="B59" t="s">
        <v>111</v>
      </c>
      <c r="C59">
        <f t="shared" si="0"/>
        <v>-3200</v>
      </c>
      <c r="D59" t="s">
        <v>120</v>
      </c>
    </row>
    <row r="60" spans="1:4" x14ac:dyDescent="0.25">
      <c r="A60">
        <v>2031</v>
      </c>
      <c r="B60" t="s">
        <v>111</v>
      </c>
      <c r="C60">
        <f t="shared" si="0"/>
        <v>-3200</v>
      </c>
      <c r="D60" t="s">
        <v>120</v>
      </c>
    </row>
    <row r="61" spans="1:4" x14ac:dyDescent="0.25">
      <c r="A61">
        <v>2032</v>
      </c>
      <c r="B61" t="s">
        <v>111</v>
      </c>
      <c r="C61">
        <f t="shared" si="0"/>
        <v>-3200</v>
      </c>
      <c r="D61" t="s">
        <v>120</v>
      </c>
    </row>
    <row r="62" spans="1:4" x14ac:dyDescent="0.25">
      <c r="A62">
        <v>2033</v>
      </c>
      <c r="B62" t="s">
        <v>111</v>
      </c>
      <c r="C62">
        <f t="shared" si="0"/>
        <v>-3200</v>
      </c>
      <c r="D62" t="s">
        <v>120</v>
      </c>
    </row>
    <row r="63" spans="1:4" x14ac:dyDescent="0.25">
      <c r="A63">
        <v>2034</v>
      </c>
      <c r="B63" t="s">
        <v>111</v>
      </c>
      <c r="C63">
        <f t="shared" si="0"/>
        <v>-3200</v>
      </c>
      <c r="D63" t="s">
        <v>120</v>
      </c>
    </row>
    <row r="64" spans="1:4" x14ac:dyDescent="0.25">
      <c r="A64">
        <v>2035</v>
      </c>
      <c r="B64" t="s">
        <v>111</v>
      </c>
      <c r="C64">
        <f t="shared" si="0"/>
        <v>-3200</v>
      </c>
      <c r="D64" t="s">
        <v>120</v>
      </c>
    </row>
    <row r="65" spans="1:4" x14ac:dyDescent="0.25">
      <c r="A65">
        <v>2036</v>
      </c>
      <c r="B65" t="s">
        <v>111</v>
      </c>
      <c r="C65">
        <f t="shared" si="0"/>
        <v>-3200</v>
      </c>
      <c r="D65" t="s">
        <v>120</v>
      </c>
    </row>
    <row r="66" spans="1:4" x14ac:dyDescent="0.25">
      <c r="A66">
        <v>2037</v>
      </c>
      <c r="B66" t="s">
        <v>111</v>
      </c>
      <c r="C66">
        <f t="shared" si="0"/>
        <v>-3200</v>
      </c>
      <c r="D66" t="s">
        <v>120</v>
      </c>
    </row>
    <row r="67" spans="1:4" x14ac:dyDescent="0.25">
      <c r="A67">
        <v>2038</v>
      </c>
      <c r="B67" t="s">
        <v>111</v>
      </c>
      <c r="C67">
        <f t="shared" si="0"/>
        <v>-3200</v>
      </c>
      <c r="D67" t="s">
        <v>120</v>
      </c>
    </row>
    <row r="68" spans="1:4" x14ac:dyDescent="0.25">
      <c r="A68">
        <v>2039</v>
      </c>
      <c r="B68" t="s">
        <v>111</v>
      </c>
      <c r="C68">
        <f t="shared" si="0"/>
        <v>-3200</v>
      </c>
      <c r="D68" t="s">
        <v>120</v>
      </c>
    </row>
    <row r="69" spans="1:4" x14ac:dyDescent="0.25">
      <c r="A69">
        <v>2040</v>
      </c>
      <c r="B69" t="s">
        <v>111</v>
      </c>
      <c r="C69">
        <f t="shared" si="0"/>
        <v>-3200</v>
      </c>
      <c r="D69" t="s">
        <v>120</v>
      </c>
    </row>
    <row r="70" spans="1:4" x14ac:dyDescent="0.25">
      <c r="A70">
        <v>2041</v>
      </c>
      <c r="B70" t="s">
        <v>111</v>
      </c>
      <c r="C70">
        <f t="shared" si="0"/>
        <v>-3200</v>
      </c>
      <c r="D70" t="s">
        <v>120</v>
      </c>
    </row>
    <row r="71" spans="1:4" x14ac:dyDescent="0.25">
      <c r="A71">
        <v>2042</v>
      </c>
      <c r="B71" t="s">
        <v>111</v>
      </c>
      <c r="C71">
        <f t="shared" si="0"/>
        <v>-3200</v>
      </c>
    </row>
    <row r="72" spans="1:4" x14ac:dyDescent="0.25">
      <c r="A72">
        <v>2043</v>
      </c>
      <c r="B72" t="s">
        <v>111</v>
      </c>
      <c r="C72">
        <f t="shared" si="0"/>
        <v>-3200</v>
      </c>
    </row>
    <row r="73" spans="1:4" x14ac:dyDescent="0.25">
      <c r="A73">
        <v>2044</v>
      </c>
      <c r="B73" t="s">
        <v>111</v>
      </c>
      <c r="C73">
        <f t="shared" si="0"/>
        <v>-3200</v>
      </c>
    </row>
    <row r="74" spans="1:4" x14ac:dyDescent="0.25">
      <c r="A74">
        <v>2045</v>
      </c>
      <c r="B74" t="s">
        <v>111</v>
      </c>
      <c r="C74">
        <f t="shared" si="0"/>
        <v>-3200</v>
      </c>
    </row>
    <row r="75" spans="1:4" x14ac:dyDescent="0.25">
      <c r="A75">
        <v>2022</v>
      </c>
      <c r="B75" t="s">
        <v>112</v>
      </c>
      <c r="C75" s="9">
        <v>220000</v>
      </c>
      <c r="D75" t="s">
        <v>196</v>
      </c>
    </row>
    <row r="76" spans="1:4" x14ac:dyDescent="0.25">
      <c r="A76">
        <v>2023</v>
      </c>
      <c r="B76" t="s">
        <v>112</v>
      </c>
      <c r="C76" s="9">
        <v>220000</v>
      </c>
      <c r="D76" t="s">
        <v>196</v>
      </c>
    </row>
    <row r="77" spans="1:4" x14ac:dyDescent="0.25">
      <c r="A77">
        <v>2024</v>
      </c>
      <c r="B77" t="s">
        <v>112</v>
      </c>
      <c r="C77" s="9">
        <v>220000</v>
      </c>
      <c r="D77" t="s">
        <v>196</v>
      </c>
    </row>
    <row r="78" spans="1:4" x14ac:dyDescent="0.25">
      <c r="A78">
        <v>2025</v>
      </c>
      <c r="B78" t="s">
        <v>112</v>
      </c>
      <c r="C78" s="9">
        <v>220000</v>
      </c>
      <c r="D78" t="s">
        <v>196</v>
      </c>
    </row>
    <row r="79" spans="1:4" x14ac:dyDescent="0.25">
      <c r="A79">
        <v>2026</v>
      </c>
      <c r="B79" t="s">
        <v>112</v>
      </c>
      <c r="C79" s="9">
        <v>220000</v>
      </c>
      <c r="D79" t="s">
        <v>196</v>
      </c>
    </row>
    <row r="80" spans="1:4" x14ac:dyDescent="0.25">
      <c r="A80">
        <v>2027</v>
      </c>
      <c r="B80" t="s">
        <v>112</v>
      </c>
      <c r="C80" s="9">
        <v>220000</v>
      </c>
      <c r="D80" t="s">
        <v>196</v>
      </c>
    </row>
    <row r="81" spans="1:4" x14ac:dyDescent="0.25">
      <c r="A81">
        <v>2028</v>
      </c>
      <c r="B81" t="s">
        <v>112</v>
      </c>
      <c r="C81" s="9">
        <v>220000</v>
      </c>
      <c r="D81" t="s">
        <v>196</v>
      </c>
    </row>
    <row r="82" spans="1:4" x14ac:dyDescent="0.25">
      <c r="A82">
        <v>2029</v>
      </c>
      <c r="B82" t="s">
        <v>112</v>
      </c>
      <c r="C82" s="9">
        <v>220000</v>
      </c>
      <c r="D82" t="s">
        <v>196</v>
      </c>
    </row>
    <row r="83" spans="1:4" x14ac:dyDescent="0.25">
      <c r="A83">
        <v>2030</v>
      </c>
      <c r="B83" t="s">
        <v>112</v>
      </c>
      <c r="C83" s="9">
        <v>220000</v>
      </c>
      <c r="D83" t="s">
        <v>196</v>
      </c>
    </row>
    <row r="84" spans="1:4" x14ac:dyDescent="0.25">
      <c r="A84">
        <v>2031</v>
      </c>
      <c r="B84" t="s">
        <v>112</v>
      </c>
      <c r="C84" s="9">
        <v>220000</v>
      </c>
      <c r="D84" t="s">
        <v>196</v>
      </c>
    </row>
    <row r="85" spans="1:4" x14ac:dyDescent="0.25">
      <c r="A85">
        <v>2032</v>
      </c>
      <c r="B85" t="s">
        <v>112</v>
      </c>
      <c r="C85" s="9">
        <v>220000</v>
      </c>
      <c r="D85" t="s">
        <v>196</v>
      </c>
    </row>
    <row r="86" spans="1:4" x14ac:dyDescent="0.25">
      <c r="A86">
        <v>2033</v>
      </c>
      <c r="B86" t="s">
        <v>112</v>
      </c>
      <c r="C86" s="9">
        <v>220000</v>
      </c>
      <c r="D86" t="s">
        <v>196</v>
      </c>
    </row>
    <row r="87" spans="1:4" x14ac:dyDescent="0.25">
      <c r="A87">
        <v>2034</v>
      </c>
      <c r="B87" t="s">
        <v>112</v>
      </c>
      <c r="C87" s="9">
        <v>220000</v>
      </c>
      <c r="D87" t="s">
        <v>196</v>
      </c>
    </row>
    <row r="88" spans="1:4" x14ac:dyDescent="0.25">
      <c r="A88">
        <v>2035</v>
      </c>
      <c r="B88" t="s">
        <v>112</v>
      </c>
      <c r="C88" s="9">
        <v>220000</v>
      </c>
      <c r="D88" t="s">
        <v>196</v>
      </c>
    </row>
    <row r="89" spans="1:4" x14ac:dyDescent="0.25">
      <c r="A89">
        <v>2036</v>
      </c>
      <c r="B89" t="s">
        <v>112</v>
      </c>
      <c r="C89" s="9">
        <v>220000</v>
      </c>
      <c r="D89" t="s">
        <v>196</v>
      </c>
    </row>
    <row r="90" spans="1:4" x14ac:dyDescent="0.25">
      <c r="A90">
        <v>2037</v>
      </c>
      <c r="B90" t="s">
        <v>112</v>
      </c>
      <c r="C90" s="9">
        <v>220000</v>
      </c>
      <c r="D90" t="s">
        <v>196</v>
      </c>
    </row>
    <row r="91" spans="1:4" x14ac:dyDescent="0.25">
      <c r="A91">
        <v>2038</v>
      </c>
      <c r="B91" t="s">
        <v>112</v>
      </c>
      <c r="C91" s="9">
        <v>220000</v>
      </c>
      <c r="D91" t="s">
        <v>196</v>
      </c>
    </row>
    <row r="92" spans="1:4" x14ac:dyDescent="0.25">
      <c r="A92">
        <v>2039</v>
      </c>
      <c r="B92" t="s">
        <v>112</v>
      </c>
      <c r="C92" s="9">
        <v>220000</v>
      </c>
      <c r="D92" t="s">
        <v>196</v>
      </c>
    </row>
    <row r="93" spans="1:4" x14ac:dyDescent="0.25">
      <c r="A93">
        <v>2040</v>
      </c>
      <c r="B93" t="s">
        <v>112</v>
      </c>
      <c r="C93" s="9">
        <v>220000</v>
      </c>
      <c r="D93" t="s">
        <v>196</v>
      </c>
    </row>
    <row r="94" spans="1:4" x14ac:dyDescent="0.25">
      <c r="A94">
        <v>2041</v>
      </c>
      <c r="B94" t="s">
        <v>112</v>
      </c>
      <c r="C94" s="9">
        <v>220000</v>
      </c>
      <c r="D94" t="s">
        <v>196</v>
      </c>
    </row>
    <row r="95" spans="1:4" x14ac:dyDescent="0.25">
      <c r="A95">
        <v>2042</v>
      </c>
      <c r="B95" t="s">
        <v>112</v>
      </c>
      <c r="C95" s="9">
        <v>220000</v>
      </c>
      <c r="D95" t="s">
        <v>196</v>
      </c>
    </row>
    <row r="96" spans="1:4" x14ac:dyDescent="0.25">
      <c r="A96">
        <v>2043</v>
      </c>
      <c r="B96" t="s">
        <v>112</v>
      </c>
      <c r="C96" s="9">
        <v>220000</v>
      </c>
      <c r="D96" t="s">
        <v>196</v>
      </c>
    </row>
    <row r="97" spans="1:6" x14ac:dyDescent="0.25">
      <c r="A97">
        <v>2044</v>
      </c>
      <c r="B97" t="s">
        <v>112</v>
      </c>
      <c r="C97" s="9">
        <v>220000</v>
      </c>
      <c r="D97" t="s">
        <v>196</v>
      </c>
    </row>
    <row r="98" spans="1:6" x14ac:dyDescent="0.25">
      <c r="A98">
        <v>2045</v>
      </c>
      <c r="B98" t="s">
        <v>112</v>
      </c>
      <c r="C98" s="9">
        <v>220000</v>
      </c>
      <c r="D98" t="s">
        <v>196</v>
      </c>
    </row>
    <row r="99" spans="1:6" x14ac:dyDescent="0.25">
      <c r="A99">
        <v>2046</v>
      </c>
      <c r="B99" t="s">
        <v>112</v>
      </c>
      <c r="C99" s="9">
        <v>220000</v>
      </c>
      <c r="D99" t="s">
        <v>196</v>
      </c>
    </row>
    <row r="100" spans="1:6" x14ac:dyDescent="0.25">
      <c r="A100">
        <v>2047</v>
      </c>
      <c r="B100" t="s">
        <v>112</v>
      </c>
      <c r="C100" s="9">
        <v>220000</v>
      </c>
      <c r="D100" t="s">
        <v>196</v>
      </c>
    </row>
    <row r="101" spans="1:6" x14ac:dyDescent="0.25">
      <c r="A101">
        <v>2048</v>
      </c>
      <c r="B101" t="s">
        <v>112</v>
      </c>
      <c r="C101" s="9">
        <v>220000</v>
      </c>
      <c r="D101" t="s">
        <v>196</v>
      </c>
    </row>
    <row r="102" spans="1:6" x14ac:dyDescent="0.25">
      <c r="A102">
        <v>2049</v>
      </c>
      <c r="B102" t="s">
        <v>112</v>
      </c>
      <c r="C102" s="9">
        <v>220000</v>
      </c>
      <c r="D102" t="s">
        <v>196</v>
      </c>
    </row>
    <row r="103" spans="1:6" x14ac:dyDescent="0.25">
      <c r="A103">
        <v>2050</v>
      </c>
      <c r="B103" t="s">
        <v>112</v>
      </c>
      <c r="C103" s="9">
        <v>220000</v>
      </c>
      <c r="D103" t="s">
        <v>196</v>
      </c>
    </row>
    <row r="104" spans="1:6" x14ac:dyDescent="0.25">
      <c r="A104">
        <v>2022</v>
      </c>
      <c r="B104" t="s">
        <v>113</v>
      </c>
      <c r="C104" s="9">
        <f>E104</f>
        <v>1276948</v>
      </c>
      <c r="D104" s="45" t="s">
        <v>195</v>
      </c>
      <c r="E104" s="9">
        <f t="shared" ref="E104:E132" si="1">(26415*(A104-2019+5)+107917)*4</f>
        <v>1276948</v>
      </c>
      <c r="F104" t="s">
        <v>203</v>
      </c>
    </row>
    <row r="105" spans="1:6" x14ac:dyDescent="0.25">
      <c r="A105">
        <v>2023</v>
      </c>
      <c r="B105" t="s">
        <v>113</v>
      </c>
      <c r="C105" s="9">
        <f t="shared" ref="C105:C106" si="2">E105</f>
        <v>1382608</v>
      </c>
      <c r="D105" s="46"/>
      <c r="E105" s="9">
        <f t="shared" si="1"/>
        <v>1382608</v>
      </c>
    </row>
    <row r="106" spans="1:6" x14ac:dyDescent="0.25">
      <c r="A106">
        <v>2024</v>
      </c>
      <c r="B106" t="s">
        <v>113</v>
      </c>
      <c r="C106" s="9">
        <f t="shared" si="2"/>
        <v>1488268</v>
      </c>
      <c r="D106" s="46"/>
      <c r="E106" s="9">
        <f t="shared" si="1"/>
        <v>1488268</v>
      </c>
    </row>
    <row r="107" spans="1:6" x14ac:dyDescent="0.25">
      <c r="A107">
        <v>2025</v>
      </c>
      <c r="B107" t="s">
        <v>113</v>
      </c>
      <c r="C107">
        <f t="shared" ref="C107:C132" si="3">E107*0.5</f>
        <v>796964</v>
      </c>
      <c r="D107" s="46"/>
      <c r="E107" s="9">
        <f t="shared" si="1"/>
        <v>1593928</v>
      </c>
      <c r="F107" t="s">
        <v>204</v>
      </c>
    </row>
    <row r="108" spans="1:6" x14ac:dyDescent="0.25">
      <c r="A108">
        <v>2026</v>
      </c>
      <c r="B108" t="s">
        <v>113</v>
      </c>
      <c r="C108">
        <f t="shared" si="3"/>
        <v>849794</v>
      </c>
      <c r="D108" s="46"/>
      <c r="E108" s="9">
        <f t="shared" si="1"/>
        <v>1699588</v>
      </c>
    </row>
    <row r="109" spans="1:6" x14ac:dyDescent="0.25">
      <c r="A109">
        <v>2027</v>
      </c>
      <c r="B109" t="s">
        <v>113</v>
      </c>
      <c r="C109">
        <f t="shared" si="3"/>
        <v>902624</v>
      </c>
      <c r="D109" s="46"/>
      <c r="E109" s="9">
        <f t="shared" si="1"/>
        <v>1805248</v>
      </c>
    </row>
    <row r="110" spans="1:6" x14ac:dyDescent="0.25">
      <c r="A110">
        <v>2028</v>
      </c>
      <c r="B110" t="s">
        <v>113</v>
      </c>
      <c r="C110">
        <f t="shared" si="3"/>
        <v>955454</v>
      </c>
      <c r="D110" s="46"/>
      <c r="E110" s="9">
        <f t="shared" si="1"/>
        <v>1910908</v>
      </c>
    </row>
    <row r="111" spans="1:6" x14ac:dyDescent="0.25">
      <c r="A111">
        <v>2029</v>
      </c>
      <c r="B111" t="s">
        <v>113</v>
      </c>
      <c r="C111">
        <f t="shared" si="3"/>
        <v>1008284</v>
      </c>
      <c r="D111" s="46"/>
      <c r="E111" s="9">
        <f t="shared" si="1"/>
        <v>2016568</v>
      </c>
    </row>
    <row r="112" spans="1:6" x14ac:dyDescent="0.25">
      <c r="A112">
        <v>2030</v>
      </c>
      <c r="B112" t="s">
        <v>113</v>
      </c>
      <c r="C112">
        <f t="shared" si="3"/>
        <v>1061114</v>
      </c>
      <c r="D112" s="46"/>
      <c r="E112" s="9">
        <f t="shared" si="1"/>
        <v>2122228</v>
      </c>
    </row>
    <row r="113" spans="1:5" x14ac:dyDescent="0.25">
      <c r="A113">
        <v>2031</v>
      </c>
      <c r="B113" t="s">
        <v>113</v>
      </c>
      <c r="C113">
        <f t="shared" si="3"/>
        <v>1113944</v>
      </c>
      <c r="D113" s="46"/>
      <c r="E113" s="9">
        <f t="shared" si="1"/>
        <v>2227888</v>
      </c>
    </row>
    <row r="114" spans="1:5" x14ac:dyDescent="0.25">
      <c r="A114">
        <v>2032</v>
      </c>
      <c r="B114" t="s">
        <v>113</v>
      </c>
      <c r="C114">
        <f t="shared" si="3"/>
        <v>1166774</v>
      </c>
      <c r="D114" s="46"/>
      <c r="E114" s="9">
        <f t="shared" si="1"/>
        <v>2333548</v>
      </c>
    </row>
    <row r="115" spans="1:5" x14ac:dyDescent="0.25">
      <c r="A115">
        <v>2033</v>
      </c>
      <c r="B115" t="s">
        <v>113</v>
      </c>
      <c r="C115">
        <f t="shared" si="3"/>
        <v>1219604</v>
      </c>
      <c r="D115" s="46"/>
      <c r="E115" s="9">
        <f t="shared" si="1"/>
        <v>2439208</v>
      </c>
    </row>
    <row r="116" spans="1:5" x14ac:dyDescent="0.25">
      <c r="A116">
        <v>2034</v>
      </c>
      <c r="B116" t="s">
        <v>113</v>
      </c>
      <c r="C116">
        <f t="shared" si="3"/>
        <v>1272434</v>
      </c>
      <c r="D116" s="46"/>
      <c r="E116" s="9">
        <f t="shared" si="1"/>
        <v>2544868</v>
      </c>
    </row>
    <row r="117" spans="1:5" x14ac:dyDescent="0.25">
      <c r="A117">
        <v>2035</v>
      </c>
      <c r="B117" t="s">
        <v>113</v>
      </c>
      <c r="C117">
        <f t="shared" si="3"/>
        <v>1325264</v>
      </c>
      <c r="D117" s="46"/>
      <c r="E117" s="9">
        <f t="shared" si="1"/>
        <v>2650528</v>
      </c>
    </row>
    <row r="118" spans="1:5" x14ac:dyDescent="0.25">
      <c r="A118">
        <v>2036</v>
      </c>
      <c r="B118" t="s">
        <v>113</v>
      </c>
      <c r="C118">
        <f t="shared" si="3"/>
        <v>1378094</v>
      </c>
      <c r="D118" s="46"/>
      <c r="E118" s="9">
        <f t="shared" si="1"/>
        <v>2756188</v>
      </c>
    </row>
    <row r="119" spans="1:5" x14ac:dyDescent="0.25">
      <c r="A119">
        <v>2037</v>
      </c>
      <c r="B119" t="s">
        <v>113</v>
      </c>
      <c r="C119">
        <f t="shared" si="3"/>
        <v>1430924</v>
      </c>
      <c r="D119" s="46"/>
      <c r="E119" s="9">
        <f t="shared" si="1"/>
        <v>2861848</v>
      </c>
    </row>
    <row r="120" spans="1:5" x14ac:dyDescent="0.25">
      <c r="A120">
        <v>2038</v>
      </c>
      <c r="B120" t="s">
        <v>113</v>
      </c>
      <c r="C120">
        <f t="shared" si="3"/>
        <v>1483754</v>
      </c>
      <c r="D120" s="46"/>
      <c r="E120" s="9">
        <f t="shared" si="1"/>
        <v>2967508</v>
      </c>
    </row>
    <row r="121" spans="1:5" x14ac:dyDescent="0.25">
      <c r="A121">
        <v>2039</v>
      </c>
      <c r="B121" t="s">
        <v>113</v>
      </c>
      <c r="C121">
        <f t="shared" si="3"/>
        <v>1536584</v>
      </c>
      <c r="D121" s="46"/>
      <c r="E121" s="9">
        <f t="shared" si="1"/>
        <v>3073168</v>
      </c>
    </row>
    <row r="122" spans="1:5" x14ac:dyDescent="0.25">
      <c r="A122">
        <v>2040</v>
      </c>
      <c r="B122" t="s">
        <v>113</v>
      </c>
      <c r="C122">
        <f t="shared" si="3"/>
        <v>1589414</v>
      </c>
      <c r="D122" s="46"/>
      <c r="E122" s="9">
        <f t="shared" si="1"/>
        <v>3178828</v>
      </c>
    </row>
    <row r="123" spans="1:5" x14ac:dyDescent="0.25">
      <c r="A123">
        <v>2041</v>
      </c>
      <c r="B123" t="s">
        <v>113</v>
      </c>
      <c r="C123">
        <f t="shared" si="3"/>
        <v>1642244</v>
      </c>
      <c r="D123" s="46"/>
      <c r="E123" s="9">
        <f t="shared" si="1"/>
        <v>3284488</v>
      </c>
    </row>
    <row r="124" spans="1:5" x14ac:dyDescent="0.25">
      <c r="A124">
        <v>2042</v>
      </c>
      <c r="B124" t="s">
        <v>113</v>
      </c>
      <c r="C124">
        <f t="shared" si="3"/>
        <v>1695074</v>
      </c>
      <c r="D124" s="46"/>
      <c r="E124" s="9">
        <f t="shared" si="1"/>
        <v>3390148</v>
      </c>
    </row>
    <row r="125" spans="1:5" x14ac:dyDescent="0.25">
      <c r="A125">
        <v>2043</v>
      </c>
      <c r="B125" t="s">
        <v>113</v>
      </c>
      <c r="C125">
        <f t="shared" si="3"/>
        <v>1747904</v>
      </c>
      <c r="D125" s="46"/>
      <c r="E125" s="9">
        <f t="shared" si="1"/>
        <v>3495808</v>
      </c>
    </row>
    <row r="126" spans="1:5" x14ac:dyDescent="0.25">
      <c r="A126">
        <v>2044</v>
      </c>
      <c r="B126" t="s">
        <v>113</v>
      </c>
      <c r="C126">
        <f t="shared" si="3"/>
        <v>1800734</v>
      </c>
      <c r="D126" s="46"/>
      <c r="E126" s="9">
        <f t="shared" si="1"/>
        <v>3601468</v>
      </c>
    </row>
    <row r="127" spans="1:5" x14ac:dyDescent="0.25">
      <c r="A127">
        <v>2045</v>
      </c>
      <c r="B127" t="s">
        <v>113</v>
      </c>
      <c r="C127">
        <f t="shared" si="3"/>
        <v>1853564</v>
      </c>
      <c r="D127" s="46"/>
      <c r="E127" s="9">
        <f t="shared" si="1"/>
        <v>3707128</v>
      </c>
    </row>
    <row r="128" spans="1:5" x14ac:dyDescent="0.25">
      <c r="A128">
        <v>2046</v>
      </c>
      <c r="B128" t="s">
        <v>113</v>
      </c>
      <c r="C128">
        <f t="shared" si="3"/>
        <v>1906394</v>
      </c>
      <c r="D128" s="46"/>
      <c r="E128" s="9">
        <f t="shared" si="1"/>
        <v>3812788</v>
      </c>
    </row>
    <row r="129" spans="1:5" x14ac:dyDescent="0.25">
      <c r="A129">
        <v>2047</v>
      </c>
      <c r="B129" t="s">
        <v>113</v>
      </c>
      <c r="C129">
        <f t="shared" si="3"/>
        <v>1959224</v>
      </c>
      <c r="D129" s="46"/>
      <c r="E129" s="9">
        <f t="shared" si="1"/>
        <v>3918448</v>
      </c>
    </row>
    <row r="130" spans="1:5" x14ac:dyDescent="0.25">
      <c r="A130">
        <v>2048</v>
      </c>
      <c r="B130" t="s">
        <v>113</v>
      </c>
      <c r="C130">
        <f t="shared" si="3"/>
        <v>2012054</v>
      </c>
      <c r="D130" s="46"/>
      <c r="E130" s="9">
        <f t="shared" si="1"/>
        <v>4024108</v>
      </c>
    </row>
    <row r="131" spans="1:5" x14ac:dyDescent="0.25">
      <c r="A131">
        <v>2049</v>
      </c>
      <c r="B131" t="s">
        <v>113</v>
      </c>
      <c r="C131">
        <f t="shared" si="3"/>
        <v>2064884</v>
      </c>
      <c r="D131" s="46"/>
      <c r="E131" s="9">
        <f t="shared" si="1"/>
        <v>4129768</v>
      </c>
    </row>
    <row r="132" spans="1:5" x14ac:dyDescent="0.25">
      <c r="A132">
        <v>2050</v>
      </c>
      <c r="B132" t="s">
        <v>113</v>
      </c>
      <c r="C132">
        <f t="shared" si="3"/>
        <v>2117714</v>
      </c>
      <c r="D132" s="47"/>
      <c r="E132" s="9">
        <f t="shared" si="1"/>
        <v>4235428</v>
      </c>
    </row>
    <row r="133" spans="1:5" x14ac:dyDescent="0.25">
      <c r="A133">
        <v>2022</v>
      </c>
      <c r="B133" t="s">
        <v>114</v>
      </c>
      <c r="C133" s="9">
        <v>320000</v>
      </c>
      <c r="D133" s="29" t="s">
        <v>202</v>
      </c>
    </row>
    <row r="134" spans="1:5" x14ac:dyDescent="0.25">
      <c r="A134">
        <v>2023</v>
      </c>
      <c r="B134" t="s">
        <v>114</v>
      </c>
      <c r="C134" s="9">
        <v>320000</v>
      </c>
    </row>
    <row r="135" spans="1:5" x14ac:dyDescent="0.25">
      <c r="A135">
        <v>2024</v>
      </c>
      <c r="B135" t="s">
        <v>114</v>
      </c>
      <c r="C135" s="9">
        <v>320000</v>
      </c>
    </row>
    <row r="136" spans="1:5" x14ac:dyDescent="0.25">
      <c r="A136">
        <v>2025</v>
      </c>
      <c r="B136" t="s">
        <v>114</v>
      </c>
      <c r="C136" s="9">
        <v>320000</v>
      </c>
    </row>
    <row r="137" spans="1:5" x14ac:dyDescent="0.25">
      <c r="A137">
        <v>2026</v>
      </c>
      <c r="B137" t="s">
        <v>114</v>
      </c>
      <c r="C137" s="9">
        <v>320000</v>
      </c>
    </row>
    <row r="138" spans="1:5" x14ac:dyDescent="0.25">
      <c r="A138">
        <v>2027</v>
      </c>
      <c r="B138" t="s">
        <v>114</v>
      </c>
      <c r="C138" s="9">
        <v>320000</v>
      </c>
    </row>
    <row r="139" spans="1:5" x14ac:dyDescent="0.25">
      <c r="A139">
        <v>2028</v>
      </c>
      <c r="B139" t="s">
        <v>114</v>
      </c>
      <c r="C139" s="9">
        <v>320000</v>
      </c>
    </row>
    <row r="140" spans="1:5" x14ac:dyDescent="0.25">
      <c r="A140">
        <v>2029</v>
      </c>
      <c r="B140" t="s">
        <v>114</v>
      </c>
      <c r="C140" s="9">
        <v>320000</v>
      </c>
    </row>
    <row r="141" spans="1:5" x14ac:dyDescent="0.25">
      <c r="A141">
        <v>2030</v>
      </c>
      <c r="B141" t="s">
        <v>114</v>
      </c>
      <c r="C141" s="9">
        <v>320000</v>
      </c>
    </row>
    <row r="142" spans="1:5" x14ac:dyDescent="0.25">
      <c r="A142">
        <v>2031</v>
      </c>
      <c r="B142" t="s">
        <v>114</v>
      </c>
      <c r="C142" s="9">
        <v>320000</v>
      </c>
    </row>
    <row r="143" spans="1:5" x14ac:dyDescent="0.25">
      <c r="A143">
        <v>2032</v>
      </c>
      <c r="B143" t="s">
        <v>114</v>
      </c>
      <c r="C143" s="9">
        <v>320000</v>
      </c>
    </row>
    <row r="144" spans="1:5" x14ac:dyDescent="0.25">
      <c r="A144">
        <v>2033</v>
      </c>
      <c r="B144" t="s">
        <v>114</v>
      </c>
      <c r="C144" s="9">
        <v>320000</v>
      </c>
    </row>
    <row r="145" spans="1:3" x14ac:dyDescent="0.25">
      <c r="A145">
        <v>2034</v>
      </c>
      <c r="B145" t="s">
        <v>114</v>
      </c>
      <c r="C145" s="9">
        <v>320000</v>
      </c>
    </row>
    <row r="146" spans="1:3" x14ac:dyDescent="0.25">
      <c r="A146">
        <v>2035</v>
      </c>
      <c r="B146" t="s">
        <v>114</v>
      </c>
      <c r="C146" s="9">
        <v>320000</v>
      </c>
    </row>
    <row r="147" spans="1:3" x14ac:dyDescent="0.25">
      <c r="A147">
        <v>2036</v>
      </c>
      <c r="B147" t="s">
        <v>114</v>
      </c>
      <c r="C147" s="9">
        <v>320000</v>
      </c>
    </row>
    <row r="148" spans="1:3" x14ac:dyDescent="0.25">
      <c r="A148">
        <v>2037</v>
      </c>
      <c r="B148" t="s">
        <v>114</v>
      </c>
      <c r="C148" s="9">
        <v>320000</v>
      </c>
    </row>
    <row r="149" spans="1:3" x14ac:dyDescent="0.25">
      <c r="A149">
        <v>2038</v>
      </c>
      <c r="B149" t="s">
        <v>114</v>
      </c>
      <c r="C149" s="9">
        <v>320000</v>
      </c>
    </row>
    <row r="150" spans="1:3" x14ac:dyDescent="0.25">
      <c r="A150">
        <v>2039</v>
      </c>
      <c r="B150" t="s">
        <v>114</v>
      </c>
      <c r="C150" s="9">
        <v>320000</v>
      </c>
    </row>
    <row r="151" spans="1:3" x14ac:dyDescent="0.25">
      <c r="A151">
        <v>2040</v>
      </c>
      <c r="B151" t="s">
        <v>114</v>
      </c>
      <c r="C151" s="9">
        <v>320000</v>
      </c>
    </row>
    <row r="152" spans="1:3" x14ac:dyDescent="0.25">
      <c r="A152">
        <v>2041</v>
      </c>
      <c r="B152" t="s">
        <v>114</v>
      </c>
      <c r="C152" s="9">
        <v>320000</v>
      </c>
    </row>
    <row r="153" spans="1:3" x14ac:dyDescent="0.25">
      <c r="A153">
        <v>2042</v>
      </c>
      <c r="B153" t="s">
        <v>114</v>
      </c>
      <c r="C153" s="9">
        <v>320000</v>
      </c>
    </row>
    <row r="154" spans="1:3" x14ac:dyDescent="0.25">
      <c r="A154">
        <v>2043</v>
      </c>
      <c r="B154" t="s">
        <v>114</v>
      </c>
      <c r="C154" s="9">
        <v>320000</v>
      </c>
    </row>
    <row r="155" spans="1:3" x14ac:dyDescent="0.25">
      <c r="A155">
        <v>2044</v>
      </c>
      <c r="B155" t="s">
        <v>114</v>
      </c>
      <c r="C155" s="9">
        <v>320000</v>
      </c>
    </row>
    <row r="156" spans="1:3" x14ac:dyDescent="0.25">
      <c r="A156">
        <v>2045</v>
      </c>
      <c r="B156" t="s">
        <v>114</v>
      </c>
      <c r="C156" s="9">
        <v>320000</v>
      </c>
    </row>
    <row r="157" spans="1:3" x14ac:dyDescent="0.25">
      <c r="A157">
        <v>2046</v>
      </c>
      <c r="B157" t="s">
        <v>114</v>
      </c>
      <c r="C157" s="9">
        <v>320000</v>
      </c>
    </row>
    <row r="158" spans="1:3" x14ac:dyDescent="0.25">
      <c r="A158">
        <v>2047</v>
      </c>
      <c r="B158" t="s">
        <v>114</v>
      </c>
      <c r="C158" s="9">
        <v>320000</v>
      </c>
    </row>
    <row r="159" spans="1:3" x14ac:dyDescent="0.25">
      <c r="A159">
        <v>2048</v>
      </c>
      <c r="B159" t="s">
        <v>114</v>
      </c>
      <c r="C159" s="9">
        <v>320000</v>
      </c>
    </row>
    <row r="160" spans="1:3" x14ac:dyDescent="0.25">
      <c r="A160">
        <v>2049</v>
      </c>
      <c r="B160" t="s">
        <v>114</v>
      </c>
      <c r="C160" s="9">
        <v>320000</v>
      </c>
    </row>
    <row r="161" spans="1:3" x14ac:dyDescent="0.25">
      <c r="A161">
        <v>2050</v>
      </c>
      <c r="B161" t="s">
        <v>114</v>
      </c>
      <c r="C161" s="9">
        <v>320000</v>
      </c>
    </row>
    <row r="162" spans="1:3" x14ac:dyDescent="0.25">
      <c r="A162">
        <v>2022</v>
      </c>
      <c r="B162" t="s">
        <v>165</v>
      </c>
      <c r="C162" s="9">
        <v>0</v>
      </c>
    </row>
    <row r="163" spans="1:3" x14ac:dyDescent="0.25">
      <c r="A163">
        <v>2023</v>
      </c>
      <c r="B163" t="s">
        <v>165</v>
      </c>
      <c r="C163" s="9">
        <v>0</v>
      </c>
    </row>
    <row r="164" spans="1:3" x14ac:dyDescent="0.25">
      <c r="A164">
        <v>2024</v>
      </c>
      <c r="B164" t="s">
        <v>165</v>
      </c>
      <c r="C164" s="9">
        <v>0</v>
      </c>
    </row>
    <row r="165" spans="1:3" x14ac:dyDescent="0.25">
      <c r="A165">
        <v>2025</v>
      </c>
      <c r="B165" t="s">
        <v>165</v>
      </c>
      <c r="C165" s="9">
        <v>0</v>
      </c>
    </row>
    <row r="166" spans="1:3" x14ac:dyDescent="0.25">
      <c r="A166">
        <v>2026</v>
      </c>
      <c r="B166" t="s">
        <v>165</v>
      </c>
      <c r="C166" s="9">
        <f>10000000*1.1*0.1</f>
        <v>1100000</v>
      </c>
    </row>
    <row r="167" spans="1:3" x14ac:dyDescent="0.25">
      <c r="A167">
        <v>2027</v>
      </c>
      <c r="B167" t="s">
        <v>165</v>
      </c>
      <c r="C167" s="9">
        <f t="shared" ref="C167:C175" si="4">10000000*1.1*0.1</f>
        <v>1100000</v>
      </c>
    </row>
    <row r="168" spans="1:3" x14ac:dyDescent="0.25">
      <c r="A168">
        <v>2028</v>
      </c>
      <c r="B168" t="s">
        <v>165</v>
      </c>
      <c r="C168" s="9">
        <f t="shared" si="4"/>
        <v>1100000</v>
      </c>
    </row>
    <row r="169" spans="1:3" x14ac:dyDescent="0.25">
      <c r="A169">
        <v>2029</v>
      </c>
      <c r="B169" t="s">
        <v>165</v>
      </c>
      <c r="C169" s="9">
        <f t="shared" si="4"/>
        <v>1100000</v>
      </c>
    </row>
    <row r="170" spans="1:3" x14ac:dyDescent="0.25">
      <c r="A170">
        <v>2030</v>
      </c>
      <c r="B170" t="s">
        <v>165</v>
      </c>
      <c r="C170" s="9">
        <f t="shared" si="4"/>
        <v>1100000</v>
      </c>
    </row>
    <row r="171" spans="1:3" x14ac:dyDescent="0.25">
      <c r="A171">
        <v>2031</v>
      </c>
      <c r="B171" t="s">
        <v>165</v>
      </c>
      <c r="C171" s="9">
        <f t="shared" si="4"/>
        <v>1100000</v>
      </c>
    </row>
    <row r="172" spans="1:3" x14ac:dyDescent="0.25">
      <c r="A172">
        <v>2032</v>
      </c>
      <c r="B172" t="s">
        <v>165</v>
      </c>
      <c r="C172" s="9">
        <f t="shared" si="4"/>
        <v>1100000</v>
      </c>
    </row>
    <row r="173" spans="1:3" x14ac:dyDescent="0.25">
      <c r="A173">
        <v>2033</v>
      </c>
      <c r="B173" t="s">
        <v>165</v>
      </c>
      <c r="C173" s="9">
        <f t="shared" si="4"/>
        <v>1100000</v>
      </c>
    </row>
    <row r="174" spans="1:3" x14ac:dyDescent="0.25">
      <c r="A174">
        <v>2034</v>
      </c>
      <c r="B174" t="s">
        <v>165</v>
      </c>
      <c r="C174" s="9">
        <f t="shared" si="4"/>
        <v>1100000</v>
      </c>
    </row>
    <row r="175" spans="1:3" x14ac:dyDescent="0.25">
      <c r="A175">
        <v>2035</v>
      </c>
      <c r="B175" t="s">
        <v>165</v>
      </c>
      <c r="C175" s="9">
        <f t="shared" si="4"/>
        <v>1100000</v>
      </c>
    </row>
    <row r="176" spans="1:3" x14ac:dyDescent="0.25">
      <c r="A176">
        <v>2036</v>
      </c>
      <c r="B176" t="s">
        <v>165</v>
      </c>
      <c r="C176">
        <v>0</v>
      </c>
    </row>
    <row r="177" spans="1:5" x14ac:dyDescent="0.25">
      <c r="A177">
        <v>2037</v>
      </c>
      <c r="B177" t="s">
        <v>165</v>
      </c>
      <c r="C177">
        <v>0</v>
      </c>
    </row>
    <row r="178" spans="1:5" x14ac:dyDescent="0.25">
      <c r="A178">
        <v>2038</v>
      </c>
      <c r="B178" t="s">
        <v>165</v>
      </c>
      <c r="C178">
        <v>0</v>
      </c>
    </row>
    <row r="179" spans="1:5" x14ac:dyDescent="0.25">
      <c r="A179">
        <v>2039</v>
      </c>
      <c r="B179" t="s">
        <v>165</v>
      </c>
      <c r="C179">
        <v>0</v>
      </c>
    </row>
    <row r="180" spans="1:5" x14ac:dyDescent="0.25">
      <c r="A180">
        <v>2040</v>
      </c>
      <c r="B180" t="s">
        <v>165</v>
      </c>
      <c r="C180">
        <v>0</v>
      </c>
    </row>
    <row r="181" spans="1:5" x14ac:dyDescent="0.25">
      <c r="A181">
        <v>2041</v>
      </c>
      <c r="B181" t="s">
        <v>165</v>
      </c>
      <c r="C181">
        <v>0</v>
      </c>
    </row>
    <row r="182" spans="1:5" x14ac:dyDescent="0.25">
      <c r="A182">
        <v>2042</v>
      </c>
      <c r="B182" t="s">
        <v>165</v>
      </c>
      <c r="C182">
        <v>0</v>
      </c>
    </row>
    <row r="183" spans="1:5" x14ac:dyDescent="0.25">
      <c r="A183">
        <v>2043</v>
      </c>
      <c r="B183" t="s">
        <v>165</v>
      </c>
      <c r="C183">
        <v>0</v>
      </c>
    </row>
    <row r="184" spans="1:5" x14ac:dyDescent="0.25">
      <c r="A184">
        <v>2044</v>
      </c>
      <c r="B184" t="s">
        <v>165</v>
      </c>
      <c r="C184">
        <v>0</v>
      </c>
    </row>
    <row r="185" spans="1:5" x14ac:dyDescent="0.25">
      <c r="A185">
        <v>2045</v>
      </c>
      <c r="B185" t="s">
        <v>165</v>
      </c>
      <c r="C185">
        <v>0</v>
      </c>
    </row>
    <row r="186" spans="1:5" x14ac:dyDescent="0.25">
      <c r="A186">
        <v>2046</v>
      </c>
      <c r="B186" t="s">
        <v>165</v>
      </c>
      <c r="C186">
        <v>0</v>
      </c>
    </row>
    <row r="187" spans="1:5" x14ac:dyDescent="0.25">
      <c r="A187">
        <v>2022</v>
      </c>
      <c r="B187" t="s">
        <v>163</v>
      </c>
      <c r="C187" s="9">
        <v>0</v>
      </c>
    </row>
    <row r="188" spans="1:5" x14ac:dyDescent="0.25">
      <c r="A188">
        <v>2023</v>
      </c>
      <c r="B188" t="s">
        <v>163</v>
      </c>
      <c r="C188" s="9">
        <v>0</v>
      </c>
    </row>
    <row r="189" spans="1:5" x14ac:dyDescent="0.25">
      <c r="A189">
        <v>2024</v>
      </c>
      <c r="B189" t="s">
        <v>163</v>
      </c>
      <c r="C189" s="9">
        <v>0</v>
      </c>
    </row>
    <row r="190" spans="1:5" x14ac:dyDescent="0.25">
      <c r="A190">
        <v>2025</v>
      </c>
      <c r="B190" t="s">
        <v>163</v>
      </c>
      <c r="C190" s="9">
        <v>0</v>
      </c>
    </row>
    <row r="191" spans="1:5" x14ac:dyDescent="0.25">
      <c r="A191">
        <v>2026</v>
      </c>
      <c r="B191" t="s">
        <v>163</v>
      </c>
      <c r="C191" s="9">
        <v>0</v>
      </c>
    </row>
    <row r="192" spans="1:5" x14ac:dyDescent="0.25">
      <c r="A192">
        <v>2027</v>
      </c>
      <c r="B192" t="s">
        <v>163</v>
      </c>
      <c r="C192" s="9">
        <v>0</v>
      </c>
      <c r="D192" s="9">
        <v>300000</v>
      </c>
      <c r="E192">
        <f t="shared" ref="E192:E197" si="5">D192/10000000</f>
        <v>0.03</v>
      </c>
    </row>
    <row r="193" spans="1:5" x14ac:dyDescent="0.25">
      <c r="A193">
        <v>2028</v>
      </c>
      <c r="B193" t="s">
        <v>163</v>
      </c>
      <c r="C193" s="9">
        <v>300000</v>
      </c>
      <c r="D193" s="9">
        <v>1200000</v>
      </c>
      <c r="E193">
        <f t="shared" si="5"/>
        <v>0.12</v>
      </c>
    </row>
    <row r="194" spans="1:5" x14ac:dyDescent="0.25">
      <c r="A194">
        <v>2029</v>
      </c>
      <c r="B194" t="s">
        <v>163</v>
      </c>
      <c r="C194" s="9">
        <v>1200000</v>
      </c>
      <c r="D194" s="9">
        <v>2300000</v>
      </c>
      <c r="E194">
        <f t="shared" si="5"/>
        <v>0.23</v>
      </c>
    </row>
    <row r="195" spans="1:5" x14ac:dyDescent="0.25">
      <c r="A195">
        <v>2030</v>
      </c>
      <c r="B195" t="s">
        <v>163</v>
      </c>
      <c r="C195" s="9">
        <v>2300000</v>
      </c>
      <c r="D195" s="9">
        <v>4000000</v>
      </c>
      <c r="E195">
        <f t="shared" si="5"/>
        <v>0.4</v>
      </c>
    </row>
    <row r="196" spans="1:5" x14ac:dyDescent="0.25">
      <c r="A196">
        <v>2031</v>
      </c>
      <c r="B196" t="s">
        <v>163</v>
      </c>
      <c r="C196" s="9">
        <v>3000000</v>
      </c>
      <c r="D196" s="9">
        <v>2200000</v>
      </c>
      <c r="E196">
        <f t="shared" si="5"/>
        <v>0.22</v>
      </c>
    </row>
    <row r="197" spans="1:5" x14ac:dyDescent="0.25">
      <c r="A197">
        <v>2032</v>
      </c>
      <c r="B197" t="s">
        <v>163</v>
      </c>
      <c r="C197" s="9">
        <v>2200000</v>
      </c>
      <c r="D197" s="9">
        <v>0</v>
      </c>
      <c r="E197">
        <f t="shared" si="5"/>
        <v>0</v>
      </c>
    </row>
    <row r="198" spans="1:5" x14ac:dyDescent="0.25">
      <c r="A198">
        <v>2033</v>
      </c>
      <c r="B198" t="s">
        <v>163</v>
      </c>
      <c r="C198" s="9">
        <v>1000000</v>
      </c>
      <c r="D198" s="9">
        <v>-500000</v>
      </c>
    </row>
    <row r="199" spans="1:5" x14ac:dyDescent="0.25">
      <c r="A199">
        <v>2034</v>
      </c>
      <c r="B199" t="s">
        <v>163</v>
      </c>
      <c r="C199" s="9">
        <v>-500000</v>
      </c>
      <c r="D199" s="9">
        <v>-1000000</v>
      </c>
    </row>
    <row r="200" spans="1:5" x14ac:dyDescent="0.25">
      <c r="A200">
        <v>2035</v>
      </c>
      <c r="B200" t="s">
        <v>163</v>
      </c>
      <c r="C200" s="9">
        <v>-1000000</v>
      </c>
      <c r="D200" s="9">
        <v>-2000000</v>
      </c>
    </row>
    <row r="201" spans="1:5" x14ac:dyDescent="0.25">
      <c r="A201">
        <v>2036</v>
      </c>
      <c r="B201" t="s">
        <v>163</v>
      </c>
      <c r="C201" s="9">
        <v>-2000000</v>
      </c>
      <c r="D201" s="9">
        <v>-3000000</v>
      </c>
    </row>
    <row r="202" spans="1:5" x14ac:dyDescent="0.25">
      <c r="A202">
        <v>2037</v>
      </c>
      <c r="B202" t="s">
        <v>163</v>
      </c>
      <c r="C202" s="9">
        <v>-3000000</v>
      </c>
      <c r="D202" s="9">
        <v>-3500000</v>
      </c>
    </row>
    <row r="203" spans="1:5" x14ac:dyDescent="0.25">
      <c r="A203">
        <v>2038</v>
      </c>
      <c r="B203" t="s">
        <v>163</v>
      </c>
      <c r="C203" s="9">
        <v>-3500000</v>
      </c>
    </row>
    <row r="204" spans="1:5" x14ac:dyDescent="0.25">
      <c r="A204">
        <v>2039</v>
      </c>
      <c r="B204" t="s">
        <v>163</v>
      </c>
      <c r="C204" s="9">
        <v>0</v>
      </c>
    </row>
    <row r="205" spans="1:5" x14ac:dyDescent="0.25">
      <c r="A205">
        <v>2040</v>
      </c>
      <c r="B205" t="s">
        <v>163</v>
      </c>
      <c r="C205" s="9">
        <v>0</v>
      </c>
    </row>
    <row r="206" spans="1:5" x14ac:dyDescent="0.25">
      <c r="A206">
        <v>2041</v>
      </c>
      <c r="B206" t="s">
        <v>163</v>
      </c>
      <c r="C206" s="9">
        <v>0</v>
      </c>
    </row>
    <row r="207" spans="1:5" x14ac:dyDescent="0.25">
      <c r="A207">
        <v>2042</v>
      </c>
      <c r="B207" t="s">
        <v>163</v>
      </c>
      <c r="C207" s="9">
        <v>0</v>
      </c>
    </row>
    <row r="208" spans="1:5" x14ac:dyDescent="0.25">
      <c r="A208">
        <v>2043</v>
      </c>
      <c r="B208" t="s">
        <v>163</v>
      </c>
      <c r="C208" s="9">
        <v>0</v>
      </c>
    </row>
    <row r="209" spans="1:3" x14ac:dyDescent="0.25">
      <c r="A209">
        <v>2044</v>
      </c>
      <c r="B209" t="s">
        <v>163</v>
      </c>
      <c r="C209" s="9">
        <v>0</v>
      </c>
    </row>
    <row r="210" spans="1:3" x14ac:dyDescent="0.25">
      <c r="A210">
        <v>2045</v>
      </c>
      <c r="B210" t="s">
        <v>163</v>
      </c>
      <c r="C210" s="9">
        <v>0</v>
      </c>
    </row>
    <row r="211" spans="1:3" x14ac:dyDescent="0.25">
      <c r="A211">
        <v>2046</v>
      </c>
      <c r="B211" t="s">
        <v>163</v>
      </c>
      <c r="C211">
        <v>0</v>
      </c>
    </row>
    <row r="212" spans="1:3" x14ac:dyDescent="0.25">
      <c r="A212">
        <v>2022</v>
      </c>
      <c r="B212" t="s">
        <v>194</v>
      </c>
      <c r="C212" s="9">
        <v>28000</v>
      </c>
    </row>
    <row r="213" spans="1:3" x14ac:dyDescent="0.25">
      <c r="A213">
        <v>2023</v>
      </c>
      <c r="B213" t="s">
        <v>194</v>
      </c>
      <c r="C213" s="9">
        <v>28000</v>
      </c>
    </row>
    <row r="214" spans="1:3" x14ac:dyDescent="0.25">
      <c r="A214">
        <v>2024</v>
      </c>
      <c r="B214" t="s">
        <v>194</v>
      </c>
      <c r="C214" s="9">
        <v>28000</v>
      </c>
    </row>
    <row r="215" spans="1:3" x14ac:dyDescent="0.25">
      <c r="A215">
        <v>2025</v>
      </c>
      <c r="B215" t="s">
        <v>194</v>
      </c>
      <c r="C215" s="9">
        <v>28000</v>
      </c>
    </row>
    <row r="216" spans="1:3" x14ac:dyDescent="0.25">
      <c r="A216">
        <v>2026</v>
      </c>
      <c r="B216" t="s">
        <v>194</v>
      </c>
      <c r="C216" s="9">
        <v>28000</v>
      </c>
    </row>
    <row r="217" spans="1:3" x14ac:dyDescent="0.25">
      <c r="A217">
        <v>2027</v>
      </c>
      <c r="B217" t="s">
        <v>194</v>
      </c>
      <c r="C217" s="9">
        <v>28000</v>
      </c>
    </row>
    <row r="218" spans="1:3" x14ac:dyDescent="0.25">
      <c r="A218">
        <v>2028</v>
      </c>
      <c r="B218" t="s">
        <v>194</v>
      </c>
      <c r="C218" s="9">
        <v>28000</v>
      </c>
    </row>
    <row r="219" spans="1:3" x14ac:dyDescent="0.25">
      <c r="A219">
        <v>2029</v>
      </c>
      <c r="B219" t="s">
        <v>194</v>
      </c>
      <c r="C219" s="9">
        <v>28000</v>
      </c>
    </row>
    <row r="220" spans="1:3" x14ac:dyDescent="0.25">
      <c r="A220">
        <v>2030</v>
      </c>
      <c r="B220" t="s">
        <v>194</v>
      </c>
      <c r="C220" s="9">
        <v>28000</v>
      </c>
    </row>
    <row r="221" spans="1:3" x14ac:dyDescent="0.25">
      <c r="A221">
        <v>2031</v>
      </c>
      <c r="B221" t="s">
        <v>194</v>
      </c>
      <c r="C221" s="9">
        <v>28000</v>
      </c>
    </row>
    <row r="222" spans="1:3" x14ac:dyDescent="0.25">
      <c r="A222">
        <v>2032</v>
      </c>
      <c r="B222" t="s">
        <v>194</v>
      </c>
      <c r="C222" s="9">
        <v>28000</v>
      </c>
    </row>
    <row r="223" spans="1:3" x14ac:dyDescent="0.25">
      <c r="A223">
        <v>2033</v>
      </c>
      <c r="B223" t="s">
        <v>194</v>
      </c>
      <c r="C223" s="9">
        <v>28000</v>
      </c>
    </row>
    <row r="224" spans="1:3" x14ac:dyDescent="0.25">
      <c r="A224">
        <v>2034</v>
      </c>
      <c r="B224" t="s">
        <v>194</v>
      </c>
      <c r="C224" s="9">
        <v>28000</v>
      </c>
    </row>
    <row r="225" spans="1:3" x14ac:dyDescent="0.25">
      <c r="A225">
        <v>2035</v>
      </c>
      <c r="B225" t="s">
        <v>194</v>
      </c>
      <c r="C225" s="9">
        <v>28000</v>
      </c>
    </row>
    <row r="226" spans="1:3" x14ac:dyDescent="0.25">
      <c r="A226">
        <v>2036</v>
      </c>
      <c r="B226" t="s">
        <v>194</v>
      </c>
      <c r="C226" s="9">
        <v>28000</v>
      </c>
    </row>
    <row r="227" spans="1:3" x14ac:dyDescent="0.25">
      <c r="A227">
        <v>2037</v>
      </c>
      <c r="B227" t="s">
        <v>194</v>
      </c>
      <c r="C227" s="9">
        <v>28000</v>
      </c>
    </row>
    <row r="228" spans="1:3" x14ac:dyDescent="0.25">
      <c r="A228">
        <v>2038</v>
      </c>
      <c r="B228" t="s">
        <v>194</v>
      </c>
      <c r="C228" s="9">
        <v>28000</v>
      </c>
    </row>
    <row r="229" spans="1:3" x14ac:dyDescent="0.25">
      <c r="A229">
        <v>2039</v>
      </c>
      <c r="B229" t="s">
        <v>194</v>
      </c>
      <c r="C229" s="9">
        <v>28000</v>
      </c>
    </row>
    <row r="230" spans="1:3" x14ac:dyDescent="0.25">
      <c r="A230">
        <v>2040</v>
      </c>
      <c r="B230" t="s">
        <v>194</v>
      </c>
      <c r="C230" s="9">
        <v>28000</v>
      </c>
    </row>
  </sheetData>
  <mergeCells count="1">
    <mergeCell ref="D104:D132"/>
  </mergeCells>
  <phoneticPr fontId="5" type="noConversion"/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33A0-6F6B-4F04-B1D3-5980FC45684A}">
  <dimension ref="A1"/>
  <sheetViews>
    <sheetView workbookViewId="0">
      <selection activeCell="B2" sqref="A1:B2"/>
    </sheetView>
  </sheetViews>
  <sheetFormatPr defaultRowHeight="15" x14ac:dyDescent="0.25"/>
  <cols>
    <col min="1" max="1" width="9.28515625" bestFit="1" customWidth="1"/>
    <col min="2" max="2" width="9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Energy Demand</vt:lpstr>
      <vt:lpstr>Defined Supply</vt:lpstr>
      <vt:lpstr>Fuel Production</vt:lpstr>
      <vt:lpstr>Coproducts</vt:lpstr>
      <vt:lpstr>Production Limits</vt:lpstr>
      <vt:lpstr>Feedstock</vt:lpstr>
      <vt:lpstr>LCFS Benchmark</vt:lpstr>
      <vt:lpstr>Credit Type Limits</vt:lpstr>
      <vt:lpstr>Blend Requirements</vt:lpstr>
      <vt:lpstr>Additional Credits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Kessler, Jeff@ARB</cp:lastModifiedBy>
  <dcterms:created xsi:type="dcterms:W3CDTF">2022-03-22T21:00:26Z</dcterms:created>
  <dcterms:modified xsi:type="dcterms:W3CDTF">2022-11-29T21:19:46Z</dcterms:modified>
</cp:coreProperties>
</file>